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27"/>
  <workbookPr showInkAnnotation="0" codeName="ThisWorkbook" defaultThemeVersion="124226"/>
  <mc:AlternateContent xmlns:mc="http://schemas.openxmlformats.org/markup-compatibility/2006">
    <mc:Choice Requires="x15">
      <x15ac:absPath xmlns:x15ac="http://schemas.microsoft.com/office/spreadsheetml/2010/11/ac" url="S:\Accepted\2025\01 April 8, 2025\25-489 Fairways at San Antonio\"/>
    </mc:Choice>
  </mc:AlternateContent>
  <xr:revisionPtr revIDLastSave="0" documentId="13_ncr:1_{EF06567E-9FB5-43D2-AC83-04C6A889D389}" xr6:coauthVersionLast="47" xr6:coauthVersionMax="47" xr10:uidLastSave="{00000000-0000-0000-0000-000000000000}"/>
  <bookViews>
    <workbookView xWindow="-120" yWindow="-120" windowWidth="29040" windowHeight="15840" firstSheet="4" activeTab="8"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23" i="20" l="1"/>
  <c r="AO18" i="20"/>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O20" i="21"/>
  <c r="G76" i="21"/>
  <c r="I18" i="21"/>
  <c r="I17" i="21"/>
  <c r="F9" i="4"/>
  <c r="E9" i="4"/>
  <c r="H9" i="4"/>
  <c r="AC886" i="3"/>
  <c r="F61" i="4" l="1"/>
  <c r="F56" i="4"/>
  <c r="AA948" i="3"/>
  <c r="H75" i="4" l="1"/>
  <c r="H80" i="4"/>
  <c r="I9" i="4"/>
  <c r="E99" i="4" l="1"/>
  <c r="AA918" i="3"/>
  <c r="C25" i="4" l="1"/>
  <c r="E89" i="4"/>
  <c r="AG442" i="3"/>
  <c r="G70" i="21" l="1"/>
  <c r="AD67" i="15" l="1"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N11" i="23"/>
  <c r="BE18" i="3" s="1"/>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AO22" i="20"/>
  <c r="AO17" i="20"/>
  <c r="AO13" i="20"/>
  <c r="AO25" i="20"/>
  <c r="AY1023" i="3"/>
  <c r="AY1022" i="3"/>
  <c r="AY1021" i="3"/>
  <c r="AY1020" i="3"/>
  <c r="AY1019" i="3"/>
  <c r="AY1018" i="3"/>
  <c r="AY1017" i="3"/>
  <c r="AY1016" i="3"/>
  <c r="AY1015" i="3"/>
  <c r="AY1014" i="3"/>
  <c r="AY1013" i="3"/>
  <c r="AG444" i="3" l="1"/>
  <c r="AG441" i="3"/>
  <c r="BN150" i="3" l="1"/>
  <c r="C178" i="20" l="1"/>
  <c r="U374" i="20"/>
  <c r="L100" i="21"/>
  <c r="X752" i="3" l="1"/>
  <c r="AH752" i="3"/>
  <c r="BF751" i="3"/>
  <c r="BS751" i="3"/>
  <c r="BS752" i="3"/>
  <c r="AJ1020" i="3"/>
  <c r="BF740" i="3" l="1"/>
  <c r="AH751" i="3"/>
  <c r="AH742"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S24" i="4" s="1"/>
  <c r="AJ994" i="3"/>
  <c r="AF1026" i="3"/>
  <c r="AF1021" i="3"/>
  <c r="E40"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I9" i="21"/>
  <c r="C26" i="4"/>
  <c r="B26" i="13" s="1"/>
  <c r="G72" i="21"/>
  <c r="G78" i="21" s="1"/>
  <c r="G109" i="21"/>
  <c r="M20" i="21"/>
  <c r="M21" i="21"/>
  <c r="M22" i="21"/>
  <c r="M23" i="21"/>
  <c r="M24" i="21"/>
  <c r="M25" i="21"/>
  <c r="M26" i="21"/>
  <c r="M27" i="21"/>
  <c r="M28" i="21"/>
  <c r="M29" i="21"/>
  <c r="M30" i="21"/>
  <c r="M31" i="21"/>
  <c r="M32" i="2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M44" i="21"/>
  <c r="O44"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C69" i="13" s="1"/>
  <c r="A53" i="13"/>
  <c r="H36" i="13"/>
  <c r="E36" i="13"/>
  <c r="B36" i="13"/>
  <c r="H24" i="13"/>
  <c r="E24" i="13"/>
  <c r="F24" i="13" s="1"/>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S91" i="4" s="1"/>
  <c r="E91" i="13" s="1"/>
  <c r="F91" i="13" s="1"/>
  <c r="R84" i="4"/>
  <c r="S84" i="4" s="1"/>
  <c r="E84" i="13" s="1"/>
  <c r="F84" i="13" s="1"/>
  <c r="B59" i="4"/>
  <c r="C80" i="11"/>
  <c r="C81" i="11"/>
  <c r="B80" i="11"/>
  <c r="B81" i="11"/>
  <c r="I96" i="13"/>
  <c r="J96" i="13"/>
  <c r="J81" i="13"/>
  <c r="I81" i="13"/>
  <c r="G81" i="13"/>
  <c r="D81" i="13"/>
  <c r="H80" i="13"/>
  <c r="B80" i="13"/>
  <c r="C80" i="13" s="1"/>
  <c r="R80" i="4"/>
  <c r="S80" i="4" s="1"/>
  <c r="E80" i="13" s="1"/>
  <c r="F80" i="13" s="1"/>
  <c r="R79" i="4"/>
  <c r="S79" i="4" s="1"/>
  <c r="E79" i="13" s="1"/>
  <c r="F79" i="13" s="1"/>
  <c r="S70" i="4"/>
  <c r="E70"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F99" i="13" s="1"/>
  <c r="F104" i="13" s="1"/>
  <c r="E87" i="13"/>
  <c r="E65" i="13"/>
  <c r="F70" i="13" s="1"/>
  <c r="E49" i="13"/>
  <c r="F49" i="13" s="1"/>
  <c r="E45" i="13"/>
  <c r="F45" i="13" s="1"/>
  <c r="E41" i="13"/>
  <c r="E37" i="13"/>
  <c r="E35" i="13"/>
  <c r="E34" i="13"/>
  <c r="E33" i="13"/>
  <c r="E32" i="13"/>
  <c r="E31" i="13"/>
  <c r="E30" i="13"/>
  <c r="E29" i="13"/>
  <c r="E15" i="13"/>
  <c r="E14" i="13"/>
  <c r="E13" i="13"/>
  <c r="E10" i="13"/>
  <c r="B99" i="13"/>
  <c r="C99" i="13" s="1"/>
  <c r="C104" i="13" s="1"/>
  <c r="B95" i="13"/>
  <c r="B94" i="13"/>
  <c r="B93" i="13"/>
  <c r="B92" i="13"/>
  <c r="C92" i="13" s="1"/>
  <c r="B91" i="13"/>
  <c r="C91" i="13" s="1"/>
  <c r="B90" i="13"/>
  <c r="C90" i="13" s="1"/>
  <c r="B89" i="13"/>
  <c r="C89" i="13" s="1"/>
  <c r="B88" i="13"/>
  <c r="C88" i="13" s="1"/>
  <c r="B87" i="13"/>
  <c r="B86" i="13"/>
  <c r="C86" i="13" s="1"/>
  <c r="B85" i="13"/>
  <c r="B84" i="13"/>
  <c r="C84" i="13" s="1"/>
  <c r="B83" i="13"/>
  <c r="B79" i="13"/>
  <c r="C79" i="13" s="1"/>
  <c r="B76" i="13"/>
  <c r="B75" i="13"/>
  <c r="C75" i="13" s="1"/>
  <c r="C77" i="13" s="1"/>
  <c r="B74" i="13"/>
  <c r="B73" i="13"/>
  <c r="B72" i="13"/>
  <c r="B65" i="13"/>
  <c r="C65" i="13" s="1"/>
  <c r="B61" i="13"/>
  <c r="C61" i="13" s="1"/>
  <c r="B60" i="13"/>
  <c r="B59" i="13"/>
  <c r="B58" i="13"/>
  <c r="B57" i="13"/>
  <c r="B56" i="13"/>
  <c r="C56" i="13" s="1"/>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B40" i="13"/>
  <c r="C40" i="13" s="1"/>
  <c r="C42" i="13" s="1"/>
  <c r="B37" i="13"/>
  <c r="B35" i="13"/>
  <c r="B34" i="13"/>
  <c r="B33" i="13"/>
  <c r="B32" i="13"/>
  <c r="B31" i="13"/>
  <c r="B30" i="13"/>
  <c r="B29" i="13"/>
  <c r="B27" i="13"/>
  <c r="C27" i="13" s="1"/>
  <c r="B25" i="13"/>
  <c r="C25" i="13" s="1"/>
  <c r="B23" i="13"/>
  <c r="C23" i="13" s="1"/>
  <c r="B22" i="13"/>
  <c r="B21" i="13"/>
  <c r="C21" i="13" s="1"/>
  <c r="B20" i="13"/>
  <c r="C20" i="13" s="1"/>
  <c r="B19" i="13"/>
  <c r="C19" i="13" s="1"/>
  <c r="B18" i="13"/>
  <c r="B17" i="13"/>
  <c r="B5" i="13"/>
  <c r="B6" i="13"/>
  <c r="B7" i="13"/>
  <c r="C8" i="4"/>
  <c r="B8" i="13" s="1"/>
  <c r="B9" i="13"/>
  <c r="B10" i="13"/>
  <c r="B13" i="13"/>
  <c r="B14" i="13"/>
  <c r="B15" i="13"/>
  <c r="B4" i="13"/>
  <c r="J104" i="13"/>
  <c r="I104" i="13"/>
  <c r="G104" i="13"/>
  <c r="D104" i="13"/>
  <c r="G96" i="13"/>
  <c r="D96" i="13"/>
  <c r="D77" i="13"/>
  <c r="J70" i="13"/>
  <c r="I70" i="13"/>
  <c r="G70" i="13"/>
  <c r="D70" i="13"/>
  <c r="D62" i="13"/>
  <c r="J54" i="13"/>
  <c r="I54" i="13"/>
  <c r="G54" i="13"/>
  <c r="D54" i="13"/>
  <c r="J42" i="13"/>
  <c r="I42" i="13"/>
  <c r="G42" i="13"/>
  <c r="F38" i="13"/>
  <c r="D42" i="13"/>
  <c r="J38" i="13"/>
  <c r="I38" i="13"/>
  <c r="G38" i="13"/>
  <c r="D38" i="13"/>
  <c r="C38" i="13"/>
  <c r="J26" i="13"/>
  <c r="I26" i="13"/>
  <c r="I11" i="13"/>
  <c r="G26" i="13"/>
  <c r="D26" i="13"/>
  <c r="J11" i="13"/>
  <c r="D11" i="13"/>
  <c r="C11" i="13"/>
  <c r="C8" i="13"/>
  <c r="D8" i="13"/>
  <c r="T104" i="4"/>
  <c r="H104" i="13" s="1"/>
  <c r="R103" i="4"/>
  <c r="R102" i="4"/>
  <c r="R101" i="4"/>
  <c r="R99" i="4"/>
  <c r="R95" i="4"/>
  <c r="S95" i="4" s="1"/>
  <c r="E95" i="13" s="1"/>
  <c r="R94" i="4"/>
  <c r="S94" i="4" s="1"/>
  <c r="E94" i="13" s="1"/>
  <c r="R93" i="4"/>
  <c r="S93" i="4" s="1"/>
  <c r="E93" i="13" s="1"/>
  <c r="R92" i="4"/>
  <c r="S92" i="4" s="1"/>
  <c r="E92" i="13" s="1"/>
  <c r="F92" i="13" s="1"/>
  <c r="R90" i="4"/>
  <c r="S90" i="4" s="1"/>
  <c r="E90" i="13" s="1"/>
  <c r="F90" i="13" s="1"/>
  <c r="R89" i="4"/>
  <c r="S89" i="4" s="1"/>
  <c r="E89" i="13" s="1"/>
  <c r="F89" i="13" s="1"/>
  <c r="R88" i="4"/>
  <c r="R87" i="4"/>
  <c r="R86" i="4"/>
  <c r="S86" i="4" s="1"/>
  <c r="E86" i="13" s="1"/>
  <c r="F86" i="13" s="1"/>
  <c r="R85" i="4"/>
  <c r="S85" i="4" s="1"/>
  <c r="E85" i="13" s="1"/>
  <c r="R83" i="4"/>
  <c r="R76" i="4"/>
  <c r="R75" i="4"/>
  <c r="R72" i="4"/>
  <c r="R73" i="4"/>
  <c r="R74" i="4"/>
  <c r="R69" i="4"/>
  <c r="E69" i="13" s="1"/>
  <c r="R65" i="4"/>
  <c r="R61" i="4"/>
  <c r="R60" i="4"/>
  <c r="R59" i="4"/>
  <c r="R58" i="4"/>
  <c r="R57" i="4"/>
  <c r="R56" i="4"/>
  <c r="R53" i="4"/>
  <c r="S53" i="4" s="1"/>
  <c r="E53" i="13" s="1"/>
  <c r="F53" i="13" s="1"/>
  <c r="R52" i="4"/>
  <c r="S52" i="4" s="1"/>
  <c r="E52" i="13" s="1"/>
  <c r="F52" i="13" s="1"/>
  <c r="R51" i="4"/>
  <c r="S51" i="4" s="1"/>
  <c r="E51" i="13" s="1"/>
  <c r="F51" i="13" s="1"/>
  <c r="R50" i="4"/>
  <c r="S50" i="4" s="1"/>
  <c r="E50" i="13" s="1"/>
  <c r="F50" i="13" s="1"/>
  <c r="R49" i="4"/>
  <c r="R48" i="4"/>
  <c r="S48" i="4" s="1"/>
  <c r="E48" i="13" s="1"/>
  <c r="F48" i="13" s="1"/>
  <c r="R47" i="4"/>
  <c r="S47" i="4" s="1"/>
  <c r="E47" i="13" s="1"/>
  <c r="F47" i="13" s="1"/>
  <c r="R46" i="4"/>
  <c r="S46" i="4" s="1"/>
  <c r="E46" i="13" s="1"/>
  <c r="F46" i="13" s="1"/>
  <c r="R45" i="4"/>
  <c r="R43" i="4"/>
  <c r="S43" i="4" s="1"/>
  <c r="E43" i="13" s="1"/>
  <c r="F43" i="13" s="1"/>
  <c r="R41" i="4"/>
  <c r="R40" i="4"/>
  <c r="S40" i="4" s="1"/>
  <c r="E40" i="13" s="1"/>
  <c r="F40" i="13" s="1"/>
  <c r="F42" i="13" s="1"/>
  <c r="R37" i="4"/>
  <c r="R35" i="4"/>
  <c r="R34" i="4"/>
  <c r="R33" i="4"/>
  <c r="R32" i="4"/>
  <c r="R31" i="4"/>
  <c r="R30" i="4"/>
  <c r="R29" i="4"/>
  <c r="R27" i="4"/>
  <c r="S27" i="4" s="1"/>
  <c r="E27" i="13" s="1"/>
  <c r="F27" i="13" s="1"/>
  <c r="R25" i="4"/>
  <c r="S25" i="4" s="1"/>
  <c r="E25" i="13" s="1"/>
  <c r="F25" i="13" s="1"/>
  <c r="R23" i="4"/>
  <c r="S23" i="4" s="1"/>
  <c r="E23" i="13" s="1"/>
  <c r="F23" i="13" s="1"/>
  <c r="R22" i="4"/>
  <c r="S22" i="4" s="1"/>
  <c r="E22" i="13" s="1"/>
  <c r="F22" i="13" s="1"/>
  <c r="R21" i="4"/>
  <c r="S21" i="4" s="1"/>
  <c r="E21" i="13" s="1"/>
  <c r="F21" i="13" s="1"/>
  <c r="R20" i="4"/>
  <c r="S20" i="4" s="1"/>
  <c r="E20" i="13" s="1"/>
  <c r="F20" i="13" s="1"/>
  <c r="R19" i="4"/>
  <c r="S19" i="4" s="1"/>
  <c r="E19" i="13" s="1"/>
  <c r="F19" i="13" s="1"/>
  <c r="R18" i="4"/>
  <c r="S18" i="4" s="1"/>
  <c r="E18" i="13" s="1"/>
  <c r="F18" i="13" s="1"/>
  <c r="R17" i="4"/>
  <c r="S17" i="4" s="1"/>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AH730" i="3" s="1"/>
  <c r="X731" i="3"/>
  <c r="X732" i="3"/>
  <c r="X733" i="3"/>
  <c r="X734" i="3"/>
  <c r="X735" i="3"/>
  <c r="X736" i="3"/>
  <c r="X737" i="3"/>
  <c r="X738" i="3"/>
  <c r="X739" i="3"/>
  <c r="X740" i="3"/>
  <c r="X741" i="3"/>
  <c r="M832" i="3"/>
  <c r="Q832" i="3"/>
  <c r="U832" i="3"/>
  <c r="Y832" i="3"/>
  <c r="AC832" i="3"/>
  <c r="AG832" i="3"/>
  <c r="Z902" i="3"/>
  <c r="D103" i="11" l="1"/>
  <c r="D101" i="11"/>
  <c r="C96" i="13"/>
  <c r="F81" i="13"/>
  <c r="C62" i="13"/>
  <c r="D86" i="11"/>
  <c r="D36" i="11"/>
  <c r="F54" i="13"/>
  <c r="D35" i="11"/>
  <c r="D87" i="11"/>
  <c r="F26" i="13"/>
  <c r="C70" i="13"/>
  <c r="S96" i="4"/>
  <c r="E96" i="13" s="1"/>
  <c r="S26" i="4"/>
  <c r="E26" i="13" s="1"/>
  <c r="E17" i="13"/>
  <c r="C26" i="13"/>
  <c r="C54" i="13"/>
  <c r="C81" i="13"/>
  <c r="D33" i="11"/>
  <c r="D32" i="11"/>
  <c r="F96" i="13"/>
  <c r="S81" i="4"/>
  <c r="E81" i="13" s="1"/>
  <c r="S54" i="4"/>
  <c r="E54" i="13" s="1"/>
  <c r="D85" i="11"/>
  <c r="D34" i="11"/>
  <c r="B26" i="4"/>
  <c r="D6" i="11"/>
  <c r="D93" i="11"/>
  <c r="D70" i="11"/>
  <c r="D25" i="11"/>
  <c r="D90" i="11"/>
  <c r="D91" i="11"/>
  <c r="D89" i="11"/>
  <c r="D54" i="11"/>
  <c r="D94"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E104" i="13"/>
  <c r="CI753" i="3"/>
  <c r="X1048" i="3" s="1"/>
  <c r="BG243" i="3"/>
  <c r="BO245" i="3" s="1"/>
  <c r="T267" i="3" s="1"/>
  <c r="AH721" i="3"/>
  <c r="J7" i="8"/>
  <c r="J40" i="8" s="1"/>
  <c r="Z809" i="3" s="1"/>
  <c r="S38" i="21"/>
  <c r="S37" i="21"/>
  <c r="S36" i="21"/>
  <c r="S43" i="21"/>
  <c r="S35" i="21"/>
  <c r="S42" i="21"/>
  <c r="S34" i="21"/>
  <c r="U20" i="21"/>
  <c r="S41" i="21"/>
  <c r="U33" i="21"/>
  <c r="S33" i="21"/>
  <c r="S44" i="21"/>
  <c r="S40" i="21"/>
  <c r="U32" i="21"/>
  <c r="U24" i="21"/>
  <c r="U28" i="21"/>
  <c r="S39" i="21"/>
  <c r="AH720" i="3"/>
  <c r="T22" i="21"/>
  <c r="U22" i="21"/>
  <c r="U37" i="21"/>
  <c r="U29" i="21"/>
  <c r="T21" i="21"/>
  <c r="U21" i="21"/>
  <c r="T44" i="21"/>
  <c r="U44"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Y1011"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P44" i="21" a="1"/>
  <c r="P44" i="21"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R44" i="21" a="1"/>
  <c r="R44" i="21" s="1"/>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C97" i="13" l="1"/>
  <c r="C105" i="13" s="1"/>
  <c r="F63" i="13"/>
  <c r="F97" i="13" s="1"/>
  <c r="F105" i="13" s="1"/>
  <c r="F107" i="13" s="1"/>
  <c r="S63" i="4"/>
  <c r="D43" i="11"/>
  <c r="D71" i="11"/>
  <c r="N195" i="23"/>
  <c r="D82" i="11"/>
  <c r="B12" i="4"/>
  <c r="D55" i="11"/>
  <c r="D105"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AC455" i="3" l="1"/>
  <c r="O32" i="21"/>
  <c r="P32" i="21" s="1" a="1"/>
  <c r="P32" i="21" s="1"/>
  <c r="S32" i="21" s="1"/>
  <c r="O31" i="21"/>
  <c r="O30" i="21"/>
  <c r="O29" i="21"/>
  <c r="P29" i="21" s="1" a="1"/>
  <c r="P29" i="21" s="1"/>
  <c r="S29" i="21" s="1"/>
  <c r="O28" i="21"/>
  <c r="P28" i="21" s="1" a="1"/>
  <c r="P28" i="21" s="1"/>
  <c r="S28" i="21" s="1"/>
  <c r="O27" i="21"/>
  <c r="O26" i="21"/>
  <c r="O25" i="21"/>
  <c r="P25" i="21" s="1" a="1"/>
  <c r="P25" i="21" s="1"/>
  <c r="S25" i="21" s="1"/>
  <c r="O24" i="21"/>
  <c r="O23" i="21"/>
  <c r="O22" i="21"/>
  <c r="P22" i="21" s="1" a="1"/>
  <c r="P22" i="21" s="1"/>
  <c r="S22" i="21" s="1"/>
  <c r="O21" i="21"/>
  <c r="P21" i="21" s="1" a="1"/>
  <c r="P21" i="21" s="1"/>
  <c r="S21" i="21" s="1"/>
  <c r="AZ1048" i="3"/>
  <c r="D64" i="11"/>
  <c r="B105" i="4"/>
  <c r="BE101" i="3"/>
  <c r="AK84" i="20"/>
  <c r="AK191" i="20" s="1"/>
  <c r="T811" i="20" s="1"/>
  <c r="AF811" i="20" s="1"/>
  <c r="BE76" i="3" s="1"/>
  <c r="D13" i="11"/>
  <c r="B97" i="13"/>
  <c r="B97" i="4"/>
  <c r="AZ1046" i="3"/>
  <c r="S105" i="4"/>
  <c r="E97" i="13"/>
  <c r="B105" i="13"/>
  <c r="AG269" i="20"/>
  <c r="O58" i="7"/>
  <c r="Q53" i="7"/>
  <c r="T105" i="4"/>
  <c r="H97" i="13"/>
  <c r="P31" i="21" a="1"/>
  <c r="P31" i="21" s="1"/>
  <c r="S31" i="21" s="1"/>
  <c r="P30" i="21" a="1"/>
  <c r="P30" i="21" s="1"/>
  <c r="S30" i="21" s="1"/>
  <c r="P27" i="21" a="1"/>
  <c r="P27" i="21" s="1"/>
  <c r="S27" i="21" s="1"/>
  <c r="P26" i="21" a="1"/>
  <c r="P26" i="21" s="1"/>
  <c r="S26" i="21" s="1"/>
  <c r="P23" i="21" a="1"/>
  <c r="P23" i="21" s="1"/>
  <c r="S23" i="21" s="1"/>
  <c r="P24" i="21" a="1"/>
  <c r="P24" i="21" s="1"/>
  <c r="S24" i="21" s="1"/>
  <c r="P20" i="21" a="1"/>
  <c r="P20" i="21" s="1"/>
  <c r="S20"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47" i="15" l="1"/>
  <c r="AB49" i="15" s="1"/>
  <c r="AB54" i="15" s="1"/>
  <c r="AB55" i="15" s="1"/>
  <c r="AB266" i="20"/>
  <c r="AG268" i="20" s="1"/>
  <c r="AC454" i="3"/>
  <c r="T805" i="20"/>
  <c r="AF805" i="20" s="1"/>
  <c r="BE72" i="3" s="1"/>
  <c r="N185" i="23"/>
  <c r="BE22" i="3"/>
  <c r="S107" i="4"/>
  <c r="E105" i="13"/>
  <c r="BA1056" i="3"/>
  <c r="AZ1051" i="3"/>
  <c r="H105" i="13"/>
  <c r="T107" i="4"/>
  <c r="H107" i="13" s="1"/>
  <c r="Q58" i="7"/>
  <c r="S53" i="7"/>
  <c r="AG270" i="20"/>
  <c r="AK273" i="20" s="1"/>
  <c r="T812" i="20" s="1"/>
  <c r="AF812" i="20" s="1"/>
  <c r="BE77" i="3" s="1"/>
  <c r="G45" i="21"/>
  <c r="G47" i="21" s="1"/>
  <c r="E10" i="21" s="1"/>
  <c r="E11" i="21"/>
  <c r="AP705" i="20"/>
  <c r="AJ711" i="20" s="1"/>
  <c r="AK794" i="20" s="1"/>
  <c r="T819" i="20" s="1"/>
  <c r="AF819" i="20" s="1"/>
  <c r="BE82" i="3" s="1"/>
  <c r="AP706" i="20"/>
  <c r="I4" i="7"/>
  <c r="I5" i="7" s="1"/>
  <c r="K9" i="7"/>
  <c r="E11" i="7"/>
  <c r="E37" i="7" s="1"/>
  <c r="E49" i="7" s="1"/>
  <c r="AJ992" i="3"/>
  <c r="AJ1029" i="3" s="1"/>
  <c r="E138" i="20"/>
  <c r="E139" i="20" s="1"/>
  <c r="AK143" i="20" s="1"/>
  <c r="T807" i="20" s="1"/>
  <c r="AF807" i="20" s="1"/>
  <c r="BE74" i="3" s="1"/>
  <c r="AB991" i="3"/>
  <c r="DU802" i="3"/>
  <c r="U373" i="20" s="1"/>
  <c r="P421" i="3"/>
  <c r="I6" i="7"/>
  <c r="G7" i="7"/>
  <c r="G11" i="7" s="1"/>
  <c r="G37" i="7" s="1"/>
  <c r="M22" i="7"/>
  <c r="M35" i="7" s="1"/>
  <c r="O15" i="7"/>
  <c r="M9" i="7"/>
  <c r="O8" i="7"/>
  <c r="G27" i="21"/>
  <c r="F26" i="21"/>
  <c r="AD11" i="15" l="1"/>
  <c r="AD23" i="15" s="1"/>
  <c r="AD26" i="15" s="1"/>
  <c r="AD28" i="15" s="1"/>
  <c r="AI11" i="15"/>
  <c r="AI23" i="15" s="1"/>
  <c r="AI26" i="15" s="1"/>
  <c r="AI28" i="15" s="1"/>
  <c r="AC456" i="3"/>
  <c r="BE44" i="3"/>
  <c r="F457" i="3"/>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Y64" i="15" s="1"/>
  <c r="Y68" i="15" s="1"/>
  <c r="Y69" i="15" s="1"/>
  <c r="U58" i="7"/>
  <c r="W53" i="7"/>
  <c r="AJ1053" i="3"/>
  <c r="AA1057" i="3" s="1"/>
  <c r="G1058" i="3" s="1"/>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T29" i="15" l="1"/>
  <c r="G80" i="21"/>
  <c r="E15" i="21" s="1"/>
  <c r="W58" i="7"/>
  <c r="Y53" i="7"/>
  <c r="T24" i="15"/>
  <c r="Y38" i="15" s="1"/>
  <c r="Y40" i="15" s="1"/>
  <c r="AP557" i="20"/>
  <c r="AP556" i="20" s="1"/>
  <c r="AP559" i="20" s="1"/>
  <c r="AF552" i="20" s="1"/>
  <c r="AF553" i="20" s="1"/>
  <c r="AK559" i="20" s="1"/>
  <c r="T818" i="20" s="1"/>
  <c r="AF818" i="20" s="1"/>
  <c r="BE81" i="3" s="1"/>
  <c r="K11" i="7"/>
  <c r="K37" i="7" s="1"/>
  <c r="K45" i="7" s="1"/>
  <c r="E66" i="7"/>
  <c r="O5" i="7"/>
  <c r="Q4" i="7"/>
  <c r="M7" i="7"/>
  <c r="M11" i="7" s="1"/>
  <c r="M37" i="7" s="1"/>
  <c r="O6" i="7"/>
  <c r="G62" i="7"/>
  <c r="G66"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6" i="7"/>
  <c r="I62" i="7"/>
  <c r="K47" i="7"/>
  <c r="K60" i="7"/>
  <c r="K48" i="7"/>
  <c r="U22" i="7"/>
  <c r="U35" i="7" s="1"/>
  <c r="W15" i="7"/>
  <c r="U9" i="7"/>
  <c r="W8" i="7"/>
  <c r="AC53" i="7" l="1"/>
  <c r="AA58" i="7"/>
  <c r="M26" i="3"/>
  <c r="BE19" i="3" s="1"/>
  <c r="U4" i="7"/>
  <c r="S5" i="7"/>
  <c r="M48" i="7"/>
  <c r="M47" i="7"/>
  <c r="M60" i="7"/>
  <c r="O45" i="7"/>
  <c r="O49" i="7"/>
  <c r="K66" i="7"/>
  <c r="K62" i="7"/>
  <c r="Q7" i="7"/>
  <c r="Q11" i="7" s="1"/>
  <c r="Q37" i="7" s="1"/>
  <c r="S6" i="7"/>
  <c r="I70" i="7"/>
  <c r="I72" i="7" s="1"/>
  <c r="W22" i="7"/>
  <c r="W35" i="7" s="1"/>
  <c r="Y15" i="7"/>
  <c r="W9" i="7"/>
  <c r="Y8" i="7"/>
  <c r="AE53" i="7" l="1"/>
  <c r="AC58" i="7"/>
  <c r="AB57" i="15"/>
  <c r="P204" i="3"/>
  <c r="U5" i="7"/>
  <c r="W4" i="7"/>
  <c r="Q49" i="7"/>
  <c r="Q45" i="7"/>
  <c r="M62"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2" i="7"/>
  <c r="S48" i="7"/>
  <c r="S47" i="7"/>
  <c r="S60" i="7"/>
  <c r="O70" i="7"/>
  <c r="O72" i="7" s="1"/>
  <c r="AE15" i="7"/>
  <c r="AC22" i="7"/>
  <c r="AC35" i="7" s="1"/>
  <c r="AC9" i="7"/>
  <c r="AE8" i="7"/>
  <c r="M27" i="3" l="1"/>
  <c r="BE20" i="3" s="1"/>
  <c r="I10" i="21"/>
  <c r="I11" i="21" s="1"/>
  <c r="AA5" i="7"/>
  <c r="AC4" i="7"/>
  <c r="S66" i="7"/>
  <c r="S62" i="7"/>
  <c r="U48" i="7"/>
  <c r="U60" i="7"/>
  <c r="U47" i="7"/>
  <c r="Q70" i="7"/>
  <c r="Q72" i="7" s="1"/>
  <c r="W49" i="7"/>
  <c r="W45" i="7"/>
  <c r="Y7" i="7"/>
  <c r="Y11" i="7" s="1"/>
  <c r="Y37" i="7" s="1"/>
  <c r="AA6" i="7"/>
  <c r="AE22" i="7"/>
  <c r="AE35" i="7" s="1"/>
  <c r="AG15" i="7"/>
  <c r="AG22" i="7" s="1"/>
  <c r="AG35" i="7" s="1"/>
  <c r="AE9" i="7"/>
  <c r="AG8" i="7"/>
  <c r="AG9" i="7" s="1"/>
  <c r="H4" i="21" l="1"/>
  <c r="P205" i="3"/>
  <c r="S70" i="7"/>
  <c r="S72" i="7" s="1"/>
  <c r="AC5" i="7"/>
  <c r="AE4" i="7"/>
  <c r="AC6" i="7"/>
  <c r="AA7" i="7"/>
  <c r="AA11" i="7" s="1"/>
  <c r="AA37" i="7" s="1"/>
  <c r="U66" i="7"/>
  <c r="U62" i="7"/>
  <c r="Y49" i="7"/>
  <c r="Y45" i="7"/>
  <c r="W60" i="7"/>
  <c r="W47" i="7"/>
  <c r="W48" i="7"/>
  <c r="AE5" i="7" l="1"/>
  <c r="AG4" i="7"/>
  <c r="AA45" i="7"/>
  <c r="AA49" i="7"/>
  <c r="U70" i="7"/>
  <c r="U72" i="7" s="1"/>
  <c r="W62" i="7"/>
  <c r="W66" i="7"/>
  <c r="Y47" i="7"/>
  <c r="Y48" i="7"/>
  <c r="Y60" i="7"/>
  <c r="AE6" i="7"/>
  <c r="AC7" i="7"/>
  <c r="AC11" i="7" s="1"/>
  <c r="AC37" i="7" s="1"/>
  <c r="AG5" i="7" l="1"/>
  <c r="W70" i="7"/>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2" i="7"/>
  <c r="AG66"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2"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<sst xmlns="http://schemas.openxmlformats.org/spreadsheetml/2006/main" count="5059" uniqueCount="2748">
  <si>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</si>
  <si>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</si>
  <si>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</si>
  <si>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</si>
  <si>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</si>
  <si>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</si>
  <si>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</si>
  <si>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</si>
  <si>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</si>
  <si>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</si>
  <si>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</si>
  <si>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</si>
  <si>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</si>
  <si>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</si>
  <si>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</si>
  <si>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</si>
  <si>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</si>
  <si>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</si>
  <si>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</si>
  <si>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</si>
  <si>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</si>
  <si>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</si>
  <si>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</si>
  <si>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</si>
  <si>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</si>
  <si>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</si>
  <si>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</si>
  <si>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</si>
  <si>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</si>
  <si>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</si>
  <si>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</si>
  <si>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</si>
  <si>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</si>
  <si>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</si>
  <si>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</si>
  <si>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</si>
  <si>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</si>
  <si>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</si>
  <si>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</si>
  <si>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</si>
  <si>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</si>
  <si>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</si>
  <si>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</si>
  <si>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</si>
  <si>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</si>
  <si>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</si>
  <si>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</si>
  <si>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</si>
  <si>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</si>
  <si>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</si>
  <si>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</si>
  <si>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</si>
  <si>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</si>
  <si>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</si>
  <si>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</si>
  <si>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</si>
  <si>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</si>
  <si>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</si>
  <si>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</si>
  <si>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</si>
  <si>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</si>
  <si>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</si>
  <si>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</si>
  <si>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</si>
  <si>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</si>
  <si>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</si>
  <si>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</si>
  <si>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</si>
  <si>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</si>
  <si>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</si>
  <si>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</si>
  <si>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</si>
  <si>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</si>
  <si>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</si>
  <si>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</si>
  <si>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</si>
  <si>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</si>
  <si>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</si>
  <si>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</si>
  <si>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</si>
  <si>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</si>
  <si>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</si>
  <si>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</si>
  <si>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</si>
  <si>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</si>
  <si>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</si>
  <si>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</si>
  <si>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</si>
  <si>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</si>
  <si>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</si>
  <si>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</si>
  <si>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</si>
  <si>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</si>
  <si>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</si>
  <si>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</si>
  <si>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</si>
  <si>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</si>
  <si>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</si>
  <si>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</si>
  <si>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</si>
  <si>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</si>
  <si>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</si>
  <si>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</si>
  <si>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</si>
  <si>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</si>
  <si>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</si>
  <si>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</si>
  <si>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</si>
  <si>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</si>
  <si>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</si>
  <si>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</si>
  <si>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</si>
  <si>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</si>
  <si>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</si>
  <si>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</si>
  <si>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</si>
  <si>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</si>
  <si>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</si>
  <si>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</si>
  <si>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</si>
  <si>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</si>
  <si>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</si>
  <si>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</si>
  <si>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</si>
  <si>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</si>
  <si>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</si>
  <si>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</si>
  <si>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</si>
  <si>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</si>
  <si>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</si>
  <si>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</si>
  <si>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</si>
  <si>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</si>
  <si>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</si>
  <si>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</si>
  <si>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</si>
  <si>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</si>
  <si>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</si>
  <si>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</si>
  <si>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</si>
  <si>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</si>
  <si>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</si>
  <si>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</si>
  <si>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</si>
  <si>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</si>
  <si>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</si>
  <si>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</si>
  <si>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</si>
  <si>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</si>
  <si>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</si>
  <si>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</si>
  <si>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</si>
  <si>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</si>
  <si>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</si>
  <si>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</si>
  <si>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</si>
  <si>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</si>
  <si>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</si>
  <si>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</si>
  <si>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</si>
  <si>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</si>
  <si>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</si>
  <si>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</si>
  <si>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</si>
  <si>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</si>
  <si>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</si>
  <si>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</si>
  <si>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</si>
  <si>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</si>
  <si>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</si>
  <si>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</si>
  <si>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</si>
  <si>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</si>
  <si>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</si>
  <si>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</si>
  <si>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</si>
  <si>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</si>
  <si>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</si>
  <si>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</si>
  <si>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</si>
  <si>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</si>
  <si>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</si>
  <si>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</si>
  <si>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</si>
  <si>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</si>
  <si>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</si>
  <si>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</si>
  <si>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</si>
  <si>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</si>
  <si>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</si>
  <si>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</si>
  <si>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</si>
  <si>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</si>
  <si>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</si>
  <si>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</si>
  <si>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</si>
  <si>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</si>
  <si>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</si>
  <si>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</si>
  <si>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</si>
  <si>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</si>
  <si>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</si>
  <si>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</si>
  <si>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</si>
  <si>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</si>
  <si>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</si>
  <si>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</si>
  <si>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</si>
  <si>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</si>
  <si>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</si>
  <si>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</si>
  <si>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</si>
  <si>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</si>
  <si>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</si>
  <si>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</si>
  <si>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</si>
  <si>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</si>
  <si>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</si>
  <si>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</si>
  <si>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</si>
  <si>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</si>
  <si>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</si>
  <si>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</si>
  <si>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</si>
  <si>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</si>
  <si>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</si>
  <si>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</si>
  <si>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</si>
  <si>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</si>
  <si>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</si>
  <si>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</si>
  <si>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</si>
  <si>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</si>
  <si>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</si>
  <si>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</si>
  <si>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</si>
  <si>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</si>
  <si>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</si>
  <si>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</si>
  <si>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</si>
  <si>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</si>
  <si>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</si>
  <si>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</si>
  <si>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</si>
  <si>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</si>
  <si>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</si>
  <si>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</si>
  <si>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</si>
  <si>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</si>
  <si>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</si>
  <si>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</si>
  <si>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</si>
  <si>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</si>
  <si>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</si>
  <si>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</si>
  <si>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</si>
  <si>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</si>
  <si>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</si>
  <si>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</si>
  <si>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</si>
  <si>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</si>
  <si>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</si>
  <si>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</si>
  <si>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</si>
  <si>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</si>
  <si>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</si>
  <si>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</si>
  <si>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</si>
  <si>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</si>
  <si>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</si>
  <si>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</si>
  <si>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</si>
  <si>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</si>
  <si>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</si>
  <si>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</si>
  <si>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</si>
  <si>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</si>
  <si>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</si>
  <si>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</si>
  <si>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</si>
  <si>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</si>
  <si>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</si>
  <si>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</si>
  <si>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</si>
  <si>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</si>
  <si>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</si>
  <si>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</si>
  <si>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</si>
  <si>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</si>
  <si>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</si>
  <si>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</si>
  <si>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</si>
  <si>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</si>
  <si>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</si>
  <si>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</si>
  <si>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</si>
  <si>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</si>
  <si>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</si>
  <si>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</si>
  <si>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</si>
  <si>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</si>
  <si>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</si>
  <si>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</si>
  <si>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</si>
  <si>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</si>
  <si>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</si>
  <si>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</si>
  <si>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</si>
  <si>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</si>
  <si>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</si>
  <si>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</si>
  <si>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</si>
  <si>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</si>
  <si>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</si>
  <si>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</si>
  <si>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</si>
  <si>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</si>
  <si>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</si>
  <si>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</si>
  <si>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</si>
  <si>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</si>
  <si>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</si>
  <si>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</si>
  <si>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</si>
  <si>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</si>
  <si>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</si>
  <si>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</si>
  <si>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</si>
  <si>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</si>
  <si>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</si>
  <si>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</si>
  <si>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</si>
  <si>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</si>
  <si>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</si>
  <si>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</si>
  <si>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</si>
  <si>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</si>
  <si>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</si>
  <si>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</si>
  <si>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</si>
  <si>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</si>
  <si>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</si>
  <si>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</si>
  <si>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</si>
  <si>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</si>
  <si>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</si>
  <si>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</si>
  <si>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</si>
  <si>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</si>
  <si>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</si>
  <si>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</si>
  <si>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</si>
  <si>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</si>
  <si>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</si>
  <si>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</si>
  <si>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</si>
  <si>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</si>
  <si>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</si>
  <si>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</si>
  <si>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</si>
  <si>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</si>
  <si>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</si>
  <si>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</si>
  <si>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</si>
  <si>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</si>
  <si>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</si>
  <si>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</si>
  <si>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</si>
  <si>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</si>
  <si>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</si>
  <si>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</si>
  <si>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</si>
  <si>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</si>
  <si>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</si>
  <si>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</si>
  <si>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</si>
  <si>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</si>
  <si>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</si>
  <si>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</si>
  <si>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</si>
  <si>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</si>
  <si>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</si>
  <si>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</si>
  <si>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</si>
  <si>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</si>
  <si>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</si>
  <si>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</si>
  <si>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</si>
  <si>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</si>
  <si>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</si>
  <si>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</si>
  <si>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</si>
  <si>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</si>
  <si>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</si>
  <si>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</si>
  <si>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</si>
  <si>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</si>
  <si>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</si>
  <si>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</si>
  <si>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</si>
  <si>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</si>
  <si>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</si>
  <si>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</si>
  <si>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</si>
  <si>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</si>
  <si>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</si>
  <si>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</si>
  <si>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</si>
  <si>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</si>
  <si>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</si>
  <si>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</si>
  <si>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</si>
  <si>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</si>
  <si>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</si>
  <si>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</si>
  <si>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</si>
  <si>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</si>
  <si>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</si>
  <si>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</si>
  <si>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</si>
  <si>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</si>
  <si>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</si>
  <si>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</si>
  <si>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</si>
  <si>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</si>
  <si>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</si>
  <si>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</si>
  <si>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</si>
  <si>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</si>
  <si>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</si>
  <si>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</si>
  <si>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</si>
  <si>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</si>
  <si>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</si>
  <si>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</si>
  <si>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</si>
  <si>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</si>
  <si>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</si>
  <si>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</si>
  <si>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</si>
  <si>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</si>
  <si>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</si>
  <si>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</si>
  <si>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</si>
  <si>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</si>
  <si>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</si>
  <si>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</si>
  <si>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</si>
  <si>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</si>
  <si>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</si>
  <si>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</si>
  <si>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</si>
  <si>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</si>
  <si>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</si>
  <si>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</si>
  <si>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</si>
  <si>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</si>
  <si>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</si>
  <si>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</si>
  <si>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</si>
  <si>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</si>
  <si>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</si>
  <si>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</si>
  <si>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</si>
  <si>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</si>
  <si>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</si>
  <si>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</si>
  <si>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</si>
  <si>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</si>
  <si>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</si>
  <si>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</si>
  <si>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</si>
  <si>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</si>
  <si>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</si>
  <si>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</si>
  <si>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</si>
  <si>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</si>
  <si>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</si>
  <si>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</si>
  <si>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</si>
  <si>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</si>
  <si>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</si>
  <si>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</si>
  <si>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</si>
  <si>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</si>
  <si>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</si>
  <si>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</si>
  <si>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</si>
  <si>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</si>
  <si>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</si>
  <si>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</si>
  <si>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</si>
  <si>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</si>
  <si>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</si>
  <si>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</si>
  <si>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</si>
  <si>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</si>
  <si>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</si>
  <si>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</si>
  <si>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</si>
  <si>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</si>
  <si>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</si>
  <si>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</si>
  <si>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</si>
  <si>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</si>
  <si>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</si>
  <si>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</si>
  <si>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</si>
  <si>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</si>
  <si>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</si>
  <si>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</si>
  <si>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</si>
  <si>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</si>
  <si>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</si>
  <si>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</si>
  <si>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</si>
  <si>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</si>
  <si>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</si>
  <si>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</si>
  <si>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</si>
  <si>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</si>
  <si>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</si>
  <si>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</si>
  <si>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</si>
  <si>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</si>
  <si>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</si>
  <si>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</si>
  <si>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</si>
  <si>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</si>
  <si>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</si>
  <si>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</si>
  <si>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</si>
  <si>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</si>
  <si>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</si>
  <si>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</si>
  <si>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</si>
  <si>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</si>
  <si>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</si>
  <si>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</si>
  <si>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</si>
  <si>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</si>
  <si>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</si>
  <si>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</si>
  <si>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</si>
  <si>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</si>
  <si>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</si>
  <si>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</si>
  <si>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</si>
  <si>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</si>
  <si>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</si>
  <si>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</si>
  <si>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</si>
  <si>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</si>
  <si>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</si>
  <si>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</si>
  <si>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</si>
  <si>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</si>
  <si>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</si>
  <si>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</si>
  <si>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</si>
  <si>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</si>
  <si>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</si>
  <si>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</si>
  <si>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</si>
  <si>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</si>
  <si>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</si>
  <si>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</si>
  <si>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</si>
  <si>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</si>
  <si>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</si>
  <si>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</si>
  <si>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</si>
  <si>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</si>
  <si>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</si>
  <si>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</si>
  <si>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</si>
  <si>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</si>
  <si>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</si>
  <si>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</si>
  <si>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</si>
  <si>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</si>
  <si>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</si>
  <si>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</si>
  <si>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</si>
  <si>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</si>
  <si>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</si>
  <si>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</si>
  <si>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</si>
  <si>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</si>
  <si>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</si>
  <si>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</si>
  <si>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</si>
  <si>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</si>
  <si>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</si>
  <si>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</si>
  <si>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</si>
  <si>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</si>
  <si>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</si>
  <si>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</si>
  <si>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</si>
  <si>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</si>
  <si>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</si>
  <si>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</si>
  <si>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</si>
  <si>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</si>
  <si>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</si>
  <si>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</si>
  <si>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</si>
  <si>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</si>
  <si>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</si>
  <si>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</si>
  <si>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</si>
  <si>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</si>
  <si>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</si>
  <si>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</si>
  <si>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</si>
  <si>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</si>
  <si>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</si>
  <si>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</si>
  <si>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</si>
  <si>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</si>
  <si>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</si>
  <si>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</si>
  <si>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</si>
  <si>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</si>
  <si>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</si>
  <si>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</si>
  <si>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</si>
  <si>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</si>
  <si>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</si>
  <si>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</si>
  <si>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</si>
  <si>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</si>
  <si>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</si>
  <si>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</si>
  <si>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</si>
  <si>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</si>
  <si>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</si>
  <si>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</si>
  <si>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</si>
  <si>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</si>
  <si>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</si>
  <si>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</si>
  <si>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</si>
  <si>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</si>
  <si>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</si>
  <si>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</si>
  <si>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</si>
  <si>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</si>
  <si>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</si>
  <si>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</si>
  <si>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</si>
  <si>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</si>
  <si>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</si>
  <si>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</si>
  <si>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</si>
  <si>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</si>
  <si>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</si>
  <si>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</si>
  <si>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</si>
  <si>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</si>
  <si>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</si>
  <si>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</si>
  <si>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</si>
  <si>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</si>
  <si>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</si>
  <si>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</si>
  <si>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</si>
  <si>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</si>
  <si>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</si>
  <si>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</si>
  <si>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</si>
  <si>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</si>
  <si>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</si>
  <si>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</si>
  <si>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</si>
  <si>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</si>
  <si>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</si>
  <si>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</si>
  <si>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</si>
  <si>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</si>
  <si>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</si>
  <si>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</si>
  <si>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</si>
  <si>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</si>
  <si>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</si>
  <si>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</si>
  <si>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</si>
  <si>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</si>
  <si>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</si>
  <si>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</si>
  <si>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</si>
  <si>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</si>
  <si>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</si>
  <si>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</si>
  <si>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</si>
  <si>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</si>
  <si>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</si>
  <si>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</si>
  <si>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</si>
  <si>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</si>
  <si>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</si>
  <si>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</si>
  <si>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</si>
  <si>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</si>
  <si>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</si>
  <si>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</si>
  <si>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</si>
  <si>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</si>
  <si>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</si>
  <si>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</si>
  <si>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</si>
  <si>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</si>
  <si>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</si>
  <si>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</si>
  <si>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</si>
  <si>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</si>
  <si>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</si>
  <si>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</si>
  <si>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</si>
  <si>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</si>
  <si>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</si>
  <si>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</si>
  <si>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</si>
  <si>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</si>
  <si>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</si>
  <si>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</si>
  <si>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</si>
  <si>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</si>
  <si>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</si>
  <si>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</si>
  <si>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</si>
  <si>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</si>
  <si>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</si>
  <si>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</si>
  <si>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</si>
  <si>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</si>
  <si>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</si>
  <si>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</si>
  <si>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</si>
  <si>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</si>
  <si>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</si>
  <si>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</si>
  <si>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</si>
  <si>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</si>
  <si>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</si>
  <si>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</si>
  <si>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</si>
  <si>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</si>
  <si>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</si>
  <si>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</si>
  <si>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</si>
  <si>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</si>
  <si>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</si>
  <si>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</si>
  <si>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</si>
  <si>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</si>
  <si>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</si>
  <si>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</si>
  <si>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</si>
  <si>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</si>
  <si>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</si>
  <si>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</si>
  <si>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</si>
  <si>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</si>
  <si>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</si>
  <si>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</si>
  <si>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</si>
  <si>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</si>
  <si>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</si>
  <si>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</si>
  <si>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</si>
  <si>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</si>
  <si>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</si>
  <si>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</si>
  <si>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</si>
  <si>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</si>
  <si>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</si>
  <si>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</si>
  <si>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</si>
  <si>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</si>
  <si>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</si>
  <si>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</si>
  <si>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</si>
  <si>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</si>
  <si>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</si>
  <si>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</si>
  <si>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</si>
  <si>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</si>
  <si>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</si>
  <si>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</si>
  <si>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</si>
  <si>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</si>
  <si>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</si>
  <si>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</si>
  <si>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</si>
  <si>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</si>
  <si>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</si>
  <si>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</si>
  <si>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</si>
  <si>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</si>
  <si>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</si>
  <si>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</si>
  <si>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</si>
  <si>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</si>
  <si>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</si>
  <si>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</si>
  <si>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</si>
  <si>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</si>
  <si>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</si>
  <si>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</si>
  <si>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</si>
  <si>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</si>
  <si>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</si>
  <si>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</si>
  <si>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</si>
  <si>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</si>
  <si>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</si>
  <si>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</si>
  <si>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</si>
  <si>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</si>
  <si>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</si>
  <si>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</si>
  <si>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</si>
  <si>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</si>
  <si>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</si>
  <si>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</si>
  <si>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</si>
  <si>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</si>
  <si>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</si>
  <si>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</si>
  <si>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</si>
  <si>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</si>
  <si>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</si>
  <si>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</si>
  <si>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</si>
  <si>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</si>
  <si>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</si>
  <si>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</si>
  <si>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</si>
  <si>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</si>
  <si>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</si>
  <si>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</si>
  <si>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</si>
  <si>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</si>
  <si>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</si>
  <si>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</si>
  <si>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</si>
  <si>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</si>
  <si>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</si>
  <si>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</si>
  <si>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</si>
  <si>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</si>
  <si>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</si>
  <si>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</si>
  <si>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</si>
  <si>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</si>
  <si>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</si>
  <si>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</si>
  <si>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</si>
  <si>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</si>
  <si>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</si>
  <si>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</si>
  <si>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</si>
  <si>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</si>
  <si>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</si>
  <si>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</si>
  <si>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</si>
  <si>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</si>
  <si>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</si>
  <si>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</si>
  <si>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</si>
  <si>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</si>
  <si>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</si>
  <si>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</si>
  <si>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</si>
  <si>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</si>
  <si>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</si>
  <si>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</si>
  <si>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</si>
  <si>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</si>
  <si>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</si>
  <si>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</si>
  <si>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</si>
  <si>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</si>
  <si>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</si>
  <si>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</si>
  <si>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</si>
  <si>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</si>
  <si>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</si>
  <si>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</si>
  <si>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</si>
  <si>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</si>
  <si>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</si>
  <si>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</si>
  <si>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</si>
  <si>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</si>
  <si>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</si>
  <si>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</si>
  <si>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</si>
  <si>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</si>
  <si>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</si>
  <si>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</si>
  <si>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</si>
  <si>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</si>
  <si>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</si>
  <si>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</si>
  <si>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</si>
  <si>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</si>
  <si>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</si>
  <si>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</si>
  <si>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</si>
  <si>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</si>
  <si>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</si>
  <si>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</si>
  <si>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</si>
  <si>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</si>
  <si>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</si>
  <si>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</si>
  <si>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</si>
  <si>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</si>
  <si>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</si>
  <si>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</si>
  <si>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</si>
  <si>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</si>
  <si>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</si>
  <si>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</si>
  <si>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</si>
  <si>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</si>
  <si>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</si>
  <si>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</si>
  <si>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</si>
  <si>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</si>
  <si>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</si>
  <si>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</si>
  <si>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</si>
  <si>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</si>
  <si>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</si>
  <si>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</si>
  <si>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</si>
  <si>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</si>
  <si>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</si>
  <si>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</si>
  <si>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</si>
  <si>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</si>
  <si>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</si>
  <si>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</si>
  <si>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</si>
  <si>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</si>
  <si>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</si>
  <si>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</si>
  <si>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</si>
  <si>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</si>
  <si>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</si>
  <si>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</si>
  <si>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</si>
  <si>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</si>
  <si>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</si>
  <si>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</si>
  <si>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</si>
  <si>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</si>
  <si>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</si>
  <si>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</si>
  <si>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</si>
  <si>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</si>
  <si>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</si>
  <si>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</si>
  <si>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</si>
  <si>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</si>
  <si>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</si>
  <si>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</si>
  <si>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</si>
  <si>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</si>
  <si>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</si>
  <si>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</si>
  <si>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</si>
  <si>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</si>
  <si>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</si>
  <si>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</si>
  <si>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</si>
  <si>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</si>
  <si>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</si>
  <si>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</si>
  <si>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</si>
  <si>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</si>
  <si>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</si>
  <si>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</si>
  <si>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</si>
  <si>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</si>
  <si>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</si>
  <si>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</si>
  <si>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</si>
  <si>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</si>
  <si>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</si>
  <si>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</si>
  <si>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</si>
  <si>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</si>
  <si>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</si>
  <si>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</si>
  <si>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</si>
  <si>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</si>
  <si>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</si>
  <si>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</si>
  <si>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</si>
  <si>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</si>
  <si>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</si>
  <si>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</si>
  <si>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</si>
  <si>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</si>
  <si>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</si>
  <si>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</si>
  <si>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</si>
  <si>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</si>
  <si>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</si>
  <si>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</si>
  <si>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</si>
  <si>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</si>
  <si>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</si>
  <si>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</si>
  <si>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</si>
  <si>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</si>
  <si>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</si>
  <si>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</si>
  <si>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</si>
  <si>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</si>
  <si>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</si>
  <si>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</si>
  <si>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</si>
  <si>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</si>
  <si>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</si>
  <si>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</si>
  <si>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</si>
  <si>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</si>
  <si>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</si>
  <si>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</si>
  <si>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</si>
  <si>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</si>
  <si>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</si>
  <si>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</si>
  <si>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</si>
  <si>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</si>
  <si>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</si>
  <si>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</si>
  <si>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</si>
  <si>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</si>
  <si>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</si>
  <si>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</si>
  <si>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</si>
  <si>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</si>
  <si>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</si>
  <si>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</si>
  <si>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</si>
  <si>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</si>
  <si>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</si>
  <si>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</si>
  <si>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</si>
  <si>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</si>
  <si>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</si>
  <si>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</si>
  <si>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</si>
  <si>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</si>
  <si>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</si>
  <si>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</si>
  <si>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</si>
  <si>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</si>
  <si>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</si>
  <si>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</si>
  <si>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</si>
  <si>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</si>
  <si>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</si>
  <si>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</si>
  <si>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</si>
  <si>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</si>
  <si>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</si>
  <si>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</si>
  <si>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</si>
  <si>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</si>
  <si>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</si>
  <si>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</si>
  <si>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</si>
  <si>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</si>
  <si>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</si>
  <si>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</si>
  <si>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</si>
  <si>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</si>
  <si>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</si>
  <si>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</si>
  <si>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</si>
  <si>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</si>
  <si>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</si>
  <si>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</si>
  <si>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</si>
  <si>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</si>
  <si>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</si>
  <si>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</si>
  <si>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</si>
  <si>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</si>
  <si>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</si>
  <si>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</si>
  <si>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</si>
  <si>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</si>
  <si>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</si>
  <si>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</si>
  <si>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</si>
  <si>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</si>
  <si>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</si>
  <si>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</si>
  <si>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</si>
  <si>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</si>
  <si>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</si>
  <si>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</si>
  <si>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</si>
  <si>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</si>
  <si>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</si>
  <si>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</si>
  <si>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</si>
  <si>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</si>
  <si>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</si>
  <si>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</si>
  <si>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</si>
  <si>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</si>
  <si>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</si>
  <si>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</si>
  <si>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</si>
  <si>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</si>
  <si>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</si>
  <si>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</si>
  <si>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</si>
  <si>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</si>
  <si>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</si>
  <si>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</si>
  <si>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</si>
  <si>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</si>
  <si>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</si>
  <si>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</si>
  <si>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</si>
  <si>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</si>
  <si>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</si>
  <si>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</si>
  <si>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</si>
  <si>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</si>
  <si>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</si>
  <si>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</si>
  <si>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</si>
  <si>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</si>
  <si>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</si>
  <si>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</si>
  <si>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</si>
  <si>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</si>
  <si>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</si>
  <si>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</si>
  <si>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</si>
  <si>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</si>
  <si>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</si>
  <si>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</si>
  <si>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</si>
  <si>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</si>
  <si>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</si>
  <si>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</si>
  <si>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</si>
  <si>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</si>
  <si>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</si>
  <si>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</si>
  <si>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</si>
  <si>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</si>
  <si>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</si>
  <si>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</si>
  <si>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</si>
  <si>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</si>
  <si>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</si>
  <si>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</si>
  <si>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</si>
  <si>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</si>
  <si>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</si>
  <si>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</si>
  <si>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</si>
  <si>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</si>
  <si>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</si>
  <si>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</si>
  <si>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</si>
  <si>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</si>
  <si>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</si>
  <si>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</si>
  <si>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</si>
  <si>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</si>
  <si>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</si>
  <si>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</si>
  <si>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</si>
  <si>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</si>
  <si>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</si>
  <si>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</si>
  <si>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</si>
  <si>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</si>
  <si>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</si>
  <si>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</si>
  <si>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</si>
  <si>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</si>
  <si>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</si>
  <si>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</si>
  <si>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</si>
  <si>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</si>
  <si>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</si>
  <si>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</si>
  <si>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</si>
  <si>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</si>
  <si>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</si>
  <si>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</si>
  <si>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</si>
  <si>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</si>
  <si>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</si>
  <si>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</si>
  <si>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</si>
  <si>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</si>
  <si>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</si>
  <si>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</si>
  <si>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</si>
  <si>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</si>
  <si>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</si>
  <si>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</si>
  <si>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</si>
  <si>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</si>
  <si>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</si>
  <si>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</si>
  <si>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</si>
  <si>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</si>
  <si>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</si>
  <si>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</si>
  <si>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</si>
  <si>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</si>
  <si>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</si>
  <si>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</si>
  <si>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</si>
  <si>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</si>
  <si>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</si>
  <si>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</si>
  <si>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</si>
  <si>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</si>
  <si>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</si>
  <si>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</si>
  <si>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</si>
  <si>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</si>
  <si>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</si>
  <si>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</si>
  <si>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</si>
  <si>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</si>
  <si>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</si>
  <si>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</si>
  <si>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</si>
  <si>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</si>
  <si>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</si>
  <si>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</si>
  <si>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</si>
  <si>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</si>
  <si>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</si>
  <si>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</si>
  <si>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</si>
  <si>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</si>
  <si>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</si>
  <si>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</si>
  <si>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</si>
  <si>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</si>
  <si>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</si>
  <si>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</si>
  <si>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</si>
  <si>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</si>
  <si>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</si>
  <si>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</si>
  <si>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</si>
  <si>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</si>
  <si>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</si>
  <si>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</si>
  <si>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</si>
  <si>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</si>
  <si>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</si>
  <si>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</si>
  <si>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</si>
  <si>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</si>
  <si>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</si>
  <si>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</si>
  <si>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</si>
  <si>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</si>
  <si>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</si>
  <si>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</si>
  <si>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</si>
  <si>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</si>
  <si>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</si>
  <si>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</si>
  <si>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</si>
  <si>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</si>
  <si>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</si>
  <si>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</si>
  <si>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</si>
  <si>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</si>
  <si>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</si>
  <si>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</si>
  <si>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</si>
  <si>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</si>
  <si>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</si>
  <si>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</si>
  <si>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</si>
  <si>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</si>
  <si>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</si>
  <si>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</si>
  <si>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</si>
  <si>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</si>
  <si>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</si>
  <si>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</si>
  <si>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</si>
  <si>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</si>
  <si>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</si>
  <si>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</si>
  <si>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</si>
  <si>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</si>
  <si>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</si>
  <si>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</si>
  <si>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</si>
  <si>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</si>
  <si>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</si>
  <si>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</si>
  <si>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</si>
  <si>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</si>
  <si>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</si>
  <si>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</si>
  <si>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</si>
  <si>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</si>
  <si>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</si>
  <si>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</si>
  <si>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</si>
  <si>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</si>
  <si>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</si>
  <si>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</si>
  <si>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</si>
  <si>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</si>
  <si>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</si>
  <si>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</si>
  <si>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</si>
  <si>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</si>
  <si>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</si>
  <si>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</si>
  <si>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</si>
  <si>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</si>
  <si>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</si>
  <si>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</si>
  <si>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</si>
  <si>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</si>
  <si>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</si>
  <si>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</si>
  <si>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</si>
  <si>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</si>
  <si>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</si>
  <si>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</si>
  <si>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</si>
  <si>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</si>
  <si>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</si>
  <si>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</si>
  <si>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</si>
  <si>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</si>
  <si>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</si>
  <si>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</si>
  <si>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</si>
  <si>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</si>
  <si>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</si>
  <si>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</si>
  <si>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</si>
  <si>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</si>
  <si>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</si>
  <si>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</si>
  <si>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</si>
  <si>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</si>
  <si>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</si>
  <si>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</si>
  <si>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</si>
  <si>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</si>
  <si>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</si>
  <si>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</si>
  <si>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</si>
  <si>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</si>
  <si>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</si>
  <si>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</si>
  <si>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</si>
  <si>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</si>
  <si>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</si>
  <si>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</si>
  <si>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</si>
  <si>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</si>
  <si>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</si>
  <si>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</si>
  <si>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</si>
  <si>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</si>
  <si>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</si>
  <si>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</si>
  <si>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</si>
  <si>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</si>
  <si>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</si>
  <si>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</si>
  <si>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</si>
  <si>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</si>
  <si>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</si>
  <si>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</si>
  <si>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</si>
  <si>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</si>
  <si>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</si>
  <si>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</si>
  <si>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</si>
  <si>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</si>
  <si>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</si>
  <si>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</si>
  <si>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</si>
  <si>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</si>
  <si>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</si>
  <si>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</si>
  <si>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</si>
  <si>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</si>
  <si>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</si>
  <si>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</si>
  <si>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</si>
  <si>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</si>
  <si>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</si>
  <si>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</si>
  <si>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</si>
  <si>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</si>
  <si>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</si>
  <si>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</si>
  <si>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</si>
  <si>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</si>
  <si>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</si>
  <si>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</si>
  <si>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</si>
  <si>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</si>
  <si>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</si>
  <si>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</si>
  <si>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</si>
  <si>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</si>
  <si>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</si>
  <si>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</si>
  <si>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</si>
  <si>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</si>
  <si>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</si>
  <si>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</si>
  <si>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</si>
  <si>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</si>
  <si>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</si>
  <si>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</si>
  <si>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</si>
  <si>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</si>
  <si>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</si>
  <si>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</si>
  <si>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</si>
  <si>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</si>
  <si>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</si>
  <si>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</si>
  <si>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</si>
  <si>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</si>
  <si>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</si>
  <si>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</si>
  <si>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</si>
  <si>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</si>
  <si>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</si>
  <si>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</si>
  <si>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</si>
  <si>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</si>
  <si>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</si>
  <si>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</si>
  <si>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</si>
  <si>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</si>
  <si>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</si>
  <si>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</si>
  <si>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</si>
  <si>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</si>
  <si>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</si>
  <si>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</si>
  <si>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</si>
  <si>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</si>
  <si>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</si>
  <si>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</si>
  <si>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</si>
  <si>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</si>
  <si>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</si>
  <si>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</si>
  <si>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</si>
  <si>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</si>
  <si>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</si>
  <si>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</si>
  <si>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</si>
  <si>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</si>
  <si>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</si>
  <si>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</si>
  <si>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</si>
  <si>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</si>
  <si>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</si>
  <si>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</si>
  <si>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</si>
  <si>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</si>
  <si>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</si>
  <si>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</si>
  <si>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</si>
  <si>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</si>
  <si>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</si>
  <si>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</si>
  <si>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</si>
  <si>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</si>
  <si>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</si>
  <si>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</si>
  <si>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</si>
  <si>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</si>
  <si>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</si>
  <si>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</si>
  <si>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</si>
  <si>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</si>
  <si>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</si>
  <si>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</si>
  <si>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</si>
  <si>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</si>
  <si>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</si>
  <si>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</si>
  <si>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</si>
  <si>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</si>
  <si>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</si>
  <si>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</si>
  <si>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</si>
  <si>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</si>
  <si>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</si>
  <si>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</si>
  <si>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</si>
  <si>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</si>
  <si>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</si>
  <si>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</si>
  <si>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</si>
  <si>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</si>
  <si>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</si>
  <si>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</si>
  <si>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</si>
  <si>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</si>
  <si>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</si>
  <si>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</si>
  <si>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</si>
  <si>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</si>
  <si>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</si>
  <si>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</si>
  <si>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</si>
  <si>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</si>
  <si>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</si>
  <si>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</si>
  <si>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</si>
  <si>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</si>
  <si>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</si>
  <si>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</si>
  <si>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</si>
  <si>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</si>
  <si>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</si>
  <si>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</si>
  <si>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</si>
  <si>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</si>
  <si>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</si>
  <si>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</si>
  <si>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</si>
  <si>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</si>
  <si>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</si>
  <si>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</si>
  <si>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</si>
  <si>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</si>
  <si>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</si>
  <si>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</si>
  <si>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</si>
  <si>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</si>
  <si>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</si>
  <si>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</si>
  <si>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</si>
  <si>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</si>
  <si>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</si>
  <si>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</si>
  <si>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</si>
  <si>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</si>
  <si>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</si>
  <si>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</si>
  <si>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</si>
  <si>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</si>
  <si>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</si>
  <si>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</si>
  <si>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</si>
  <si>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</si>
  <si>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</si>
  <si>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</si>
  <si>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</si>
  <si>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</si>
  <si>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</si>
  <si>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</si>
  <si>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</si>
  <si>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</si>
  <si>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</si>
  <si>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</si>
  <si>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</si>
  <si>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</si>
  <si>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</si>
  <si>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</si>
  <si>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</si>
  <si>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</si>
  <si>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</si>
  <si>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</si>
  <si>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</si>
  <si>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</si>
  <si>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</si>
  <si>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</si>
  <si>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</si>
  <si>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</si>
  <si>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</si>
  <si>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</si>
  <si>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</si>
  <si>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</si>
  <si>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</si>
  <si>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</si>
  <si>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</si>
  <si>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</si>
  <si>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</si>
  <si>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</si>
  <si>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</si>
  <si>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</si>
  <si>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</si>
  <si>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</si>
  <si>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</si>
  <si>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</si>
  <si>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</si>
  <si>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</si>
  <si>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</si>
  <si>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</si>
  <si>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</si>
  <si>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</si>
  <si>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</si>
  <si>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</si>
  <si>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</si>
  <si>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</si>
  <si>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</si>
  <si>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</si>
  <si>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</si>
  <si>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</si>
  <si>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</si>
  <si>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</si>
  <si>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</si>
  <si>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</si>
  <si>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</si>
  <si>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</si>
  <si>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</si>
  <si>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</si>
  <si>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</si>
  <si>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</si>
  <si>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</si>
  <si>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</si>
  <si>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</si>
  <si>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</si>
  <si>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</si>
  <si>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</si>
  <si>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</si>
  <si>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</si>
  <si>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</si>
  <si>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</si>
  <si>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</si>
  <si>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</si>
  <si>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</si>
  <si>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</si>
  <si>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</si>
  <si>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</si>
  <si>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</si>
  <si>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</si>
  <si>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</si>
  <si>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</si>
  <si>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</si>
  <si>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</si>
  <si>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</si>
  <si>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</si>
  <si>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</si>
  <si>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</si>
  <si>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</si>
  <si>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</si>
  <si>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</si>
  <si>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</si>
  <si>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</si>
  <si>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</si>
  <si>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</si>
  <si>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</si>
  <si>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</si>
  <si>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</si>
  <si>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</si>
  <si>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</si>
  <si>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</si>
  <si>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</si>
  <si>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</si>
  <si>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</si>
  <si>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</si>
  <si>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</si>
  <si>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</si>
  <si>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</si>
  <si>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</si>
  <si>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</si>
  <si>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</si>
  <si>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</si>
  <si>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</si>
  <si>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</si>
  <si>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</si>
  <si>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</si>
  <si>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</si>
  <si>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</si>
  <si>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</si>
  <si>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</si>
  <si>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</si>
  <si>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</si>
  <si>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</si>
  <si>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</si>
  <si>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</si>
  <si>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</si>
  <si>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</si>
  <si>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</si>
  <si>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</si>
  <si>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</si>
  <si>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</si>
  <si>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</si>
  <si>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</si>
  <si>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</si>
  <si>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</si>
  <si>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</si>
  <si>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</si>
  <si>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</si>
  <si>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</si>
  <si>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</si>
  <si>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</si>
  <si>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</si>
  <si>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</si>
  <si>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</si>
  <si>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</si>
  <si>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</si>
  <si>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</si>
  <si>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</si>
  <si>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</si>
  <si>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</si>
  <si>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</si>
  <si>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</si>
  <si>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</si>
  <si>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</si>
  <si>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</si>
  <si>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</si>
  <si>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</si>
  <si>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</si>
  <si>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</si>
  <si>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</si>
  <si>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</si>
  <si>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</si>
  <si>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</si>
  <si>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</si>
  <si>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</si>
  <si>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</si>
  <si>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</si>
  <si>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</si>
  <si>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</si>
  <si>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</si>
  <si>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</si>
  <si>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</si>
  <si>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</si>
  <si>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</si>
  <si>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</si>
  <si>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</si>
  <si>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</si>
  <si>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</si>
  <si>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</si>
  <si>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</si>
  <si>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</si>
  <si>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</si>
  <si>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</si>
  <si>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</si>
  <si>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</si>
  <si>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</si>
  <si>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</si>
  <si>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</si>
  <si>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</si>
  <si>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</si>
  <si>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</si>
  <si>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</si>
  <si>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</si>
  <si>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</si>
  <si>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</si>
  <si>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</si>
  <si>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</si>
  <si>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</si>
  <si>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</si>
  <si>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</si>
  <si>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</si>
  <si>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</si>
  <si>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</si>
  <si>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</si>
  <si>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</si>
  <si>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</si>
  <si>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</si>
  <si>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</si>
  <si>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</si>
  <si>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</si>
  <si>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</si>
  <si>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</si>
  <si>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</si>
  <si>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</si>
  <si>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</si>
  <si>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</si>
  <si>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</si>
  <si>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</si>
  <si>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</si>
  <si>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</si>
  <si>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</si>
  <si>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</si>
  <si>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</si>
  <si>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</si>
  <si>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</si>
  <si>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</si>
  <si>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</si>
  <si>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</si>
  <si>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</si>
  <si>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</si>
  <si>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</si>
  <si>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</si>
  <si>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</si>
  <si>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</si>
  <si>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</si>
  <si>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</si>
  <si>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</si>
  <si>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</si>
  <si>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</si>
  <si>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</si>
  <si>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</si>
  <si>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</si>
  <si>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</si>
  <si>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</si>
  <si>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</si>
  <si>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</si>
  <si>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</si>
  <si>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</si>
  <si>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</si>
  <si>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</si>
  <si>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</si>
  <si>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</si>
  <si>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</si>
  <si>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</si>
  <si>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</si>
  <si>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</si>
  <si>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</si>
  <si>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</si>
  <si>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</si>
  <si>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</si>
  <si>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</si>
  <si>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</si>
  <si>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</si>
  <si>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</si>
  <si>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</si>
  <si>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</si>
  <si>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</si>
  <si>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</si>
  <si>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</si>
  <si>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</si>
  <si>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</si>
  <si>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</si>
  <si>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</si>
  <si>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</si>
  <si>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</si>
  <si>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</si>
  <si>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</si>
  <si>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</si>
  <si>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</si>
  <si>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</si>
  <si>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</si>
  <si>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</si>
  <si>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</si>
  <si>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</si>
  <si>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</si>
  <si>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</si>
  <si>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</si>
  <si>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</si>
  <si>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</si>
  <si>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</si>
  <si>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</si>
  <si>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</si>
  <si>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</si>
  <si>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</si>
  <si>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</si>
  <si>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</si>
  <si>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</si>
  <si>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</si>
  <si>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</si>
  <si>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</si>
  <si>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</si>
  <si>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</si>
  <si>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</si>
  <si>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</si>
  <si>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</si>
  <si>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</si>
  <si>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</si>
  <si>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</si>
  <si>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</si>
  <si>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</si>
  <si>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</si>
  <si>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</si>
  <si>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</si>
  <si>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</si>
  <si>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</si>
  <si>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</si>
  <si>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</si>
  <si>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</si>
  <si>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</si>
  <si>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</si>
  <si>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</si>
  <si>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</si>
  <si>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</si>
  <si>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</si>
  <si>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</si>
  <si>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</si>
  <si>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</si>
  <si>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</si>
  <si>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</si>
  <si>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</si>
  <si>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</si>
  <si>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</si>
  <si>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</si>
  <si>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</si>
  <si>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</si>
  <si>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</si>
  <si>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</si>
  <si>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</si>
  <si>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</si>
  <si>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</si>
  <si>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</si>
  <si>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</si>
  <si>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</si>
  <si>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</si>
  <si>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</si>
  <si>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</si>
  <si>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</si>
  <si>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</si>
  <si>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</si>
  <si>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</si>
  <si>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</si>
  <si>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</si>
  <si>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</si>
  <si>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</si>
  <si>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</si>
  <si>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</si>
  <si>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</si>
  <si>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</si>
  <si>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</si>
  <si>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</si>
  <si>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</si>
  <si>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</si>
  <si>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</si>
  <si>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</si>
  <si>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</si>
  <si>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</si>
  <si>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</si>
  <si>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</si>
  <si>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</si>
  <si>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</si>
  <si>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</si>
  <si>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</si>
  <si>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</si>
  <si>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</si>
  <si>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</si>
  <si>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</si>
  <si>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</si>
  <si>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</si>
  <si>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</si>
  <si>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</si>
  <si>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</si>
  <si>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</si>
  <si>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</si>
  <si>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</si>
  <si>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</si>
  <si>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</si>
  <si>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</si>
  <si>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</si>
  <si>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</si>
  <si>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</si>
  <si>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</si>
  <si>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</si>
  <si>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</si>
  <si>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</si>
  <si>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</si>
  <si>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</si>
  <si>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</si>
  <si>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</si>
  <si>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</si>
  <si>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</si>
  <si>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</si>
  <si>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</si>
  <si>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</si>
  <si>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</si>
  <si>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</si>
  <si>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</si>
  <si>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</si>
  <si>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</si>
  <si>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</si>
  <si>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</si>
  <si>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</si>
  <si>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</si>
  <si>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</si>
  <si>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</si>
  <si>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</si>
  <si>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</si>
  <si>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</si>
  <si>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</si>
  <si>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</si>
  <si>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</si>
  <si>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</si>
  <si>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</si>
  <si>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</si>
  <si>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</si>
  <si>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</si>
  <si>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</si>
  <si>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</si>
  <si>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</si>
  <si>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</si>
  <si>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</si>
  <si>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</si>
  <si>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</si>
  <si>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</si>
  <si>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</si>
  <si>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</si>
  <si>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</si>
  <si>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</si>
  <si>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</si>
  <si>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</si>
  <si>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</si>
  <si>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</si>
  <si>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</si>
  <si>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</si>
  <si>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</si>
  <si>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</si>
  <si>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</si>
  <si>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</si>
  <si>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</si>
  <si>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</si>
  <si>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</si>
  <si>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</si>
  <si>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</si>
  <si>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</si>
  <si>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</si>
  <si>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</si>
  <si>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</si>
  <si>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</si>
  <si>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</si>
  <si>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</si>
  <si>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</si>
  <si>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</si>
  <si>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</si>
  <si>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</si>
  <si>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</si>
  <si>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</si>
  <si>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</si>
  <si>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</si>
  <si>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</si>
  <si>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</si>
  <si>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</si>
  <si>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</si>
  <si>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</si>
  <si>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</si>
  <si>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</si>
  <si>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</si>
  <si>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</si>
  <si>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</si>
  <si>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</si>
  <si>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</si>
  <si>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</si>
  <si>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</si>
  <si>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</si>
  <si>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</si>
  <si>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</si>
  <si>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</si>
  <si>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</si>
  <si>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</si>
  <si>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</si>
  <si>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</si>
  <si>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</si>
  <si>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</si>
  <si>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</si>
  <si>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</si>
  <si>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</si>
  <si>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</si>
  <si>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</si>
  <si>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</si>
  <si>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</si>
  <si>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</si>
  <si>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</si>
  <si>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</si>
  <si>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</si>
  <si>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</si>
  <si>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</si>
  <si>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</si>
  <si>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</si>
  <si>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</si>
  <si>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</si>
  <si>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</si>
  <si>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</si>
  <si>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</si>
  <si>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</si>
  <si>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</si>
  <si>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</si>
  <si>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</si>
  <si>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</si>
  <si>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</si>
  <si>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</si>
  <si>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</si>
  <si>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</si>
  <si>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</si>
  <si>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</si>
  <si>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</si>
  <si>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</si>
  <si>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</si>
  <si>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</si>
  <si>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</si>
  <si>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</si>
  <si>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</si>
  <si>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</si>
  <si>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</si>
  <si>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</si>
  <si>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</si>
  <si>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</si>
  <si>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</si>
  <si>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</si>
  <si>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</si>
  <si>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</si>
  <si>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</si>
  <si>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</si>
  <si>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</si>
  <si>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</si>
  <si>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</si>
  <si>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</si>
  <si>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</si>
  <si>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</si>
  <si>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</si>
  <si>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</si>
  <si>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</si>
  <si>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</si>
  <si>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</si>
  <si>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</si>
  <si>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</si>
  <si>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</si>
  <si>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</si>
  <si>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</si>
  <si>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</si>
  <si>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</si>
  <si>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</si>
  <si>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</si>
  <si>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</si>
  <si>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</si>
  <si>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</si>
  <si>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</si>
  <si>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</si>
  <si>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</si>
  <si>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</si>
  <si>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</si>
  <si>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</si>
  <si>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</si>
  <si>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</si>
  <si>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</si>
  <si>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</si>
  <si>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</si>
  <si>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</si>
  <si>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</si>
  <si>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</si>
  <si>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</si>
  <si>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</si>
  <si>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</si>
  <si>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</si>
  <si>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</si>
  <si>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</si>
  <si>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</si>
  <si>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</si>
  <si>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</si>
  <si>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</si>
  <si>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</si>
  <si>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</si>
  <si>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</si>
  <si>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</si>
  <si>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</si>
  <si>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</si>
  <si>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</si>
  <si>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</si>
  <si>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</si>
  <si>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</si>
  <si>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</si>
  <si>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</si>
  <si>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</si>
  <si>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</si>
  <si>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</si>
  <si>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</si>
  <si>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</si>
  <si>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</si>
  <si>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</si>
  <si>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</si>
  <si>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</si>
  <si>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</si>
  <si>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</si>
  <si>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</si>
  <si>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</si>
  <si>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</si>
  <si>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</si>
  <si>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</si>
  <si>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</si>
  <si>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</si>
  <si>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</si>
  <si>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</si>
  <si>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</si>
  <si>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</si>
  <si>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</si>
  <si>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</si>
  <si>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</si>
  <si>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</si>
  <si>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</si>
  <si>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</si>
  <si>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</si>
  <si>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</si>
  <si>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</si>
  <si>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</si>
  <si>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</si>
  <si>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</si>
  <si>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</si>
  <si>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</si>
  <si>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</si>
  <si>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</si>
  <si>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</si>
  <si>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</si>
  <si>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</si>
  <si>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</si>
  <si>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</si>
  <si>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</si>
  <si>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</si>
  <si>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</si>
  <si>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</si>
  <si>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</si>
  <si>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</si>
  <si>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</si>
  <si>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</si>
  <si>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</si>
  <si>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</si>
  <si>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</si>
  <si>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</si>
  <si>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</si>
  <si>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</si>
  <si>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</si>
  <si>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</si>
  <si>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</si>
  <si>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</si>
  <si>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</si>
  <si>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</si>
  <si>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</si>
  <si>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</si>
  <si>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</si>
  <si>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</si>
  <si>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</si>
  <si>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</si>
  <si>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</si>
  <si>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</si>
  <si>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</si>
  <si>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</si>
  <si>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</si>
  <si>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</si>
  <si>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</si>
  <si>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</si>
  <si>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</si>
  <si>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</si>
  <si>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</si>
  <si>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</si>
  <si>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</si>
  <si>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</si>
  <si>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</si>
  <si>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</si>
  <si>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</si>
  <si>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</si>
  <si>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</si>
  <si>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</si>
  <si>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</si>
  <si>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</si>
  <si>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</si>
  <si>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</si>
  <si>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</si>
  <si>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</si>
  <si>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</si>
  <si>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</si>
  <si>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</si>
  <si>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</si>
  <si>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</si>
  <si>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</si>
  <si>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</si>
  <si>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</si>
  <si>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</si>
  <si>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</si>
  <si>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</si>
  <si>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</si>
  <si>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</si>
  <si>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</si>
  <si>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</si>
  <si>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</si>
  <si>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</si>
  <si>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</si>
  <si>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</si>
  <si>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</si>
  <si>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</si>
  <si>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</si>
  <si>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</si>
  <si>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</si>
  <si>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</si>
  <si>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</si>
  <si>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</si>
  <si>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</si>
  <si>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</si>
  <si>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</si>
  <si>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</si>
  <si>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</si>
  <si>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</si>
  <si>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</si>
  <si>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</si>
  <si>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</si>
  <si>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</si>
  <si>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</si>
  <si>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</si>
  <si>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</si>
  <si>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</si>
  <si>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</si>
  <si>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</si>
  <si>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</si>
  <si>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</si>
  <si>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</si>
  <si>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</si>
  <si>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</si>
  <si>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</si>
  <si>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</si>
  <si>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</si>
  <si>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</si>
  <si>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</si>
  <si>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</si>
  <si>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</si>
  <si>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</si>
  <si>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</si>
  <si>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</si>
  <si>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</si>
  <si>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</si>
  <si>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</si>
  <si>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</si>
  <si>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</si>
  <si>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</si>
  <si>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</si>
  <si>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</si>
  <si>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</si>
  <si>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</si>
  <si>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</si>
  <si>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</si>
  <si>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</si>
  <si>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</si>
  <si>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</si>
  <si>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</si>
  <si>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</si>
  <si>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</si>
  <si>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</si>
  <si>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</si>
  <si>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</si>
  <si>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</si>
  <si>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</si>
  <si>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</si>
  <si>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</si>
  <si>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</si>
  <si>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</si>
  <si>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</si>
  <si>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</si>
  <si>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</si>
  <si>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</si>
  <si>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</si>
  <si>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</si>
  <si>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</si>
  <si>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</si>
  <si>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</si>
  <si>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</si>
  <si>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</si>
  <si>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</si>
  <si>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</si>
  <si>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</si>
  <si>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</si>
  <si>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</si>
  <si>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</si>
  <si>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</si>
  <si>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</si>
  <si>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</si>
  <si>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</si>
  <si>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</si>
  <si>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</si>
  <si>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</si>
  <si>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</si>
  <si>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</si>
  <si>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</si>
  <si>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</si>
  <si>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</si>
  <si>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</si>
  <si>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</si>
  <si>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</si>
  <si>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</si>
  <si>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</si>
  <si>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</si>
  <si>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</si>
  <si>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</si>
  <si>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</si>
  <si>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</si>
  <si>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</si>
  <si>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</si>
  <si>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</si>
  <si>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</si>
  <si>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</si>
  <si>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</si>
  <si>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</si>
  <si>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</si>
  <si>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</si>
  <si>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</si>
  <si>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</si>
  <si>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</si>
  <si>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</si>
  <si>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</si>
  <si>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</si>
  <si>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</si>
  <si>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</si>
  <si>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</si>
  <si>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</si>
  <si>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</si>
  <si>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</si>
  <si>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</si>
  <si>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</si>
  <si>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</si>
  <si>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</si>
  <si>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</si>
  <si>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</si>
  <si>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</si>
  <si>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</si>
  <si>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</si>
  <si>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</si>
  <si>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</si>
  <si>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</si>
  <si>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</si>
  <si>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</si>
  <si>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</si>
  <si>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</si>
  <si>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</si>
  <si>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</si>
  <si>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</si>
  <si>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</si>
  <si>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</si>
  <si>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</si>
  <si>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</si>
  <si>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</si>
  <si>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</si>
  <si>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</si>
  <si>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</si>
  <si>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</si>
  <si>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</si>
  <si>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</si>
  <si>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</si>
  <si>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</si>
  <si>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</si>
  <si>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</si>
  <si>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</si>
  <si>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</si>
  <si>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</si>
  <si>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</si>
  <si>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</si>
  <si>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</si>
  <si>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</si>
  <si>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</si>
  <si>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</si>
  <si>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</si>
  <si>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</si>
  <si>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</si>
  <si>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</si>
  <si>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</si>
  <si>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</si>
  <si>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</si>
  <si>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</si>
  <si>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</si>
  <si>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</si>
  <si>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</si>
  <si>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</si>
  <si>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</si>
  <si>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</si>
  <si>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</si>
  <si>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</si>
  <si>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</si>
  <si>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</si>
  <si>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</si>
  <si>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</si>
  <si>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</si>
  <si>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</si>
  <si>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</si>
  <si>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</si>
  <si>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</si>
  <si>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</si>
  <si>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</si>
  <si>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</si>
  <si>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</si>
  <si>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</si>
  <si>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</si>
  <si>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</si>
  <si>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</si>
  <si>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</si>
  <si>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</si>
  <si>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</si>
  <si>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</si>
  <si>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</si>
  <si>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</si>
  <si>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</si>
  <si>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</si>
  <si>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</si>
  <si>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</si>
  <si>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</si>
  <si>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</si>
  <si>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</si>
  <si>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</si>
  <si>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</si>
  <si>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</si>
  <si>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</si>
  <si>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</si>
  <si>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</si>
  <si>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</si>
  <si>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</si>
  <si>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</si>
  <si>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</si>
  <si>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</si>
  <si>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</si>
  <si>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</si>
  <si>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</si>
  <si>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</si>
  <si>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</si>
  <si>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</si>
  <si>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</si>
  <si>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</si>
  <si>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</si>
  <si>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</si>
  <si>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</si>
  <si>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</si>
  <si>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</si>
  <si>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</si>
  <si>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</si>
  <si>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</si>
  <si>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</si>
  <si>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</si>
  <si>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</si>
  <si>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</si>
  <si>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</si>
  <si>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</si>
  <si>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</si>
  <si>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</si>
  <si>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</si>
  <si>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</si>
  <si>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</si>
  <si>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</si>
  <si>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</si>
  <si>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</si>
  <si>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</si>
  <si>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</si>
  <si>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</si>
  <si>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</si>
  <si>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</si>
  <si>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</si>
  <si>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</si>
  <si>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</si>
  <si>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</si>
  <si>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</si>
  <si>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</si>
  <si>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</si>
  <si>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</si>
  <si>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</si>
  <si>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</si>
  <si>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</si>
  <si>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</si>
  <si>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</si>
  <si>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</si>
  <si>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</si>
  <si>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</si>
  <si>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</si>
  <si>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</si>
  <si>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</si>
  <si>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</si>
  <si>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</si>
  <si>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</si>
  <si>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</si>
  <si>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</si>
  <si>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</si>
  <si>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</si>
  <si>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</si>
  <si>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</si>
  <si>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</si>
  <si>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</si>
  <si>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</si>
  <si>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</si>
  <si>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</si>
  <si>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</si>
  <si>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</si>
  <si>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</si>
  <si>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</si>
  <si>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</si>
  <si>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</si>
  <si>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</si>
  <si>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</si>
  <si>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</si>
  <si>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</si>
  <si>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</si>
  <si>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</si>
  <si>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</si>
  <si>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</si>
  <si>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</si>
  <si>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</si>
  <si>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</si>
  <si>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</si>
  <si>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</si>
  <si>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January 16, 2025 Version</t>
  </si>
  <si>
    <t>Fairways Apartments, L.P.</t>
  </si>
  <si>
    <t>Fairways at San Antonio Court</t>
  </si>
  <si>
    <t>City of San Jose</t>
  </si>
  <si>
    <t>200 E. Santa Clara Street, 12th Floor</t>
  </si>
  <si>
    <t>San Jose</t>
  </si>
  <si>
    <t>305 San Antonio Court</t>
  </si>
  <si>
    <t>481-46-010 &amp; 481-46-022</t>
  </si>
  <si>
    <t>13520 Evening Creek Drive N #160</t>
  </si>
  <si>
    <t>CA</t>
  </si>
  <si>
    <t>James P. Silverwood</t>
  </si>
  <si>
    <t>james@affirmedhousing.com</t>
  </si>
  <si>
    <t>Affirmed Housing Group, Inc.</t>
  </si>
  <si>
    <t>Jose J. Lujano</t>
  </si>
  <si>
    <t>jose@affirmedhousing.com</t>
  </si>
  <si>
    <t>Project Manager</t>
  </si>
  <si>
    <t>Inner City Infill Site</t>
  </si>
  <si>
    <t>Medium Density Residential</t>
  </si>
  <si>
    <t>PD, 39.27 du/a</t>
  </si>
  <si>
    <t>Banner Bank</t>
  </si>
  <si>
    <t>City of San Jose (Existing)</t>
  </si>
  <si>
    <t>City of San Jose (Accrued Interest)</t>
  </si>
  <si>
    <t>NOI During Construction</t>
  </si>
  <si>
    <t>Equity</t>
  </si>
  <si>
    <t>Fixed</t>
  </si>
  <si>
    <t xml:space="preserve">NOI During Construction </t>
  </si>
  <si>
    <t>City Loan (Existing)</t>
  </si>
  <si>
    <t>City Loan (Accrued Interest)</t>
  </si>
  <si>
    <t>Cell Tower Revenue</t>
  </si>
  <si>
    <t>Santa Clara County Housing Authority</t>
  </si>
  <si>
    <t>General Office Costs</t>
  </si>
  <si>
    <t>Admin</t>
  </si>
  <si>
    <t>Other:Solar/FFE+Green Rater</t>
  </si>
  <si>
    <t>Construction Service Fees (Bank)</t>
  </si>
  <si>
    <t>Interest Prior to Conversion</t>
  </si>
  <si>
    <t>Partnership &amp; Transaction Fees</t>
  </si>
  <si>
    <t>Recycled Bonds</t>
  </si>
  <si>
    <t>AHG Fairways, LLC</t>
  </si>
  <si>
    <t>Administrative GP</t>
  </si>
  <si>
    <t>CFAH Housing, LLC</t>
  </si>
  <si>
    <t>Managing GP</t>
  </si>
  <si>
    <t>Compass for Affordable Housing</t>
  </si>
  <si>
    <t>Affirmed Housing Group</t>
  </si>
  <si>
    <t>Affirmed Housing Group, Inc</t>
  </si>
  <si>
    <t>701 B Street, Suite 100</t>
  </si>
  <si>
    <t>Waheed Karim</t>
  </si>
  <si>
    <t>619-518-2610</t>
  </si>
  <si>
    <t>Construction &amp; Perm</t>
  </si>
  <si>
    <t>13520 Evening Creek Drive N. #160</t>
  </si>
  <si>
    <t>José J. Lujano</t>
  </si>
  <si>
    <t>408-268-8508</t>
  </si>
  <si>
    <t xml:space="preserve">NOI </t>
  </si>
  <si>
    <t>200 E. Santa Clara Street</t>
  </si>
  <si>
    <t>Shelsy Bass</t>
  </si>
  <si>
    <t>408-975-3797</t>
  </si>
  <si>
    <t>Residual Receipts</t>
  </si>
  <si>
    <t>Residual receipts</t>
  </si>
  <si>
    <t>José J Lujano</t>
  </si>
  <si>
    <t>NOI</t>
  </si>
  <si>
    <t>Perm</t>
  </si>
  <si>
    <t>Provided</t>
  </si>
  <si>
    <t>Not Applicable</t>
  </si>
  <si>
    <t>Need to Provide</t>
  </si>
  <si>
    <t>Jacky Morales Ferrand</t>
  </si>
  <si>
    <t>Director of Housing</t>
  </si>
  <si>
    <t>408-535-3855</t>
  </si>
  <si>
    <t>408-292-6203</t>
  </si>
  <si>
    <t>jacky.morales-ferrand@sanjoseca.gov</t>
  </si>
  <si>
    <t>(858) 679-2828</t>
  </si>
  <si>
    <t>NA</t>
  </si>
  <si>
    <t>858.679.2828</t>
  </si>
  <si>
    <t>13520 Evening Creek Drive N, #560</t>
  </si>
  <si>
    <t>Robin Martinez</t>
  </si>
  <si>
    <t>858-386-7211</t>
  </si>
  <si>
    <t>robin@compassfah.org</t>
  </si>
  <si>
    <t>13520 Evening Creek Drive N, #160</t>
  </si>
  <si>
    <t>San Diego, CA 92128</t>
  </si>
  <si>
    <t>408-823-5801</t>
  </si>
  <si>
    <t xml:space="preserve">jose@affirmedhousing.com </t>
  </si>
  <si>
    <t>Katten Muchin Rosenman, LLP</t>
  </si>
  <si>
    <t>2029 Century Park East, Suite 2600</t>
  </si>
  <si>
    <t>Los Angeles, CA 90067-3012</t>
  </si>
  <si>
    <t>David Cohen</t>
  </si>
  <si>
    <t>312.902.5284</t>
  </si>
  <si>
    <t>312.902.1061</t>
  </si>
  <si>
    <t>david.cohen@kattenlaw.com</t>
  </si>
  <si>
    <t>Novogradac and Company LLP</t>
  </si>
  <si>
    <t>2033 N. Main Street, Suite 400</t>
  </si>
  <si>
    <t>Walnut Creek, CA 94596</t>
  </si>
  <si>
    <t>Sun-Ae Woo</t>
  </si>
  <si>
    <t>925.949.4223</t>
  </si>
  <si>
    <t>sun-ae.woo@novoco.com</t>
  </si>
  <si>
    <t>Integra Realty Resources</t>
  </si>
  <si>
    <t>California Municipal Finance Agency</t>
  </si>
  <si>
    <t>2111 Palomar Airport Road, Ste 320</t>
  </si>
  <si>
    <t>Carlsbad, CA 92011</t>
  </si>
  <si>
    <t>Anthony Stubbs</t>
  </si>
  <si>
    <t>760-930-1333</t>
  </si>
  <si>
    <t>760-683-3390</t>
  </si>
  <si>
    <t>astubbs@cmfa-ca.com</t>
  </si>
  <si>
    <t>Solari Enterprises</t>
  </si>
  <si>
    <t>1507 W. Yale Avenue</t>
  </si>
  <si>
    <t>Orange, CA 92867</t>
  </si>
  <si>
    <t>Gianna Richards</t>
  </si>
  <si>
    <t>714.282.2520</t>
  </si>
  <si>
    <t>gianna@solari-ent.com</t>
  </si>
  <si>
    <t>Laurin Associates</t>
  </si>
  <si>
    <t>1501 Sports Drive, Ste A</t>
  </si>
  <si>
    <t>Sacramento, CA 95834</t>
  </si>
  <si>
    <t>Stefanie Williams</t>
  </si>
  <si>
    <t>916.372.6100</t>
  </si>
  <si>
    <t>916.419.6108</t>
  </si>
  <si>
    <t>swilliams@laurinassociates.com</t>
  </si>
  <si>
    <t>TBD</t>
  </si>
  <si>
    <t>Basis Architecture &amp; Consulting</t>
  </si>
  <si>
    <t>2130 4th St, Suite B</t>
  </si>
  <si>
    <t>San Rafael, CA 94901</t>
  </si>
  <si>
    <t>Matt Bolado</t>
  </si>
  <si>
    <t>707-766-4692</t>
  </si>
  <si>
    <t>mbolado@basisarch.com</t>
  </si>
  <si>
    <t>555 Meridian Ave, Suite C</t>
  </si>
  <si>
    <t>San Jose, CA 95126</t>
  </si>
  <si>
    <t>Jeffrey Fillmore</t>
  </si>
  <si>
    <t>408-299-0444</t>
  </si>
  <si>
    <t>jfillmore@irr.com</t>
  </si>
  <si>
    <t>Affordable Housing</t>
  </si>
  <si>
    <t>15 years</t>
  </si>
  <si>
    <t>Elevator</t>
  </si>
  <si>
    <t>BFIM</t>
  </si>
  <si>
    <t>San Jose Family Housing, L.P.</t>
  </si>
  <si>
    <t>James Silverwood</t>
  </si>
  <si>
    <t>Chief Executive Officer</t>
  </si>
  <si>
    <t>225 Franklin Street</t>
  </si>
  <si>
    <t>Boston, MA 02110</t>
  </si>
  <si>
    <t>Laura Surdel</t>
  </si>
  <si>
    <t>laura.surdel@bfim.com</t>
  </si>
  <si>
    <t>858-679-2828</t>
  </si>
  <si>
    <t>40%/60%</t>
  </si>
  <si>
    <t>Third party debt encumbering the seller's property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</si>
</sst>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34059">
    <xf numFmtId="0" fontId="0" fillId="0" borderId="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8" fillId="36" borderId="18" applyNumberFormat="0" applyAlignment="0" applyProtection="0"/>
    <xf numFmtId="0" fontId="88" fillId="36" borderId="18" applyNumberFormat="0" applyAlignment="0" applyProtection="0"/>
    <xf numFmtId="0" fontId="89" fillId="37" borderId="19" applyNumberFormat="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7"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1" fillId="0" borderId="0" applyFont="0" applyFill="0" applyBorder="0" applyAlignment="0" applyProtection="0"/>
    <xf numFmtId="43" fontId="26" fillId="0" borderId="0" applyFont="0" applyFill="0" applyBorder="0" applyAlignment="0" applyProtection="0"/>
    <xf numFmtId="43" fontId="61" fillId="0" borderId="0" applyFont="0" applyFill="0" applyBorder="0" applyAlignment="0" applyProtection="0"/>
    <xf numFmtId="44" fontId="78"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xf numFmtId="44" fontId="78" fillId="0" borderId="0" applyFont="0" applyFill="0" applyBorder="0" applyAlignment="0" applyProtection="0"/>
    <xf numFmtId="44" fontId="26" fillId="0" borderId="0" applyFont="0" applyFill="0" applyBorder="0" applyAlignment="0" applyProtection="0"/>
    <xf numFmtId="44" fontId="80"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alignment vertical="top"/>
    </xf>
    <xf numFmtId="44" fontId="61" fillId="0" borderId="0" applyFont="0" applyFill="0" applyBorder="0" applyAlignment="0" applyProtection="0">
      <alignment vertical="top"/>
    </xf>
    <xf numFmtId="44" fontId="26" fillId="0" borderId="0" applyFont="0" applyFill="0" applyBorder="0" applyAlignment="0" applyProtection="0"/>
    <xf numFmtId="44" fontId="61" fillId="0" borderId="0" applyFont="0" applyFill="0" applyBorder="0" applyAlignment="0" applyProtection="0">
      <alignment vertical="top"/>
    </xf>
    <xf numFmtId="44" fontId="61"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1" fillId="0" borderId="0" applyFont="0" applyFill="0" applyBorder="0" applyAlignment="0" applyProtection="0"/>
    <xf numFmtId="44" fontId="70"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xf numFmtId="44" fontId="26" fillId="0" borderId="0" applyFont="0" applyFill="0" applyBorder="0" applyAlignment="0" applyProtection="0"/>
    <xf numFmtId="44" fontId="71" fillId="0" borderId="0" applyFont="0" applyFill="0" applyBorder="0" applyAlignment="0" applyProtection="0"/>
    <xf numFmtId="44" fontId="26"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6"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6"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xf numFmtId="44" fontId="26" fillId="0" borderId="0" applyFont="0" applyFill="0" applyBorder="0" applyAlignment="0" applyProtection="0"/>
    <xf numFmtId="44" fontId="72"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76" fillId="0" borderId="0" applyFont="0" applyFill="0" applyBorder="0" applyAlignment="0" applyProtection="0"/>
    <xf numFmtId="44" fontId="26" fillId="0" borderId="0" applyFont="0" applyFill="0" applyBorder="0" applyAlignment="0" applyProtection="0"/>
    <xf numFmtId="0" fontId="90" fillId="0" borderId="0" applyNumberFormat="0" applyFill="0" applyBorder="0" applyAlignment="0" applyProtection="0"/>
    <xf numFmtId="0" fontId="91" fillId="38" borderId="0" applyNumberFormat="0" applyBorder="0" applyAlignment="0" applyProtection="0"/>
    <xf numFmtId="0" fontId="92" fillId="0" borderId="20" applyNumberFormat="0" applyFill="0" applyAlignment="0" applyProtection="0"/>
    <xf numFmtId="0" fontId="92" fillId="0" borderId="20" applyNumberFormat="0" applyFill="0" applyAlignment="0" applyProtection="0"/>
    <xf numFmtId="0" fontId="93" fillId="0" borderId="21" applyNumberFormat="0" applyFill="0" applyAlignment="0" applyProtection="0"/>
    <xf numFmtId="0" fontId="93" fillId="0" borderId="21" applyNumberFormat="0" applyFill="0" applyAlignment="0" applyProtection="0"/>
    <xf numFmtId="0" fontId="94" fillId="0" borderId="22" applyNumberFormat="0" applyFill="0" applyAlignment="0" applyProtection="0"/>
    <xf numFmtId="0" fontId="94" fillId="0" borderId="22"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2" fillId="0" borderId="0" applyNumberFormat="0" applyFill="0" applyBorder="0" applyAlignment="0" applyProtection="0">
      <alignment vertical="top"/>
      <protection locked="0"/>
    </xf>
    <xf numFmtId="0" fontId="95" fillId="39" borderId="18" applyNumberFormat="0" applyAlignment="0" applyProtection="0"/>
    <xf numFmtId="0" fontId="19" fillId="0" borderId="0" applyNumberFormat="0" applyBorder="0"/>
    <xf numFmtId="0" fontId="20" fillId="0" borderId="0" applyBorder="0" applyAlignment="0"/>
    <xf numFmtId="0" fontId="21" fillId="0" borderId="0" applyFill="0" applyBorder="0" applyAlignment="0"/>
    <xf numFmtId="0" fontId="96" fillId="0" borderId="23" applyNumberFormat="0" applyFill="0" applyAlignment="0" applyProtection="0"/>
    <xf numFmtId="0" fontId="97" fillId="40" borderId="0" applyNumberFormat="0" applyBorder="0" applyAlignment="0" applyProtection="0"/>
    <xf numFmtId="0" fontId="98" fillId="0" borderId="0"/>
    <xf numFmtId="0" fontId="61" fillId="0" borderId="0"/>
    <xf numFmtId="0" fontId="98" fillId="0" borderId="0"/>
    <xf numFmtId="0" fontId="61" fillId="0" borderId="0"/>
    <xf numFmtId="0" fontId="61"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1" fillId="0" borderId="0"/>
    <xf numFmtId="169" fontId="62" fillId="0" borderId="0"/>
    <xf numFmtId="0" fontId="85" fillId="0" borderId="0"/>
    <xf numFmtId="0" fontId="26" fillId="0" borderId="0"/>
    <xf numFmtId="0" fontId="26" fillId="0" borderId="0"/>
    <xf numFmtId="0" fontId="67" fillId="0" borderId="0"/>
    <xf numFmtId="0" fontId="61" fillId="0" borderId="0"/>
    <xf numFmtId="0" fontId="67" fillId="0" borderId="0"/>
    <xf numFmtId="0" fontId="61" fillId="0" borderId="0"/>
    <xf numFmtId="0" fontId="73" fillId="0" borderId="0"/>
    <xf numFmtId="0" fontId="61"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3" fillId="0" borderId="0"/>
    <xf numFmtId="0" fontId="85" fillId="0" borderId="0"/>
    <xf numFmtId="0" fontId="85" fillId="0" borderId="0"/>
    <xf numFmtId="0" fontId="85"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1" fillId="0" borderId="0"/>
    <xf numFmtId="0" fontId="85" fillId="0" borderId="0"/>
    <xf numFmtId="0" fontId="85" fillId="0" borderId="0"/>
    <xf numFmtId="0" fontId="85" fillId="0" borderId="0"/>
    <xf numFmtId="0" fontId="85" fillId="0" borderId="0"/>
    <xf numFmtId="0" fontId="73" fillId="0" borderId="0"/>
    <xf numFmtId="0" fontId="61" fillId="0" borderId="0">
      <alignment vertical="top"/>
    </xf>
    <xf numFmtId="0" fontId="85" fillId="0" borderId="0"/>
    <xf numFmtId="0" fontId="85" fillId="0" borderId="0"/>
    <xf numFmtId="0" fontId="85" fillId="0" borderId="0"/>
    <xf numFmtId="0" fontId="85" fillId="0" borderId="0"/>
    <xf numFmtId="0" fontId="73" fillId="0" borderId="0"/>
    <xf numFmtId="0" fontId="26" fillId="0" borderId="0"/>
    <xf numFmtId="0" fontId="85" fillId="0" borderId="0"/>
    <xf numFmtId="0" fontId="26" fillId="0" borderId="0"/>
    <xf numFmtId="0" fontId="85" fillId="0" borderId="0"/>
    <xf numFmtId="0" fontId="85" fillId="0" borderId="0"/>
    <xf numFmtId="0" fontId="85" fillId="0" borderId="0"/>
    <xf numFmtId="0" fontId="85" fillId="0" borderId="0"/>
    <xf numFmtId="0" fontId="67" fillId="0" borderId="0"/>
    <xf numFmtId="0" fontId="61" fillId="0" borderId="0">
      <alignment vertical="top"/>
    </xf>
    <xf numFmtId="0" fontId="67" fillId="0" borderId="0"/>
    <xf numFmtId="0" fontId="61" fillId="0" borderId="0">
      <alignment vertical="top"/>
    </xf>
    <xf numFmtId="0" fontId="61" fillId="0" borderId="0">
      <alignment vertical="top"/>
    </xf>
    <xf numFmtId="0" fontId="85" fillId="0" borderId="0"/>
    <xf numFmtId="0" fontId="67"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7"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61" fillId="0" borderId="0">
      <alignment vertical="top"/>
    </xf>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7"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1" fillId="0" borderId="0"/>
    <xf numFmtId="0" fontId="61" fillId="0" borderId="0">
      <alignment vertical="top"/>
    </xf>
    <xf numFmtId="0" fontId="61" fillId="0" borderId="0">
      <alignment vertical="top"/>
    </xf>
    <xf numFmtId="0" fontId="61" fillId="0" borderId="0"/>
    <xf numFmtId="0" fontId="61" fillId="0" borderId="0">
      <alignment vertical="top"/>
    </xf>
    <xf numFmtId="0" fontId="61" fillId="0" borderId="0"/>
    <xf numFmtId="0" fontId="61"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17" fillId="0" borderId="0" applyProtection="0">
      <protection locked="0"/>
    </xf>
    <xf numFmtId="0" fontId="26" fillId="0" borderId="0" applyProtection="0">
      <protection locked="0"/>
    </xf>
    <xf numFmtId="0" fontId="26" fillId="0" borderId="0" applyProtection="0">
      <protection locked="0"/>
    </xf>
    <xf numFmtId="0" fontId="62" fillId="0" borderId="0"/>
    <xf numFmtId="0" fontId="17" fillId="0" borderId="0"/>
    <xf numFmtId="0" fontId="77"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77"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100" fillId="36" borderId="25" applyNumberFormat="0" applyAlignment="0" applyProtection="0"/>
    <xf numFmtId="0" fontId="100" fillId="36" borderId="25" applyNumberFormat="0" applyAlignment="0" applyProtection="0"/>
    <xf numFmtId="0" fontId="22" fillId="0" borderId="0" applyNumberFormat="0" applyFill="0" applyBorder="0">
      <alignment horizontal="left"/>
    </xf>
    <xf numFmtId="0" fontId="101" fillId="0" borderId="0" applyNumberFormat="0" applyFill="0" applyBorder="0" applyAlignment="0" applyProtection="0"/>
    <xf numFmtId="0" fontId="102" fillId="0" borderId="26" applyNumberFormat="0" applyFill="0" applyAlignment="0" applyProtection="0"/>
    <xf numFmtId="0" fontId="102" fillId="0" borderId="26" applyNumberFormat="0" applyFill="0" applyAlignment="0" applyProtection="0"/>
    <xf numFmtId="0" fontId="103" fillId="0" borderId="0" applyNumberFormat="0" applyFill="0" applyBorder="0" applyAlignment="0" applyProtection="0"/>
    <xf numFmtId="0" fontId="17" fillId="0" borderId="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9" fontId="17" fillId="0" borderId="0" applyFont="0" applyFill="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08"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7"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4" fontId="110"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111"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01" fillId="0" borderId="0" applyNumberForma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44" fontId="17" fillId="0" borderId="0" applyFont="0" applyFill="0" applyBorder="0" applyAlignment="0" applyProtection="0"/>
    <xf numFmtId="9" fontId="120" fillId="0" borderId="0" applyFont="0" applyFill="0" applyBorder="0" applyAlignment="0" applyProtection="0"/>
    <xf numFmtId="0" fontId="120" fillId="0" borderId="0"/>
    <xf numFmtId="0" fontId="11" fillId="0" borderId="0"/>
    <xf numFmtId="0" fontId="17" fillId="0" borderId="0"/>
    <xf numFmtId="43" fontId="11" fillId="0" borderId="0" applyFont="0" applyFill="0" applyBorder="0" applyAlignment="0" applyProtection="0"/>
    <xf numFmtId="9" fontId="11" fillId="0" borderId="0" applyFont="0" applyFill="0" applyBorder="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43" fontId="148"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44" fontId="150"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0" fontId="3" fillId="0" borderId="0"/>
    <xf numFmtId="0" fontId="17" fillId="0" borderId="0" applyBorder="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7"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7"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7"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701">
    <xf numFmtId="0" fontId="0" fillId="0" borderId="0" xfId="0"/>
    <xf numFmtId="0" fontId="0" fillId="0" borderId="0" xfId="0" applyAlignment="1">
      <alignment horizontal="center"/>
    </xf>
    <xf numFmtId="0" fontId="24" fillId="0" borderId="0" xfId="0" applyFont="1"/>
    <xf numFmtId="0" fontId="17" fillId="0" borderId="0" xfId="0" applyFont="1"/>
    <xf numFmtId="0" fontId="26" fillId="0" borderId="0" xfId="0" applyFont="1"/>
    <xf numFmtId="0" fontId="0" fillId="0" borderId="4" xfId="0" applyBorder="1"/>
    <xf numFmtId="0" fontId="26" fillId="0" borderId="0" xfId="0" applyFont="1" applyAlignment="1">
      <alignment horizontal="center"/>
    </xf>
    <xf numFmtId="0" fontId="17"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4" fillId="0" borderId="4" xfId="0" applyFont="1" applyBorder="1"/>
    <xf numFmtId="164" fontId="0" fillId="0" borderId="0" xfId="0" applyNumberFormat="1" applyAlignment="1">
      <alignment horizontal="right"/>
    </xf>
    <xf numFmtId="0" fontId="24" fillId="0" borderId="0" xfId="0" applyFont="1" applyAlignment="1">
      <alignment horizontal="center"/>
    </xf>
    <xf numFmtId="0" fontId="17" fillId="0" borderId="0" xfId="543"/>
    <xf numFmtId="0" fontId="26" fillId="0" borderId="0" xfId="0" applyFont="1" applyAlignment="1">
      <alignment horizontal="left" vertical="top" wrapText="1"/>
    </xf>
    <xf numFmtId="0" fontId="32" fillId="0" borderId="0" xfId="0" applyFont="1"/>
    <xf numFmtId="0" fontId="25" fillId="0" borderId="0" xfId="0" applyFont="1" applyAlignment="1">
      <alignment vertical="top"/>
    </xf>
    <xf numFmtId="0" fontId="25" fillId="0" borderId="0" xfId="0" applyFont="1" applyAlignment="1">
      <alignment vertical="top" wrapText="1"/>
    </xf>
    <xf numFmtId="0" fontId="26" fillId="0" borderId="0" xfId="0" applyFont="1" applyAlignment="1">
      <alignment horizontal="left" indent="4"/>
    </xf>
    <xf numFmtId="0" fontId="25" fillId="0" borderId="0" xfId="0" applyFont="1" applyAlignment="1">
      <alignment horizontal="left" vertical="top"/>
    </xf>
    <xf numFmtId="0" fontId="25" fillId="0" borderId="0" xfId="0" applyFont="1" applyAlignment="1">
      <alignment horizontal="left"/>
    </xf>
    <xf numFmtId="0" fontId="25" fillId="0" borderId="0" xfId="0" applyFont="1"/>
    <xf numFmtId="0" fontId="37" fillId="0" borderId="0" xfId="543" applyFont="1"/>
    <xf numFmtId="1" fontId="25" fillId="0" borderId="0" xfId="0" applyNumberFormat="1" applyFont="1" applyAlignment="1">
      <alignment horizontal="left"/>
    </xf>
    <xf numFmtId="0" fontId="27" fillId="0" borderId="0" xfId="0" applyFont="1"/>
    <xf numFmtId="1" fontId="25" fillId="0" borderId="0" xfId="0" applyNumberFormat="1" applyFont="1" applyAlignment="1">
      <alignment horizontal="right"/>
    </xf>
    <xf numFmtId="0" fontId="0" fillId="0" borderId="0" xfId="0" applyAlignment="1">
      <alignment horizontal="right"/>
    </xf>
    <xf numFmtId="0" fontId="36" fillId="0" borderId="0" xfId="0" applyFont="1"/>
    <xf numFmtId="0" fontId="29" fillId="0" borderId="0" xfId="0" applyFont="1"/>
    <xf numFmtId="172" fontId="17" fillId="0" borderId="0" xfId="543" applyNumberFormat="1"/>
    <xf numFmtId="9" fontId="17" fillId="0" borderId="0" xfId="543" applyNumberFormat="1" applyAlignment="1">
      <alignment horizontal="left"/>
    </xf>
    <xf numFmtId="168" fontId="17" fillId="0" borderId="0" xfId="543" applyNumberFormat="1"/>
    <xf numFmtId="0" fontId="26" fillId="0" borderId="0" xfId="0" applyFont="1" applyAlignment="1">
      <alignment horizontal="right"/>
    </xf>
    <xf numFmtId="0" fontId="40" fillId="0" borderId="0" xfId="0" applyFont="1"/>
    <xf numFmtId="0" fontId="26" fillId="0" borderId="0" xfId="0" applyFont="1" applyAlignment="1">
      <alignment horizontal="left"/>
    </xf>
    <xf numFmtId="0" fontId="28" fillId="0" borderId="0" xfId="0" applyFont="1"/>
    <xf numFmtId="0" fontId="30" fillId="0" borderId="0" xfId="0" applyFont="1"/>
    <xf numFmtId="0" fontId="24"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4" fillId="0" borderId="1" xfId="0" applyFont="1" applyBorder="1" applyAlignment="1">
      <alignment horizontal="center" wrapText="1"/>
    </xf>
    <xf numFmtId="0" fontId="24"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4" fillId="0" borderId="4" xfId="0" applyFont="1" applyBorder="1" applyAlignment="1">
      <alignment horizontal="center"/>
    </xf>
    <xf numFmtId="0" fontId="33" fillId="0" borderId="3" xfId="0" applyFont="1" applyBorder="1" applyAlignment="1">
      <alignment horizontal="left"/>
    </xf>
    <xf numFmtId="0" fontId="33" fillId="0" borderId="9" xfId="0" applyFont="1" applyBorder="1" applyAlignment="1">
      <alignment horizontal="left"/>
    </xf>
    <xf numFmtId="0" fontId="24" fillId="0" borderId="4" xfId="0" applyFont="1" applyBorder="1" applyAlignment="1">
      <alignment horizontal="right"/>
    </xf>
    <xf numFmtId="0" fontId="24" fillId="0" borderId="5" xfId="0" applyFont="1" applyBorder="1" applyAlignment="1">
      <alignment horizontal="right"/>
    </xf>
    <xf numFmtId="0" fontId="33" fillId="0" borderId="0" xfId="0" applyFont="1" applyAlignment="1">
      <alignment horizontal="left"/>
    </xf>
    <xf numFmtId="0" fontId="24" fillId="0" borderId="0" xfId="0" applyFont="1" applyAlignment="1">
      <alignment horizontal="right"/>
    </xf>
    <xf numFmtId="0" fontId="24"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6" fillId="0" borderId="11" xfId="0" applyFont="1" applyBorder="1" applyAlignment="1">
      <alignment horizontal="left"/>
    </xf>
    <xf numFmtId="0" fontId="24" fillId="0" borderId="9" xfId="0" applyFont="1" applyBorder="1"/>
    <xf numFmtId="164" fontId="0" fillId="0" borderId="0" xfId="0" applyNumberFormat="1" applyAlignment="1">
      <alignment horizontal="center"/>
    </xf>
    <xf numFmtId="0" fontId="0" fillId="0" borderId="12" xfId="0" applyBorder="1"/>
    <xf numFmtId="0" fontId="26" fillId="0" borderId="3" xfId="0" applyFont="1" applyBorder="1"/>
    <xf numFmtId="0" fontId="26" fillId="0" borderId="0" xfId="543" applyFont="1"/>
    <xf numFmtId="0" fontId="42" fillId="0" borderId="0" xfId="543" applyFont="1"/>
    <xf numFmtId="49" fontId="17" fillId="0" borderId="0" xfId="543" applyNumberFormat="1"/>
    <xf numFmtId="0" fontId="40" fillId="0" borderId="0" xfId="543" applyFont="1"/>
    <xf numFmtId="168" fontId="37" fillId="0" borderId="6" xfId="543" applyNumberFormat="1" applyFont="1" applyBorder="1" applyAlignment="1">
      <alignment horizontal="left"/>
    </xf>
    <xf numFmtId="168" fontId="37" fillId="0" borderId="6" xfId="543" applyNumberFormat="1" applyFont="1" applyBorder="1" applyAlignment="1">
      <alignment horizontal="center"/>
    </xf>
    <xf numFmtId="0" fontId="17" fillId="0" borderId="8" xfId="543" applyBorder="1"/>
    <xf numFmtId="0" fontId="37" fillId="0" borderId="0" xfId="543" applyFont="1" applyAlignment="1">
      <alignment horizontal="center"/>
    </xf>
    <xf numFmtId="0" fontId="36" fillId="0" borderId="9" xfId="543" applyFont="1" applyBorder="1" applyAlignment="1">
      <alignment horizontal="left" vertical="top" wrapText="1"/>
    </xf>
    <xf numFmtId="0" fontId="36" fillId="0" borderId="6" xfId="543" applyFont="1" applyBorder="1" applyAlignment="1">
      <alignment horizontal="center" vertical="top" wrapText="1"/>
    </xf>
    <xf numFmtId="0" fontId="17" fillId="0" borderId="9" xfId="543" applyBorder="1"/>
    <xf numFmtId="0" fontId="17" fillId="0" borderId="10" xfId="543" applyBorder="1"/>
    <xf numFmtId="0" fontId="17" fillId="0" borderId="1" xfId="543" applyBorder="1"/>
    <xf numFmtId="0" fontId="37" fillId="0" borderId="2" xfId="543" applyFont="1" applyBorder="1" applyAlignment="1">
      <alignment horizontal="center"/>
    </xf>
    <xf numFmtId="0" fontId="39" fillId="0" borderId="8" xfId="543" applyFont="1" applyBorder="1" applyAlignment="1">
      <alignment horizontal="left" vertical="top" wrapText="1"/>
    </xf>
    <xf numFmtId="0" fontId="36" fillId="0" borderId="0" xfId="543" applyFont="1" applyAlignment="1">
      <alignment horizontal="center" vertical="top" wrapText="1"/>
    </xf>
    <xf numFmtId="0" fontId="17" fillId="0" borderId="12" xfId="543" applyBorder="1"/>
    <xf numFmtId="0" fontId="39" fillId="0" borderId="0" xfId="543" applyFont="1" applyAlignment="1">
      <alignment horizontal="center" vertical="top" wrapText="1"/>
    </xf>
    <xf numFmtId="0" fontId="39" fillId="0" borderId="9" xfId="543" applyFont="1" applyBorder="1" applyAlignment="1">
      <alignment horizontal="left" vertical="top" wrapText="1"/>
    </xf>
    <xf numFmtId="0" fontId="17" fillId="0" borderId="2" xfId="543" applyBorder="1"/>
    <xf numFmtId="0" fontId="17" fillId="0" borderId="7" xfId="543" applyBorder="1"/>
    <xf numFmtId="0" fontId="36" fillId="0" borderId="0" xfId="543" applyFont="1"/>
    <xf numFmtId="0" fontId="17" fillId="0" borderId="0" xfId="543" applyAlignment="1">
      <alignment horizontal="center"/>
    </xf>
    <xf numFmtId="0" fontId="25" fillId="0" borderId="6" xfId="543" applyFont="1" applyBorder="1" applyAlignment="1">
      <alignment vertical="top" wrapText="1"/>
    </xf>
    <xf numFmtId="0" fontId="26" fillId="0" borderId="0" xfId="0" applyFont="1" applyAlignment="1">
      <alignment horizontal="left" vertical="top"/>
    </xf>
    <xf numFmtId="0" fontId="0" fillId="2" borderId="2" xfId="0" applyFill="1" applyBorder="1"/>
    <xf numFmtId="0" fontId="0" fillId="2" borderId="7" xfId="0" applyFill="1" applyBorder="1"/>
    <xf numFmtId="0" fontId="24" fillId="0" borderId="6" xfId="0" applyFont="1" applyBorder="1" applyAlignment="1">
      <alignment horizontal="right"/>
    </xf>
    <xf numFmtId="0" fontId="23" fillId="0" borderId="0" xfId="0" applyFont="1" applyAlignment="1">
      <alignment horizontal="center" vertical="center"/>
    </xf>
    <xf numFmtId="0" fontId="24" fillId="0" borderId="0" xfId="0" applyFont="1" applyAlignment="1">
      <alignment vertical="top"/>
    </xf>
    <xf numFmtId="166" fontId="0" fillId="0" borderId="0" xfId="0" applyNumberFormat="1" applyAlignment="1">
      <alignment horizontal="right"/>
    </xf>
    <xf numFmtId="0" fontId="47" fillId="0" borderId="0" xfId="0" applyFont="1"/>
    <xf numFmtId="0" fontId="34" fillId="0" borderId="0" xfId="0" applyFont="1"/>
    <xf numFmtId="0" fontId="18" fillId="0" borderId="0" xfId="244" applyBorder="1" applyProtection="1"/>
    <xf numFmtId="0" fontId="18" fillId="0" borderId="0" xfId="244" applyFill="1" applyBorder="1" applyAlignment="1">
      <alignment horizontal="center" vertical="center"/>
    </xf>
    <xf numFmtId="0" fontId="17" fillId="0" borderId="3" xfId="543" applyBorder="1"/>
    <xf numFmtId="0" fontId="39" fillId="0" borderId="4" xfId="543" applyFont="1" applyBorder="1" applyAlignment="1">
      <alignment horizontal="right" vertical="top" wrapText="1"/>
    </xf>
    <xf numFmtId="0" fontId="26" fillId="0" borderId="6" xfId="0" applyFont="1" applyBorder="1"/>
    <xf numFmtId="0" fontId="26" fillId="0" borderId="2" xfId="0" applyFont="1" applyBorder="1"/>
    <xf numFmtId="0" fontId="26" fillId="0" borderId="7" xfId="0" applyFont="1" applyBorder="1"/>
    <xf numFmtId="0" fontId="26" fillId="0" borderId="12" xfId="0" applyFont="1" applyBorder="1"/>
    <xf numFmtId="0" fontId="26" fillId="0" borderId="9" xfId="0" applyFont="1" applyBorder="1"/>
    <xf numFmtId="0" fontId="26" fillId="0" borderId="10" xfId="0" applyFont="1" applyBorder="1"/>
    <xf numFmtId="0" fontId="31" fillId="0" borderId="6" xfId="0" applyFont="1" applyBorder="1" applyAlignment="1">
      <alignment vertical="top" wrapText="1"/>
    </xf>
    <xf numFmtId="0" fontId="31" fillId="0" borderId="5" xfId="0" applyFont="1" applyBorder="1" applyAlignment="1">
      <alignment vertical="top" wrapText="1"/>
    </xf>
    <xf numFmtId="0" fontId="31" fillId="0" borderId="4" xfId="0" applyFont="1" applyBorder="1" applyAlignment="1">
      <alignment vertical="top" wrapText="1"/>
    </xf>
    <xf numFmtId="0" fontId="31" fillId="2" borderId="6" xfId="0" applyFont="1" applyFill="1" applyBorder="1" applyAlignment="1">
      <alignment vertical="top" wrapText="1"/>
    </xf>
    <xf numFmtId="0" fontId="0" fillId="0" borderId="8" xfId="0" applyBorder="1"/>
    <xf numFmtId="0" fontId="24" fillId="0" borderId="2" xfId="0" applyFont="1" applyBorder="1"/>
    <xf numFmtId="0" fontId="26" fillId="0" borderId="0" xfId="0" applyFont="1" applyAlignment="1">
      <alignment vertical="top"/>
    </xf>
    <xf numFmtId="0" fontId="26" fillId="0" borderId="0" xfId="0" applyFont="1" applyAlignment="1">
      <alignment vertical="top" wrapText="1"/>
    </xf>
    <xf numFmtId="0" fontId="17" fillId="0" borderId="0" xfId="0" applyFont="1" applyAlignment="1">
      <alignment horizontal="left"/>
    </xf>
    <xf numFmtId="0" fontId="17" fillId="0" borderId="0" xfId="0" applyFont="1" applyAlignment="1">
      <alignment vertical="top"/>
    </xf>
    <xf numFmtId="0" fontId="46" fillId="0" borderId="0" xfId="0" applyFont="1"/>
    <xf numFmtId="0" fontId="17" fillId="0" borderId="3" xfId="0" applyFont="1" applyBorder="1"/>
    <xf numFmtId="0" fontId="17"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1" fillId="3" borderId="4" xfId="0" applyFont="1" applyFill="1" applyBorder="1" applyAlignment="1">
      <alignment vertical="top" wrapText="1"/>
    </xf>
    <xf numFmtId="0" fontId="31" fillId="3" borderId="5" xfId="0" applyFont="1" applyFill="1" applyBorder="1" applyAlignment="1">
      <alignment vertical="top" wrapText="1"/>
    </xf>
    <xf numFmtId="0" fontId="49" fillId="0" borderId="0" xfId="0" applyFont="1"/>
    <xf numFmtId="0" fontId="26" fillId="0" borderId="4" xfId="0" applyFont="1" applyBorder="1"/>
    <xf numFmtId="0" fontId="24" fillId="0" borderId="2" xfId="0" applyFont="1" applyBorder="1" applyAlignment="1">
      <alignment horizontal="center"/>
    </xf>
    <xf numFmtId="0" fontId="24" fillId="0" borderId="0" xfId="0" applyFont="1" applyAlignment="1">
      <alignment horizontal="center" vertical="center" wrapText="1"/>
    </xf>
    <xf numFmtId="0" fontId="24" fillId="0" borderId="7" xfId="543" applyFont="1" applyBorder="1" applyAlignment="1">
      <alignment horizontal="right"/>
    </xf>
    <xf numFmtId="0" fontId="25" fillId="0" borderId="9" xfId="543" applyFont="1" applyBorder="1"/>
    <xf numFmtId="0" fontId="26" fillId="0" borderId="6" xfId="543" applyFont="1" applyBorder="1"/>
    <xf numFmtId="0" fontId="25" fillId="0" borderId="6" xfId="543" applyFont="1" applyBorder="1" applyAlignment="1">
      <alignment horizontal="right"/>
    </xf>
    <xf numFmtId="0" fontId="24" fillId="0" borderId="0" xfId="0" applyFont="1" applyAlignment="1">
      <alignment horizontal="center" vertical="center"/>
    </xf>
    <xf numFmtId="0" fontId="26" fillId="0" borderId="0" xfId="0" applyFont="1" applyAlignment="1">
      <alignment horizontal="left" vertical="center"/>
    </xf>
    <xf numFmtId="0" fontId="54" fillId="0" borderId="3" xfId="0" applyFont="1" applyBorder="1" applyAlignment="1">
      <alignment horizontal="left" vertical="top"/>
    </xf>
    <xf numFmtId="0" fontId="54" fillId="0" borderId="13" xfId="0" applyFont="1" applyBorder="1" applyAlignment="1">
      <alignment horizontal="center" wrapText="1"/>
    </xf>
    <xf numFmtId="0" fontId="54" fillId="0" borderId="13" xfId="0" applyFont="1" applyBorder="1" applyAlignment="1">
      <alignment horizontal="center" vertical="top" wrapText="1"/>
    </xf>
    <xf numFmtId="0" fontId="54" fillId="2" borderId="13" xfId="0" applyFont="1" applyFill="1" applyBorder="1" applyAlignment="1">
      <alignment horizontal="center" wrapText="1"/>
    </xf>
    <xf numFmtId="0" fontId="55" fillId="2" borderId="11" xfId="0" applyFont="1" applyFill="1" applyBorder="1" applyAlignment="1">
      <alignment horizontal="left" vertical="top" wrapText="1"/>
    </xf>
    <xf numFmtId="0" fontId="56" fillId="4" borderId="11" xfId="0" applyFont="1" applyFill="1" applyBorder="1" applyAlignment="1">
      <alignment vertical="top" wrapText="1"/>
    </xf>
    <xf numFmtId="0" fontId="56" fillId="2" borderId="11" xfId="0" applyFont="1" applyFill="1" applyBorder="1" applyAlignment="1">
      <alignment vertical="top" wrapText="1"/>
    </xf>
    <xf numFmtId="0" fontId="56" fillId="0" borderId="11" xfId="0" applyFont="1" applyBorder="1" applyAlignment="1">
      <alignment vertical="top" wrapText="1"/>
    </xf>
    <xf numFmtId="0" fontId="56" fillId="0" borderId="11" xfId="0" applyFont="1" applyBorder="1" applyAlignment="1">
      <alignment horizontal="right" vertical="top" wrapText="1"/>
    </xf>
    <xf numFmtId="168" fontId="56" fillId="0" borderId="11" xfId="0" applyNumberFormat="1" applyFont="1" applyBorder="1" applyAlignment="1">
      <alignment vertical="top" wrapText="1"/>
    </xf>
    <xf numFmtId="168" fontId="56" fillId="5" borderId="11" xfId="0" applyNumberFormat="1" applyFont="1" applyFill="1" applyBorder="1" applyAlignment="1" applyProtection="1">
      <alignment vertical="top" wrapText="1"/>
      <protection locked="0"/>
    </xf>
    <xf numFmtId="168" fontId="56" fillId="6" borderId="11" xfId="0" applyNumberFormat="1" applyFont="1" applyFill="1" applyBorder="1" applyAlignment="1">
      <alignment horizontal="center" vertical="top" wrapText="1"/>
    </xf>
    <xf numFmtId="0" fontId="54" fillId="0" borderId="11" xfId="0" applyFont="1" applyBorder="1" applyAlignment="1">
      <alignment horizontal="right" vertical="top" wrapText="1"/>
    </xf>
    <xf numFmtId="168" fontId="54" fillId="0" borderId="11" xfId="0" applyNumberFormat="1" applyFont="1" applyBorder="1" applyAlignment="1">
      <alignment vertical="top" wrapText="1"/>
    </xf>
    <xf numFmtId="168" fontId="56" fillId="4" borderId="11" xfId="0" applyNumberFormat="1" applyFont="1" applyFill="1" applyBorder="1" applyAlignment="1">
      <alignment vertical="top" wrapText="1"/>
    </xf>
    <xf numFmtId="0" fontId="54" fillId="2" borderId="11" xfId="0" applyFont="1" applyFill="1" applyBorder="1" applyAlignment="1">
      <alignment vertical="top" wrapText="1"/>
    </xf>
    <xf numFmtId="0" fontId="54" fillId="0" borderId="11" xfId="0" applyFont="1" applyBorder="1" applyAlignment="1">
      <alignment vertical="top" wrapText="1"/>
    </xf>
    <xf numFmtId="0" fontId="20" fillId="0" borderId="11" xfId="0" applyFont="1" applyBorder="1" applyAlignment="1">
      <alignment horizontal="right" vertical="top" wrapText="1"/>
    </xf>
    <xf numFmtId="0" fontId="56" fillId="0" borderId="11" xfId="0" applyFont="1" applyBorder="1" applyAlignment="1" applyProtection="1">
      <alignment horizontal="right" vertical="top" wrapText="1"/>
      <protection locked="0"/>
    </xf>
    <xf numFmtId="0" fontId="54" fillId="0" borderId="0" xfId="0" applyFont="1" applyAlignment="1">
      <alignment horizontal="left" vertical="top"/>
    </xf>
    <xf numFmtId="0" fontId="56" fillId="0" borderId="0" xfId="0" applyFont="1" applyAlignment="1">
      <alignment horizontal="left" vertical="top"/>
    </xf>
    <xf numFmtId="0" fontId="56" fillId="0" borderId="0" xfId="0" applyFont="1" applyAlignment="1">
      <alignment vertical="top" wrapText="1"/>
    </xf>
    <xf numFmtId="0" fontId="56" fillId="0" borderId="0" xfId="0" applyFont="1" applyAlignment="1">
      <alignment vertical="top"/>
    </xf>
    <xf numFmtId="0" fontId="54" fillId="0" borderId="0" xfId="0" applyFont="1" applyAlignment="1">
      <alignment horizontal="right" vertical="top"/>
    </xf>
    <xf numFmtId="0" fontId="56" fillId="2" borderId="0" xfId="0" applyFont="1" applyFill="1" applyAlignment="1">
      <alignment vertical="top" wrapText="1"/>
    </xf>
    <xf numFmtId="0" fontId="54" fillId="0" borderId="0" xfId="0" applyFont="1" applyAlignment="1">
      <alignment vertical="top"/>
    </xf>
    <xf numFmtId="166" fontId="26" fillId="0" borderId="0" xfId="0" applyNumberFormat="1" applyFont="1" applyAlignment="1">
      <alignment horizontal="left"/>
    </xf>
    <xf numFmtId="0" fontId="57" fillId="0" borderId="0" xfId="0" applyFont="1"/>
    <xf numFmtId="0" fontId="17" fillId="0" borderId="0" xfId="244" applyFont="1" applyFill="1" applyBorder="1" applyAlignment="1" applyProtection="1">
      <alignment horizontal="left"/>
    </xf>
    <xf numFmtId="0" fontId="48" fillId="0" borderId="0" xfId="0" applyFont="1"/>
    <xf numFmtId="0" fontId="48" fillId="0" borderId="0" xfId="244" applyFont="1" applyFill="1" applyBorder="1" applyAlignment="1" applyProtection="1">
      <alignment horizontal="left"/>
    </xf>
    <xf numFmtId="0" fontId="23" fillId="3" borderId="11" xfId="0" applyFont="1" applyFill="1" applyBorder="1" applyAlignment="1">
      <alignment vertical="top"/>
    </xf>
    <xf numFmtId="0" fontId="0" fillId="7" borderId="0" xfId="0" applyFill="1"/>
    <xf numFmtId="0" fontId="37" fillId="0" borderId="0" xfId="0" applyFont="1"/>
    <xf numFmtId="0" fontId="59" fillId="0" borderId="0" xfId="0" applyFont="1"/>
    <xf numFmtId="0" fontId="35" fillId="0" borderId="0" xfId="0" applyFont="1" applyAlignment="1">
      <alignment horizontal="center"/>
    </xf>
    <xf numFmtId="0" fontId="35" fillId="0" borderId="0" xfId="0" applyFont="1" applyAlignment="1">
      <alignment horizontal="left"/>
    </xf>
    <xf numFmtId="49" fontId="24" fillId="0" borderId="0" xfId="0" applyNumberFormat="1" applyFont="1" applyAlignment="1">
      <alignment horizontal="center"/>
    </xf>
    <xf numFmtId="0" fontId="51" fillId="0" borderId="0" xfId="0" applyFont="1" applyAlignment="1">
      <alignment horizontal="center"/>
    </xf>
    <xf numFmtId="168" fontId="26" fillId="0" borderId="0" xfId="0" applyNumberFormat="1" applyFont="1" applyAlignment="1">
      <alignment horizontal="center"/>
    </xf>
    <xf numFmtId="168" fontId="36" fillId="0" borderId="0" xfId="0" applyNumberFormat="1" applyFont="1" applyAlignment="1">
      <alignment horizontal="left" vertical="top" wrapText="1"/>
    </xf>
    <xf numFmtId="0" fontId="53" fillId="0" borderId="3" xfId="0" applyFont="1" applyBorder="1"/>
    <xf numFmtId="168" fontId="0" fillId="0" borderId="0" xfId="0" applyNumberFormat="1" applyAlignment="1">
      <alignment horizontal="center"/>
    </xf>
    <xf numFmtId="0" fontId="37" fillId="0" borderId="0" xfId="0" applyFont="1" applyAlignment="1">
      <alignment vertical="top" wrapText="1"/>
    </xf>
    <xf numFmtId="0" fontId="54" fillId="0" borderId="4" xfId="0" applyFont="1" applyBorder="1" applyAlignment="1">
      <alignment horizontal="right"/>
    </xf>
    <xf numFmtId="0" fontId="61" fillId="0" borderId="0" xfId="0" applyFont="1"/>
    <xf numFmtId="3" fontId="26" fillId="0" borderId="0" xfId="0" applyNumberFormat="1" applyFont="1" applyAlignment="1">
      <alignment horizontal="center"/>
    </xf>
    <xf numFmtId="168" fontId="17" fillId="0" borderId="0" xfId="0" applyNumberFormat="1" applyFont="1" applyAlignment="1">
      <alignment horizontal="left" vertical="top"/>
    </xf>
    <xf numFmtId="168" fontId="26" fillId="0" borderId="0" xfId="0" applyNumberFormat="1" applyFont="1" applyAlignment="1">
      <alignment horizontal="left" vertical="top"/>
    </xf>
    <xf numFmtId="0" fontId="56" fillId="0" borderId="11" xfId="0" applyFont="1" applyBorder="1" applyAlignment="1">
      <alignment horizontal="right" vertical="top"/>
    </xf>
    <xf numFmtId="0" fontId="56" fillId="0" borderId="0" xfId="0" applyFont="1" applyAlignment="1">
      <alignment horizontal="right" vertical="top" wrapText="1"/>
    </xf>
    <xf numFmtId="0" fontId="56" fillId="2" borderId="12" xfId="0" applyFont="1" applyFill="1" applyBorder="1" applyAlignment="1">
      <alignment vertical="top" wrapText="1"/>
    </xf>
    <xf numFmtId="0" fontId="56" fillId="0" borderId="14" xfId="0" applyFont="1" applyBorder="1" applyAlignment="1">
      <alignment vertical="top" wrapText="1"/>
    </xf>
    <xf numFmtId="168" fontId="56" fillId="5" borderId="11" xfId="0" applyNumberFormat="1" applyFont="1" applyFill="1" applyBorder="1" applyAlignment="1" applyProtection="1">
      <alignment vertical="top"/>
      <protection locked="0"/>
    </xf>
    <xf numFmtId="0" fontId="56" fillId="2" borderId="11" xfId="0" applyFont="1" applyFill="1" applyBorder="1" applyAlignment="1" applyProtection="1">
      <alignment vertical="top"/>
      <protection locked="0"/>
    </xf>
    <xf numFmtId="0" fontId="56" fillId="0" borderId="11" xfId="0" applyFont="1" applyBorder="1" applyAlignment="1" applyProtection="1">
      <alignment vertical="top"/>
      <protection locked="0"/>
    </xf>
    <xf numFmtId="168" fontId="56" fillId="0" borderId="11" xfId="0" applyNumberFormat="1" applyFont="1" applyBorder="1" applyAlignment="1">
      <alignment vertical="top"/>
    </xf>
    <xf numFmtId="168" fontId="56" fillId="6" borderId="11" xfId="0" applyNumberFormat="1" applyFont="1" applyFill="1" applyBorder="1" applyAlignment="1">
      <alignment horizontal="center" vertical="top"/>
    </xf>
    <xf numFmtId="0" fontId="24" fillId="0" borderId="0" xfId="542" applyFont="1" applyProtection="1">
      <protection locked="0"/>
    </xf>
    <xf numFmtId="0" fontId="17" fillId="0" borderId="0" xfId="539" applyProtection="1"/>
    <xf numFmtId="0" fontId="37" fillId="8" borderId="0" xfId="539" applyFont="1" applyFill="1" applyAlignment="1" applyProtection="1">
      <alignment horizontal="centerContinuous"/>
    </xf>
    <xf numFmtId="0" fontId="24" fillId="0" borderId="0" xfId="543" applyFont="1"/>
    <xf numFmtId="0" fontId="26" fillId="0" borderId="0" xfId="543" applyFont="1" applyAlignment="1">
      <alignment horizontal="left"/>
    </xf>
    <xf numFmtId="0" fontId="26" fillId="0" borderId="15" xfId="0" applyFont="1" applyBorder="1"/>
    <xf numFmtId="0" fontId="26" fillId="0" borderId="11" xfId="0" applyFont="1" applyBorder="1"/>
    <xf numFmtId="2" fontId="40" fillId="0" borderId="11" xfId="0" applyNumberFormat="1" applyFont="1" applyBorder="1"/>
    <xf numFmtId="0" fontId="17" fillId="0" borderId="0" xfId="0" applyFont="1" applyProtection="1">
      <protection locked="0"/>
    </xf>
    <xf numFmtId="0" fontId="64" fillId="0" borderId="0" xfId="0" applyFont="1" applyAlignment="1">
      <alignment horizontal="center"/>
    </xf>
    <xf numFmtId="0" fontId="26" fillId="0" borderId="0" xfId="271"/>
    <xf numFmtId="0" fontId="24" fillId="0" borderId="0" xfId="271" applyFont="1"/>
    <xf numFmtId="0" fontId="26" fillId="0" borderId="0" xfId="271" applyAlignment="1">
      <alignment horizontal="left"/>
    </xf>
    <xf numFmtId="168" fontId="24" fillId="0" borderId="2" xfId="543" applyNumberFormat="1" applyFont="1" applyBorder="1" applyAlignment="1">
      <alignment horizontal="center" vertical="center"/>
    </xf>
    <xf numFmtId="0" fontId="39" fillId="0" borderId="0" xfId="543" applyFont="1" applyAlignment="1">
      <alignment horizontal="right" vertical="top" wrapText="1"/>
    </xf>
    <xf numFmtId="0" fontId="37" fillId="0" borderId="2" xfId="543" applyFont="1" applyBorder="1" applyAlignment="1">
      <alignment horizontal="right" vertical="top" wrapText="1"/>
    </xf>
    <xf numFmtId="0" fontId="22" fillId="0" borderId="0" xfId="0" applyFont="1"/>
    <xf numFmtId="0" fontId="66" fillId="0" borderId="0" xfId="0" applyFont="1"/>
    <xf numFmtId="0" fontId="64" fillId="0" borderId="0" xfId="0" applyFont="1"/>
    <xf numFmtId="0" fontId="37"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4" fillId="0" borderId="0" xfId="0" applyNumberFormat="1" applyFont="1" applyAlignment="1">
      <alignment horizontal="center"/>
    </xf>
    <xf numFmtId="3" fontId="26" fillId="0" borderId="0" xfId="0" applyNumberFormat="1" applyFont="1"/>
    <xf numFmtId="0" fontId="65" fillId="0" borderId="0" xfId="0" applyFont="1"/>
    <xf numFmtId="168" fontId="22" fillId="0" borderId="0" xfId="0" applyNumberFormat="1" applyFont="1"/>
    <xf numFmtId="10" fontId="22" fillId="0" borderId="0" xfId="0" applyNumberFormat="1" applyFont="1" applyAlignment="1">
      <alignment horizontal="center"/>
    </xf>
    <xf numFmtId="3" fontId="68" fillId="0" borderId="0" xfId="0" applyNumberFormat="1" applyFont="1"/>
    <xf numFmtId="3" fontId="22" fillId="0" borderId="0" xfId="0" applyNumberFormat="1" applyFont="1"/>
    <xf numFmtId="168" fontId="65" fillId="0" borderId="0" xfId="0" applyNumberFormat="1" applyFont="1"/>
    <xf numFmtId="168" fontId="65" fillId="0" borderId="0" xfId="0" applyNumberFormat="1" applyFont="1" applyAlignment="1">
      <alignment horizontal="center"/>
    </xf>
    <xf numFmtId="0" fontId="22" fillId="5" borderId="0" xfId="0" applyFont="1" applyFill="1" applyAlignment="1">
      <alignment horizontal="left"/>
    </xf>
    <xf numFmtId="0" fontId="22" fillId="5" borderId="0" xfId="0" applyFont="1" applyFill="1"/>
    <xf numFmtId="10" fontId="22" fillId="0" borderId="0" xfId="0" applyNumberFormat="1" applyFont="1"/>
    <xf numFmtId="172" fontId="22" fillId="0" borderId="0" xfId="0" applyNumberFormat="1" applyFont="1"/>
    <xf numFmtId="172" fontId="22" fillId="0" borderId="0" xfId="0" applyNumberFormat="1" applyFont="1" applyAlignment="1">
      <alignment horizontal="center"/>
    </xf>
    <xf numFmtId="0" fontId="22" fillId="0" borderId="6" xfId="0" applyFont="1" applyBorder="1"/>
    <xf numFmtId="10" fontId="22" fillId="0" borderId="6" xfId="0" applyNumberFormat="1" applyFont="1" applyBorder="1" applyAlignment="1">
      <alignment horizontal="center"/>
    </xf>
    <xf numFmtId="3" fontId="22" fillId="0" borderId="6" xfId="0" applyNumberFormat="1" applyFont="1" applyBorder="1"/>
    <xf numFmtId="10" fontId="26" fillId="0" borderId="0" xfId="0" applyNumberFormat="1" applyFont="1" applyAlignment="1">
      <alignment horizontal="center"/>
    </xf>
    <xf numFmtId="3" fontId="26" fillId="0" borderId="0" xfId="0" applyNumberFormat="1" applyFont="1" applyAlignment="1">
      <alignment vertical="top"/>
    </xf>
    <xf numFmtId="10" fontId="24" fillId="0" borderId="0" xfId="0" applyNumberFormat="1" applyFont="1" applyAlignment="1">
      <alignment horizontal="center"/>
    </xf>
    <xf numFmtId="0" fontId="64" fillId="0" borderId="6" xfId="0" applyFont="1" applyBorder="1" applyAlignment="1">
      <alignment horizontal="center"/>
    </xf>
    <xf numFmtId="172" fontId="26" fillId="0" borderId="0" xfId="0" applyNumberFormat="1" applyFont="1" applyAlignment="1">
      <alignment horizontal="center"/>
    </xf>
    <xf numFmtId="10" fontId="69" fillId="0" borderId="0" xfId="0" applyNumberFormat="1" applyFont="1" applyAlignment="1">
      <alignment horizontal="center"/>
    </xf>
    <xf numFmtId="0" fontId="26" fillId="9" borderId="6" xfId="0" applyFont="1" applyFill="1" applyBorder="1"/>
    <xf numFmtId="0" fontId="26" fillId="0" borderId="4" xfId="271" applyBorder="1"/>
    <xf numFmtId="0" fontId="26" fillId="0" borderId="6" xfId="271" applyBorder="1"/>
    <xf numFmtId="0" fontId="26" fillId="0" borderId="1" xfId="0" applyFont="1" applyBorder="1"/>
    <xf numFmtId="168" fontId="26" fillId="0" borderId="3" xfId="0" applyNumberFormat="1" applyFont="1" applyBorder="1" applyAlignment="1">
      <alignment vertical="top"/>
    </xf>
    <xf numFmtId="168" fontId="26" fillId="0" borderId="4" xfId="0" applyNumberFormat="1" applyFont="1" applyBorder="1" applyAlignment="1">
      <alignment vertical="top"/>
    </xf>
    <xf numFmtId="168" fontId="26" fillId="0" borderId="5" xfId="0" applyNumberFormat="1" applyFont="1" applyBorder="1" applyAlignment="1">
      <alignment vertical="top"/>
    </xf>
    <xf numFmtId="168" fontId="26" fillId="0" borderId="8" xfId="0" applyNumberFormat="1" applyFont="1" applyBorder="1" applyAlignment="1">
      <alignment vertical="top"/>
    </xf>
    <xf numFmtId="168" fontId="26" fillId="0" borderId="0" xfId="0" applyNumberFormat="1" applyFont="1" applyAlignment="1">
      <alignment vertical="top"/>
    </xf>
    <xf numFmtId="0" fontId="26" fillId="0" borderId="0" xfId="0" applyFont="1" applyAlignment="1">
      <alignment horizontal="right" vertical="top"/>
    </xf>
    <xf numFmtId="0" fontId="26"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6" fillId="5" borderId="4" xfId="0" applyFont="1" applyFill="1" applyBorder="1" applyAlignment="1" applyProtection="1">
      <alignment horizontal="left" vertical="top"/>
      <protection locked="0"/>
    </xf>
    <xf numFmtId="0" fontId="26" fillId="5" borderId="5" xfId="0" applyFont="1" applyFill="1" applyBorder="1" applyAlignment="1" applyProtection="1">
      <alignment horizontal="left" vertical="top"/>
      <protection locked="0"/>
    </xf>
    <xf numFmtId="4" fontId="51" fillId="0" borderId="0" xfId="0" applyNumberFormat="1" applyFont="1" applyAlignment="1">
      <alignment horizontal="center"/>
    </xf>
    <xf numFmtId="0" fontId="36" fillId="0" borderId="1" xfId="543" applyFont="1" applyBorder="1" applyAlignment="1">
      <alignment horizontal="left" vertical="top" wrapText="1"/>
    </xf>
    <xf numFmtId="0" fontId="36" fillId="0" borderId="12" xfId="543" applyFont="1" applyBorder="1" applyAlignment="1">
      <alignment horizontal="center" vertical="top" wrapText="1"/>
    </xf>
    <xf numFmtId="0" fontId="36" fillId="0" borderId="8" xfId="543" applyFont="1" applyBorder="1" applyAlignment="1">
      <alignment horizontal="left" vertical="top" wrapText="1"/>
    </xf>
    <xf numFmtId="0" fontId="31" fillId="3" borderId="4" xfId="271" applyFont="1" applyFill="1" applyBorder="1" applyAlignment="1">
      <alignment vertical="top" wrapText="1"/>
    </xf>
    <xf numFmtId="0" fontId="23" fillId="3" borderId="11" xfId="271" applyFont="1" applyFill="1" applyBorder="1" applyAlignment="1">
      <alignment vertical="top"/>
    </xf>
    <xf numFmtId="0" fontId="24" fillId="0" borderId="9" xfId="271" applyFont="1" applyBorder="1" applyAlignment="1">
      <alignment horizontal="center" wrapText="1"/>
    </xf>
    <xf numFmtId="0" fontId="31" fillId="3" borderId="4" xfId="271" applyFont="1" applyFill="1" applyBorder="1" applyAlignment="1" applyProtection="1">
      <alignment vertical="top" wrapText="1"/>
      <protection locked="0"/>
    </xf>
    <xf numFmtId="0" fontId="31" fillId="3" borderId="5" xfId="271" applyFont="1" applyFill="1" applyBorder="1" applyAlignment="1" applyProtection="1">
      <alignment vertical="top" wrapText="1"/>
      <protection locked="0"/>
    </xf>
    <xf numFmtId="0" fontId="24" fillId="0" borderId="13" xfId="271" applyFont="1" applyBorder="1" applyAlignment="1">
      <alignment horizontal="center" wrapText="1"/>
    </xf>
    <xf numFmtId="0" fontId="49" fillId="2" borderId="11" xfId="271" applyFont="1" applyFill="1" applyBorder="1" applyAlignment="1">
      <alignment horizontal="left" vertical="top" wrapText="1"/>
    </xf>
    <xf numFmtId="0" fontId="26" fillId="0" borderId="11" xfId="271" applyBorder="1" applyAlignment="1" applyProtection="1">
      <alignment vertical="top" wrapText="1"/>
      <protection locked="0"/>
    </xf>
    <xf numFmtId="168" fontId="26" fillId="5" borderId="11" xfId="271" applyNumberFormat="1" applyFill="1" applyBorder="1" applyAlignment="1" applyProtection="1">
      <alignment vertical="top" wrapText="1"/>
      <protection locked="0"/>
    </xf>
    <xf numFmtId="0" fontId="26" fillId="5" borderId="3" xfId="271" applyFill="1" applyBorder="1" applyAlignment="1" applyProtection="1">
      <alignment vertical="top" wrapText="1"/>
      <protection locked="0"/>
    </xf>
    <xf numFmtId="0" fontId="26" fillId="5" borderId="11" xfId="271" applyFill="1" applyBorder="1" applyAlignment="1" applyProtection="1">
      <alignment vertical="top" wrapText="1"/>
      <protection locked="0"/>
    </xf>
    <xf numFmtId="0" fontId="26" fillId="0" borderId="11" xfId="271" applyBorder="1" applyAlignment="1">
      <alignment horizontal="right" vertical="top" wrapText="1"/>
    </xf>
    <xf numFmtId="168" fontId="26" fillId="0" borderId="11" xfId="271" applyNumberFormat="1" applyBorder="1" applyAlignment="1">
      <alignment vertical="top" wrapText="1"/>
    </xf>
    <xf numFmtId="0" fontId="24" fillId="0" borderId="11" xfId="271" applyFont="1" applyBorder="1" applyAlignment="1">
      <alignment horizontal="right" vertical="top" wrapText="1"/>
    </xf>
    <xf numFmtId="0" fontId="26" fillId="5" borderId="11" xfId="271" applyFill="1" applyBorder="1" applyAlignment="1" applyProtection="1">
      <alignment horizontal="right" vertical="top" wrapText="1"/>
      <protection locked="0"/>
    </xf>
    <xf numFmtId="168" fontId="24" fillId="0" borderId="11" xfId="271" applyNumberFormat="1" applyFont="1" applyBorder="1" applyAlignment="1">
      <alignment vertical="top" wrapText="1"/>
    </xf>
    <xf numFmtId="0" fontId="34" fillId="0" borderId="11" xfId="271" applyFont="1" applyBorder="1" applyAlignment="1">
      <alignment horizontal="right" vertical="top" wrapText="1"/>
    </xf>
    <xf numFmtId="0" fontId="31" fillId="0" borderId="0" xfId="271" applyFont="1" applyAlignment="1" applyProtection="1">
      <alignment vertical="top" wrapText="1"/>
      <protection locked="0"/>
    </xf>
    <xf numFmtId="0" fontId="26" fillId="0" borderId="5" xfId="271" applyBorder="1" applyAlignment="1" applyProtection="1">
      <alignment vertical="top" wrapText="1"/>
      <protection locked="0"/>
    </xf>
    <xf numFmtId="0" fontId="24" fillId="0" borderId="3" xfId="271" applyFont="1" applyBorder="1" applyAlignment="1">
      <alignment horizontal="left" vertical="top"/>
    </xf>
    <xf numFmtId="0" fontId="26" fillId="0" borderId="4" xfId="271" applyBorder="1" applyAlignment="1" applyProtection="1">
      <alignment horizontal="left" vertical="top"/>
      <protection locked="0"/>
    </xf>
    <xf numFmtId="0" fontId="26" fillId="0" borderId="4" xfId="271" applyBorder="1" applyAlignment="1" applyProtection="1">
      <alignment vertical="top" wrapText="1"/>
      <protection locked="0"/>
    </xf>
    <xf numFmtId="0" fontId="31" fillId="0" borderId="0" xfId="271" applyFont="1" applyAlignment="1">
      <alignment vertical="top" wrapText="1"/>
    </xf>
    <xf numFmtId="0" fontId="26" fillId="0" borderId="4" xfId="271" applyBorder="1" applyAlignment="1">
      <alignment vertical="top" wrapText="1"/>
    </xf>
    <xf numFmtId="0" fontId="49" fillId="2" borderId="11" xfId="271" applyFont="1" applyFill="1" applyBorder="1" applyAlignment="1" applyProtection="1">
      <alignment horizontal="left" vertical="top" wrapText="1"/>
      <protection locked="0"/>
    </xf>
    <xf numFmtId="0" fontId="53" fillId="0" borderId="11" xfId="0" applyFont="1" applyBorder="1" applyAlignment="1">
      <alignment horizontal="right" vertical="top" wrapText="1"/>
    </xf>
    <xf numFmtId="0" fontId="26" fillId="8" borderId="0" xfId="542" quotePrefix="1" applyFont="1" applyFill="1" applyAlignment="1">
      <alignment horizontal="left"/>
    </xf>
    <xf numFmtId="0" fontId="26" fillId="8" borderId="0" xfId="542" applyFont="1" applyFill="1"/>
    <xf numFmtId="0" fontId="34" fillId="8" borderId="0" xfId="542" applyFont="1" applyFill="1"/>
    <xf numFmtId="0" fontId="53" fillId="0" borderId="11" xfId="271" applyFont="1" applyBorder="1" applyAlignment="1">
      <alignment horizontal="right" vertical="top"/>
    </xf>
    <xf numFmtId="0" fontId="53" fillId="0" borderId="11" xfId="271" applyFont="1" applyBorder="1" applyAlignment="1">
      <alignment horizontal="right" vertical="top" wrapText="1"/>
    </xf>
    <xf numFmtId="0" fontId="26" fillId="0" borderId="0" xfId="271" applyAlignment="1">
      <alignment horizontal="left" vertical="top"/>
    </xf>
    <xf numFmtId="0" fontId="24" fillId="0" borderId="0" xfId="271" applyFont="1" applyAlignment="1">
      <alignment horizontal="right"/>
    </xf>
    <xf numFmtId="0" fontId="25" fillId="0" borderId="0" xfId="271" applyFont="1" applyAlignment="1">
      <alignment horizontal="center"/>
    </xf>
    <xf numFmtId="5" fontId="26" fillId="0" borderId="0" xfId="542" applyNumberFormat="1" applyFont="1"/>
    <xf numFmtId="1" fontId="26" fillId="0" borderId="15" xfId="271" applyNumberFormat="1" applyBorder="1"/>
    <xf numFmtId="1" fontId="26" fillId="0" borderId="14" xfId="271" applyNumberFormat="1" applyBorder="1"/>
    <xf numFmtId="0" fontId="25" fillId="0" borderId="6" xfId="271" applyFont="1" applyBorder="1" applyAlignment="1">
      <alignment horizontal="left"/>
    </xf>
    <xf numFmtId="0" fontId="25" fillId="0" borderId="6" xfId="271" applyFont="1" applyBorder="1" applyAlignment="1">
      <alignment horizontal="right"/>
    </xf>
    <xf numFmtId="165" fontId="26" fillId="0" borderId="0" xfId="271" applyNumberFormat="1"/>
    <xf numFmtId="170" fontId="26" fillId="0" borderId="14" xfId="271" applyNumberFormat="1" applyBorder="1"/>
    <xf numFmtId="1" fontId="24" fillId="0" borderId="11" xfId="271" applyNumberFormat="1" applyFont="1" applyBorder="1"/>
    <xf numFmtId="165" fontId="24" fillId="0" borderId="11" xfId="271" applyNumberFormat="1" applyFont="1" applyBorder="1"/>
    <xf numFmtId="3" fontId="56" fillId="0" borderId="11" xfId="0" applyNumberFormat="1" applyFont="1" applyBorder="1" applyAlignment="1">
      <alignment vertical="top" wrapText="1"/>
    </xf>
    <xf numFmtId="166" fontId="26" fillId="0" borderId="0" xfId="0" applyNumberFormat="1" applyFont="1"/>
    <xf numFmtId="0" fontId="0" fillId="0" borderId="0" xfId="0" applyProtection="1">
      <protection locked="0"/>
    </xf>
    <xf numFmtId="0" fontId="22" fillId="0" borderId="0" xfId="0" applyFont="1" applyProtection="1">
      <protection locked="0"/>
    </xf>
    <xf numFmtId="0" fontId="22" fillId="0" borderId="0" xfId="271" applyFont="1" applyProtection="1">
      <protection locked="0"/>
    </xf>
    <xf numFmtId="168" fontId="22" fillId="0" borderId="0" xfId="271" applyNumberFormat="1" applyFont="1" applyProtection="1">
      <protection locked="0"/>
    </xf>
    <xf numFmtId="0" fontId="30" fillId="0" borderId="1" xfId="0" applyFont="1" applyBorder="1"/>
    <xf numFmtId="0" fontId="17" fillId="0" borderId="2" xfId="0" applyFont="1" applyBorder="1" applyAlignment="1">
      <alignment horizontal="left"/>
    </xf>
    <xf numFmtId="0" fontId="17" fillId="0" borderId="2" xfId="0" applyFont="1" applyBorder="1"/>
    <xf numFmtId="0" fontId="30" fillId="0" borderId="8" xfId="0" applyFont="1" applyBorder="1"/>
    <xf numFmtId="0" fontId="30" fillId="0" borderId="9" xfId="0" applyFont="1" applyBorder="1"/>
    <xf numFmtId="0" fontId="24" fillId="0" borderId="0" xfId="0" applyFont="1" applyAlignment="1">
      <alignment horizontal="left" vertical="top"/>
    </xf>
    <xf numFmtId="0" fontId="74" fillId="0" borderId="0" xfId="0" applyFont="1" applyAlignment="1">
      <alignment vertical="center" wrapText="1"/>
    </xf>
    <xf numFmtId="0" fontId="74" fillId="0" borderId="0" xfId="0" applyFont="1" applyAlignment="1">
      <alignment vertical="center"/>
    </xf>
    <xf numFmtId="0" fontId="74" fillId="0" borderId="0" xfId="0" applyFont="1" applyAlignment="1">
      <alignment horizontal="left" vertical="center" indent="1"/>
    </xf>
    <xf numFmtId="172" fontId="26" fillId="5" borderId="0" xfId="0" applyNumberFormat="1" applyFont="1" applyFill="1" applyAlignment="1">
      <alignment horizontal="center"/>
    </xf>
    <xf numFmtId="0" fontId="75" fillId="0" borderId="0" xfId="0" applyFont="1" applyAlignment="1">
      <alignment horizontal="left" vertical="center"/>
    </xf>
    <xf numFmtId="0" fontId="36" fillId="0" borderId="2" xfId="543" applyFont="1" applyBorder="1" applyAlignment="1">
      <alignment horizontal="center" vertical="top" wrapText="1"/>
    </xf>
    <xf numFmtId="49" fontId="47" fillId="0" borderId="0" xfId="0" applyNumberFormat="1" applyFont="1" applyAlignment="1">
      <alignment horizontal="center"/>
    </xf>
    <xf numFmtId="0" fontId="53" fillId="0" borderId="0" xfId="0" applyFont="1"/>
    <xf numFmtId="5" fontId="79" fillId="0" borderId="11" xfId="541" applyNumberFormat="1" applyFont="1" applyBorder="1" applyAlignment="1" applyProtection="1">
      <alignment horizontal="center"/>
    </xf>
    <xf numFmtId="5" fontId="79" fillId="42" borderId="11" xfId="541" applyNumberFormat="1" applyFont="1" applyFill="1" applyBorder="1" applyAlignment="1" applyProtection="1">
      <alignment horizontal="center"/>
    </xf>
    <xf numFmtId="5" fontId="79" fillId="2" borderId="11" xfId="541" applyNumberFormat="1" applyFont="1" applyFill="1" applyBorder="1" applyAlignment="1" applyProtection="1">
      <alignment horizontal="center"/>
    </xf>
    <xf numFmtId="0" fontId="53" fillId="0" borderId="0" xfId="0" applyFont="1" applyAlignment="1">
      <alignment vertical="top" wrapText="1"/>
    </xf>
    <xf numFmtId="0" fontId="53" fillId="0" borderId="0" xfId="0" applyFont="1" applyAlignment="1">
      <alignment vertical="top"/>
    </xf>
    <xf numFmtId="0" fontId="53" fillId="2" borderId="0" xfId="0" applyFont="1" applyFill="1" applyAlignment="1">
      <alignment vertical="top" wrapText="1"/>
    </xf>
    <xf numFmtId="0" fontId="81" fillId="0" borderId="13" xfId="0" applyFont="1" applyBorder="1" applyAlignment="1">
      <alignment vertical="top" wrapText="1"/>
    </xf>
    <xf numFmtId="0" fontId="31" fillId="0" borderId="0" xfId="0" applyFont="1" applyAlignment="1">
      <alignment vertical="top" wrapText="1"/>
    </xf>
    <xf numFmtId="0" fontId="81" fillId="2" borderId="13" xfId="0" applyFont="1" applyFill="1" applyBorder="1" applyAlignment="1">
      <alignment vertical="top" wrapText="1"/>
    </xf>
    <xf numFmtId="0" fontId="81" fillId="0" borderId="0" xfId="0" applyFont="1" applyAlignment="1">
      <alignment vertical="top" wrapText="1"/>
    </xf>
    <xf numFmtId="0" fontId="81" fillId="2" borderId="0" xfId="0" applyFont="1" applyFill="1" applyAlignment="1">
      <alignment vertical="top" wrapText="1"/>
    </xf>
    <xf numFmtId="0" fontId="53" fillId="0" borderId="0" xfId="0" applyFont="1" applyAlignment="1">
      <alignment horizontal="right" vertical="top" wrapText="1"/>
    </xf>
    <xf numFmtId="168" fontId="53" fillId="5" borderId="6" xfId="0" applyNumberFormat="1" applyFont="1" applyFill="1" applyBorder="1" applyAlignment="1" applyProtection="1">
      <alignment horizontal="right" vertical="top" wrapText="1"/>
      <protection locked="0"/>
    </xf>
    <xf numFmtId="168" fontId="53" fillId="0" borderId="6" xfId="0" applyNumberFormat="1" applyFont="1" applyBorder="1" applyAlignment="1">
      <alignment horizontal="right" vertical="top" wrapText="1"/>
    </xf>
    <xf numFmtId="0" fontId="24" fillId="0" borderId="0" xfId="0" applyFont="1" applyAlignment="1">
      <alignment horizontal="left" vertical="top" wrapText="1"/>
    </xf>
    <xf numFmtId="0" fontId="26" fillId="0" borderId="0" xfId="0" applyFont="1" applyAlignment="1">
      <alignment horizontal="right" vertical="top" wrapText="1"/>
    </xf>
    <xf numFmtId="10" fontId="26" fillId="5" borderId="6" xfId="0" applyNumberFormat="1" applyFont="1" applyFill="1" applyBorder="1" applyAlignment="1" applyProtection="1">
      <alignment horizontal="center" vertical="top" wrapText="1"/>
      <protection locked="0"/>
    </xf>
    <xf numFmtId="0" fontId="64" fillId="0" borderId="0" xfId="0" applyFont="1" applyAlignment="1">
      <alignment horizontal="left" vertical="center"/>
    </xf>
    <xf numFmtId="0" fontId="24" fillId="0" borderId="2" xfId="543" applyFont="1" applyBorder="1" applyAlignment="1">
      <alignment horizontal="center"/>
    </xf>
    <xf numFmtId="0" fontId="0" fillId="0" borderId="0" xfId="543" applyFont="1"/>
    <xf numFmtId="0" fontId="18" fillId="0" borderId="0" xfId="244" quotePrefix="1" applyAlignment="1" applyProtection="1">
      <alignment horizontal="left"/>
    </xf>
    <xf numFmtId="168" fontId="53"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105" fillId="0" borderId="0" xfId="0" applyFont="1" applyAlignment="1">
      <alignment horizontal="left" vertical="top"/>
    </xf>
    <xf numFmtId="0" fontId="106" fillId="0" borderId="0" xfId="0" applyFont="1" applyAlignment="1">
      <alignment horizontal="left" vertical="top"/>
    </xf>
    <xf numFmtId="0" fontId="74" fillId="0" borderId="0" xfId="0" applyFont="1"/>
    <xf numFmtId="0" fontId="24" fillId="8" borderId="11" xfId="542" applyFont="1" applyFill="1" applyBorder="1" applyAlignment="1">
      <alignment horizontal="left"/>
    </xf>
    <xf numFmtId="0" fontId="24" fillId="8" borderId="11" xfId="542" applyFont="1" applyFill="1" applyBorder="1" applyAlignment="1">
      <alignment horizontal="center"/>
    </xf>
    <xf numFmtId="0" fontId="63" fillId="8" borderId="11" xfId="542" applyFont="1" applyFill="1" applyBorder="1" applyAlignment="1">
      <alignment horizontal="left"/>
    </xf>
    <xf numFmtId="0" fontId="63" fillId="0" borderId="11" xfId="542" applyFont="1" applyBorder="1" applyAlignment="1">
      <alignment horizontal="left"/>
    </xf>
    <xf numFmtId="0" fontId="24" fillId="0" borderId="0" xfId="271" applyFont="1" applyAlignment="1" applyProtection="1">
      <alignment horizontal="center" wrapText="1"/>
      <protection locked="0"/>
    </xf>
    <xf numFmtId="0" fontId="26" fillId="0" borderId="0" xfId="271" applyAlignment="1" applyProtection="1">
      <alignment vertical="top" wrapText="1"/>
      <protection locked="0"/>
    </xf>
    <xf numFmtId="0" fontId="24" fillId="0" borderId="0" xfId="271" applyFont="1" applyAlignment="1" applyProtection="1">
      <alignment vertical="top" wrapText="1"/>
      <protection locked="0"/>
    </xf>
    <xf numFmtId="0" fontId="17" fillId="0" borderId="0" xfId="0" applyFont="1" applyAlignment="1">
      <alignment horizontal="center"/>
    </xf>
    <xf numFmtId="0" fontId="31" fillId="0" borderId="8" xfId="569" applyFont="1" applyBorder="1" applyAlignment="1">
      <alignment vertical="top" wrapText="1"/>
    </xf>
    <xf numFmtId="0" fontId="31" fillId="0" borderId="0" xfId="569" applyFont="1" applyAlignment="1">
      <alignment vertical="top" wrapText="1"/>
    </xf>
    <xf numFmtId="0" fontId="55" fillId="2" borderId="11" xfId="569" applyFont="1" applyFill="1" applyBorder="1" applyAlignment="1">
      <alignment horizontal="left" vertical="top" wrapText="1"/>
    </xf>
    <xf numFmtId="6" fontId="53" fillId="4" borderId="11" xfId="569" applyNumberFormat="1" applyFont="1" applyFill="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6" fontId="53" fillId="0" borderId="11" xfId="569" applyNumberFormat="1" applyFont="1" applyBorder="1" applyAlignment="1">
      <alignment vertical="top" wrapText="1"/>
    </xf>
    <xf numFmtId="6" fontId="53" fillId="5" borderId="11" xfId="569" applyNumberFormat="1" applyFont="1" applyFill="1" applyBorder="1" applyAlignment="1" applyProtection="1">
      <alignment vertical="top" wrapText="1"/>
      <protection locked="0"/>
    </xf>
    <xf numFmtId="6" fontId="53" fillId="6" borderId="11" xfId="569" applyNumberFormat="1" applyFont="1" applyFill="1" applyBorder="1" applyAlignment="1">
      <alignment horizontal="center" vertical="top" wrapText="1"/>
    </xf>
    <xf numFmtId="0" fontId="53" fillId="0" borderId="11" xfId="569" applyFont="1" applyBorder="1" applyAlignment="1">
      <alignment horizontal="right" vertical="top" wrapText="1"/>
    </xf>
    <xf numFmtId="0" fontId="54" fillId="0" borderId="11" xfId="569" applyFont="1" applyBorder="1" applyAlignment="1">
      <alignment horizontal="right" vertical="top" wrapText="1"/>
    </xf>
    <xf numFmtId="0" fontId="53" fillId="0" borderId="11" xfId="569" applyFont="1" applyBorder="1" applyAlignment="1">
      <alignment horizontal="right" vertical="top"/>
    </xf>
    <xf numFmtId="6" fontId="54" fillId="0" borderId="11" xfId="569" applyNumberFormat="1" applyFont="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0" fontId="20" fillId="0" borderId="11" xfId="569" applyFont="1" applyBorder="1" applyAlignment="1">
      <alignment horizontal="right" vertical="top" wrapText="1"/>
    </xf>
    <xf numFmtId="0" fontId="54" fillId="0" borderId="0" xfId="569" applyFont="1" applyAlignment="1">
      <alignment horizontal="left" vertical="top"/>
    </xf>
    <xf numFmtId="6" fontId="53" fillId="0" borderId="0" xfId="569" applyNumberFormat="1" applyFont="1" applyAlignment="1">
      <alignment horizontal="left" vertical="top"/>
    </xf>
    <xf numFmtId="0" fontId="106" fillId="0" borderId="0" xfId="569" applyFont="1" applyAlignment="1">
      <alignment horizontal="left" vertical="top"/>
    </xf>
    <xf numFmtId="6" fontId="53" fillId="0" borderId="0" xfId="569" applyNumberFormat="1" applyFont="1" applyAlignment="1">
      <alignment vertical="top" wrapText="1"/>
    </xf>
    <xf numFmtId="0" fontId="53" fillId="0" borderId="0" xfId="569" applyFont="1" applyAlignment="1">
      <alignment horizontal="left" vertical="top"/>
    </xf>
    <xf numFmtId="0" fontId="53" fillId="0" borderId="12" xfId="569" applyFont="1" applyBorder="1" applyAlignment="1">
      <alignment vertical="top" wrapText="1"/>
    </xf>
    <xf numFmtId="0" fontId="24" fillId="0" borderId="0" xfId="569" applyFont="1" applyAlignment="1">
      <alignment horizontal="left" vertical="top"/>
    </xf>
    <xf numFmtId="0" fontId="109" fillId="0" borderId="0" xfId="569" applyFont="1" applyAlignment="1">
      <alignment horizontal="left" vertical="top"/>
    </xf>
    <xf numFmtId="0" fontId="64" fillId="0" borderId="0" xfId="569" applyFont="1" applyAlignment="1">
      <alignment horizontal="left" vertical="center"/>
    </xf>
    <xf numFmtId="0" fontId="32" fillId="0" borderId="0" xfId="569" applyFont="1" applyAlignment="1">
      <alignment vertical="top" wrapText="1"/>
    </xf>
    <xf numFmtId="0" fontId="32" fillId="0" borderId="12" xfId="569" applyFont="1" applyBorder="1" applyAlignment="1">
      <alignment vertical="top" wrapText="1"/>
    </xf>
    <xf numFmtId="0" fontId="32" fillId="0" borderId="8" xfId="569" applyFont="1" applyBorder="1" applyAlignment="1">
      <alignment vertical="top" wrapText="1"/>
    </xf>
    <xf numFmtId="0" fontId="53" fillId="0" borderId="0" xfId="569" applyFont="1" applyAlignment="1">
      <alignment vertical="top"/>
    </xf>
    <xf numFmtId="168" fontId="53" fillId="0" borderId="0" xfId="569" applyNumberFormat="1" applyFont="1" applyAlignment="1" applyProtection="1">
      <alignment horizontal="right" vertical="top" wrapText="1"/>
      <protection locked="0"/>
    </xf>
    <xf numFmtId="0" fontId="17" fillId="0" borderId="0" xfId="569" applyAlignment="1">
      <alignment vertical="top" wrapText="1"/>
    </xf>
    <xf numFmtId="0" fontId="17" fillId="0" borderId="0" xfId="569" applyAlignment="1">
      <alignment vertical="top"/>
    </xf>
    <xf numFmtId="0" fontId="53" fillId="0" borderId="0" xfId="569" applyFont="1" applyAlignment="1">
      <alignment horizontal="right" vertical="top" wrapText="1"/>
    </xf>
    <xf numFmtId="0" fontId="24" fillId="0" borderId="0" xfId="569" applyFont="1" applyAlignment="1">
      <alignment horizontal="left" vertical="top" wrapText="1"/>
    </xf>
    <xf numFmtId="168" fontId="53" fillId="0" borderId="0" xfId="569" applyNumberFormat="1" applyFont="1" applyAlignment="1">
      <alignment horizontal="right" vertical="top" wrapText="1"/>
    </xf>
    <xf numFmtId="0" fontId="17" fillId="0" borderId="0" xfId="569" applyAlignment="1" applyProtection="1">
      <alignment horizontal="left" vertical="top" wrapText="1"/>
      <protection locked="0"/>
    </xf>
    <xf numFmtId="0" fontId="17" fillId="0" borderId="0" xfId="569" applyAlignment="1">
      <alignment horizontal="right" vertical="top" wrapText="1"/>
    </xf>
    <xf numFmtId="0" fontId="17" fillId="0" borderId="0" xfId="569" applyAlignment="1">
      <alignment horizontal="left" vertical="top"/>
    </xf>
    <xf numFmtId="0" fontId="81" fillId="0" borderId="0" xfId="569" applyFont="1" applyAlignment="1">
      <alignment vertical="top" wrapText="1"/>
    </xf>
    <xf numFmtId="0" fontId="81" fillId="0" borderId="12" xfId="569" applyFont="1" applyBorder="1" applyAlignment="1">
      <alignment vertical="top" wrapText="1"/>
    </xf>
    <xf numFmtId="0" fontId="81" fillId="0" borderId="8" xfId="569" applyFont="1" applyBorder="1" applyAlignment="1">
      <alignment vertical="top" wrapText="1"/>
    </xf>
    <xf numFmtId="0" fontId="31" fillId="0" borderId="0" xfId="569" applyFont="1" applyAlignment="1">
      <alignment horizontal="right" vertical="top" wrapText="1"/>
    </xf>
    <xf numFmtId="0" fontId="81" fillId="0" borderId="0" xfId="569" applyFont="1" applyAlignment="1">
      <alignment horizontal="right" vertical="top" wrapText="1"/>
    </xf>
    <xf numFmtId="0" fontId="54" fillId="0" borderId="3" xfId="569" applyFont="1" applyBorder="1" applyAlignment="1">
      <alignment horizontal="left"/>
    </xf>
    <xf numFmtId="0" fontId="54" fillId="0" borderId="13" xfId="569" applyFont="1" applyBorder="1" applyAlignment="1">
      <alignment horizontal="center" wrapText="1"/>
    </xf>
    <xf numFmtId="0" fontId="54" fillId="0" borderId="8" xfId="569" applyFont="1" applyBorder="1" applyAlignment="1">
      <alignment horizontal="center" wrapText="1"/>
    </xf>
    <xf numFmtId="0" fontId="54" fillId="0" borderId="0" xfId="569" applyFont="1" applyAlignment="1">
      <alignment horizontal="center" wrapText="1"/>
    </xf>
    <xf numFmtId="0" fontId="17" fillId="0" borderId="0" xfId="569"/>
    <xf numFmtId="0" fontId="23" fillId="0" borderId="0" xfId="569" applyFont="1" applyAlignment="1">
      <alignment horizontal="center" vertical="center"/>
    </xf>
    <xf numFmtId="0" fontId="24" fillId="0" borderId="0" xfId="569" applyFont="1"/>
    <xf numFmtId="0" fontId="17" fillId="0" borderId="1" xfId="569" applyBorder="1"/>
    <xf numFmtId="0" fontId="17" fillId="0" borderId="2" xfId="569" applyBorder="1"/>
    <xf numFmtId="0" fontId="17" fillId="0" borderId="8" xfId="569" applyBorder="1"/>
    <xf numFmtId="0" fontId="17" fillId="0" borderId="9" xfId="569" applyBorder="1"/>
    <xf numFmtId="0" fontId="17" fillId="0" borderId="6" xfId="569" applyBorder="1"/>
    <xf numFmtId="0" fontId="25" fillId="0" borderId="0" xfId="569" applyFont="1"/>
    <xf numFmtId="0" fontId="17" fillId="0" borderId="7" xfId="569" applyBorder="1"/>
    <xf numFmtId="0" fontId="17" fillId="0" borderId="12" xfId="569" applyBorder="1"/>
    <xf numFmtId="0" fontId="17" fillId="0" borderId="10" xfId="569" applyBorder="1"/>
    <xf numFmtId="0" fontId="25" fillId="0" borderId="0" xfId="569" applyFont="1" applyAlignment="1">
      <alignment vertical="top" wrapText="1"/>
    </xf>
    <xf numFmtId="0" fontId="17" fillId="0" borderId="0" xfId="569" applyAlignment="1">
      <alignment horizontal="right"/>
    </xf>
    <xf numFmtId="0" fontId="17" fillId="0" borderId="0" xfId="569" applyAlignment="1">
      <alignment wrapText="1"/>
    </xf>
    <xf numFmtId="0" fontId="17" fillId="0" borderId="0" xfId="569" applyAlignment="1">
      <alignment vertical="center"/>
    </xf>
    <xf numFmtId="0" fontId="41" fillId="0" borderId="0" xfId="569" applyFont="1" applyAlignment="1">
      <alignment vertical="center" wrapText="1"/>
    </xf>
    <xf numFmtId="0" fontId="35" fillId="0" borderId="0" xfId="569" applyFont="1" applyAlignment="1">
      <alignment vertical="top" wrapText="1"/>
    </xf>
    <xf numFmtId="0" fontId="24" fillId="0" borderId="0" xfId="569" applyFont="1" applyAlignment="1">
      <alignment vertical="top" wrapText="1"/>
    </xf>
    <xf numFmtId="0" fontId="25" fillId="0" borderId="0" xfId="569" applyFont="1" applyAlignment="1">
      <alignment horizontal="left" vertical="top" wrapText="1"/>
    </xf>
    <xf numFmtId="164" fontId="17" fillId="0" borderId="0" xfId="569" applyNumberFormat="1" applyAlignment="1">
      <alignment horizontal="right"/>
    </xf>
    <xf numFmtId="168" fontId="17" fillId="0" borderId="0" xfId="569" applyNumberFormat="1" applyAlignment="1">
      <alignment horizontal="right"/>
    </xf>
    <xf numFmtId="0" fontId="107" fillId="0" borderId="0" xfId="569" applyFont="1" applyAlignment="1">
      <alignment horizontal="left" vertical="top" wrapText="1"/>
    </xf>
    <xf numFmtId="168" fontId="17" fillId="0" borderId="0" xfId="569" applyNumberFormat="1" applyAlignment="1">
      <alignment wrapText="1"/>
    </xf>
    <xf numFmtId="0" fontId="22" fillId="0" borderId="11" xfId="253" applyFont="1" applyBorder="1" applyAlignment="1">
      <alignment horizontal="center" wrapText="1"/>
    </xf>
    <xf numFmtId="0" fontId="22" fillId="0" borderId="0" xfId="253" applyFont="1" applyAlignment="1">
      <alignment horizontal="center" wrapText="1"/>
    </xf>
    <xf numFmtId="3" fontId="22" fillId="0" borderId="11" xfId="271" applyNumberFormat="1" applyFont="1" applyBorder="1"/>
    <xf numFmtId="3" fontId="22" fillId="0" borderId="0" xfId="271" applyNumberFormat="1" applyFont="1"/>
    <xf numFmtId="0" fontId="65" fillId="0" borderId="0" xfId="271" applyFont="1" applyAlignment="1">
      <alignment horizontal="left"/>
    </xf>
    <xf numFmtId="0" fontId="65" fillId="0" borderId="0" xfId="271" applyFont="1" applyAlignment="1">
      <alignment horizontal="right"/>
    </xf>
    <xf numFmtId="168" fontId="22" fillId="0" borderId="11" xfId="271" applyNumberFormat="1" applyFont="1" applyBorder="1"/>
    <xf numFmtId="168" fontId="22" fillId="0" borderId="0" xfId="271" applyNumberFormat="1" applyFont="1"/>
    <xf numFmtId="0" fontId="53" fillId="0" borderId="0" xfId="569" applyFont="1" applyAlignment="1">
      <alignment horizontal="left"/>
    </xf>
    <xf numFmtId="0" fontId="17" fillId="0" borderId="3" xfId="569" applyBorder="1"/>
    <xf numFmtId="0" fontId="108" fillId="0" borderId="0" xfId="1834"/>
    <xf numFmtId="0" fontId="0" fillId="0" borderId="0" xfId="0" applyAlignment="1">
      <alignment horizontal="left" vertical="top"/>
    </xf>
    <xf numFmtId="0" fontId="107" fillId="0" borderId="0" xfId="0" applyFont="1" applyAlignment="1">
      <alignment vertical="top" wrapText="1"/>
    </xf>
    <xf numFmtId="0" fontId="53" fillId="0" borderId="0" xfId="271" applyFont="1" applyAlignment="1">
      <alignment vertical="top" wrapText="1"/>
    </xf>
    <xf numFmtId="4" fontId="17" fillId="0" borderId="0" xfId="1192" applyNumberFormat="1" applyAlignment="1">
      <alignment horizontal="left" vertical="top" wrapText="1"/>
    </xf>
    <xf numFmtId="0" fontId="17" fillId="0" borderId="0" xfId="0" applyFont="1" applyAlignment="1">
      <alignment horizontal="left" vertical="top" wrapText="1"/>
    </xf>
    <xf numFmtId="0" fontId="24" fillId="0" borderId="12" xfId="543" applyFont="1" applyBorder="1" applyAlignment="1">
      <alignment horizontal="right"/>
    </xf>
    <xf numFmtId="0" fontId="36" fillId="0" borderId="0" xfId="543" applyFont="1" applyAlignment="1">
      <alignment horizontal="center"/>
    </xf>
    <xf numFmtId="4" fontId="17" fillId="0" borderId="0" xfId="569" applyNumberFormat="1" applyAlignment="1">
      <alignment horizontal="left"/>
    </xf>
    <xf numFmtId="0" fontId="17" fillId="0" borderId="0" xfId="569" applyAlignment="1">
      <alignment horizontal="left" vertical="top" wrapText="1"/>
    </xf>
    <xf numFmtId="0" fontId="17" fillId="0" borderId="0" xfId="569" applyAlignment="1">
      <alignment horizontal="left"/>
    </xf>
    <xf numFmtId="0" fontId="17" fillId="0" borderId="0" xfId="1192" applyAlignment="1">
      <alignment horizontal="left"/>
    </xf>
    <xf numFmtId="0" fontId="24" fillId="0" borderId="0" xfId="569" applyFont="1" applyAlignment="1">
      <alignment horizontal="left"/>
    </xf>
    <xf numFmtId="0" fontId="46" fillId="0" borderId="0" xfId="1192" applyFont="1"/>
    <xf numFmtId="0" fontId="53" fillId="0" borderId="11" xfId="0" applyFont="1" applyBorder="1" applyAlignment="1">
      <alignment horizontal="right" vertical="center"/>
    </xf>
    <xf numFmtId="0" fontId="17" fillId="0" borderId="0" xfId="1192" applyAlignment="1">
      <alignment horizontal="left" vertical="top" wrapText="1"/>
    </xf>
    <xf numFmtId="0" fontId="46" fillId="0" borderId="0" xfId="0" applyFont="1" applyAlignment="1">
      <alignment vertical="top" wrapText="1"/>
    </xf>
    <xf numFmtId="0" fontId="46" fillId="0" borderId="0" xfId="0" applyFont="1" applyAlignment="1">
      <alignment horizontal="left" vertical="top" wrapText="1"/>
    </xf>
    <xf numFmtId="6" fontId="54" fillId="0" borderId="0" xfId="569" applyNumberFormat="1" applyFont="1" applyAlignment="1">
      <alignment horizontal="right" vertical="top"/>
    </xf>
    <xf numFmtId="0" fontId="17" fillId="0" borderId="0" xfId="0" applyFont="1" applyAlignment="1">
      <alignment vertical="top" wrapText="1"/>
    </xf>
    <xf numFmtId="168" fontId="26" fillId="0" borderId="0" xfId="0" applyNumberFormat="1" applyFont="1" applyAlignment="1">
      <alignment horizontal="right"/>
    </xf>
    <xf numFmtId="168" fontId="26" fillId="0" borderId="28" xfId="540" applyNumberFormat="1" applyBorder="1" applyAlignment="1" applyProtection="1">
      <alignment horizontal="center"/>
    </xf>
    <xf numFmtId="168" fontId="26" fillId="0" borderId="29" xfId="540" applyNumberFormat="1" applyBorder="1" applyAlignment="1" applyProtection="1">
      <alignment horizontal="center"/>
    </xf>
    <xf numFmtId="168" fontId="26" fillId="0" borderId="30" xfId="540" applyNumberFormat="1" applyBorder="1" applyAlignment="1" applyProtection="1">
      <alignment horizontal="center"/>
    </xf>
    <xf numFmtId="168" fontId="26" fillId="0" borderId="31" xfId="540" applyNumberFormat="1" applyBorder="1" applyAlignment="1" applyProtection="1">
      <alignment horizontal="center"/>
    </xf>
    <xf numFmtId="168" fontId="26" fillId="0" borderId="32" xfId="540" applyNumberFormat="1" applyBorder="1" applyAlignment="1" applyProtection="1">
      <alignment horizontal="center"/>
    </xf>
    <xf numFmtId="168" fontId="26" fillId="0" borderId="33" xfId="540" applyNumberFormat="1" applyBorder="1" applyAlignment="1" applyProtection="1">
      <alignment horizontal="center"/>
    </xf>
    <xf numFmtId="168" fontId="26" fillId="0" borderId="34" xfId="540" applyNumberFormat="1" applyBorder="1" applyAlignment="1" applyProtection="1">
      <alignment horizontal="center"/>
    </xf>
    <xf numFmtId="168" fontId="26" fillId="0" borderId="35" xfId="540" applyNumberFormat="1" applyBorder="1" applyAlignment="1" applyProtection="1">
      <alignment horizontal="center"/>
    </xf>
    <xf numFmtId="168" fontId="26" fillId="0" borderId="36" xfId="540" applyNumberFormat="1" applyBorder="1" applyAlignment="1" applyProtection="1">
      <alignment horizontal="center"/>
    </xf>
    <xf numFmtId="168" fontId="26" fillId="0" borderId="37" xfId="540" applyNumberFormat="1" applyBorder="1" applyAlignment="1" applyProtection="1">
      <alignment horizontal="center"/>
    </xf>
    <xf numFmtId="168" fontId="26" fillId="0" borderId="38" xfId="540" applyNumberFormat="1" applyBorder="1" applyAlignment="1" applyProtection="1">
      <alignment horizontal="center"/>
    </xf>
    <xf numFmtId="168" fontId="26" fillId="0" borderId="39" xfId="540" applyNumberFormat="1" applyBorder="1" applyAlignment="1" applyProtection="1">
      <alignment horizontal="center"/>
    </xf>
    <xf numFmtId="168" fontId="26" fillId="0" borderId="40" xfId="540" applyNumberFormat="1" applyBorder="1" applyAlignment="1" applyProtection="1">
      <alignment horizontal="center"/>
    </xf>
    <xf numFmtId="168" fontId="26" fillId="0" borderId="0" xfId="540" applyNumberFormat="1" applyAlignment="1" applyProtection="1">
      <alignment horizontal="center"/>
    </xf>
    <xf numFmtId="168" fontId="26" fillId="0" borderId="14" xfId="540" applyNumberFormat="1" applyBorder="1" applyAlignment="1" applyProtection="1">
      <alignment horizontal="center"/>
    </xf>
    <xf numFmtId="168" fontId="26" fillId="0" borderId="41" xfId="540" applyNumberFormat="1" applyBorder="1" applyAlignment="1" applyProtection="1">
      <alignment horizontal="center"/>
    </xf>
    <xf numFmtId="168" fontId="26" fillId="0" borderId="42" xfId="540" applyNumberFormat="1" applyBorder="1" applyAlignment="1" applyProtection="1">
      <alignment horizontal="center"/>
    </xf>
    <xf numFmtId="168" fontId="26" fillId="0" borderId="43" xfId="540" applyNumberFormat="1" applyBorder="1" applyAlignment="1" applyProtection="1">
      <alignment horizontal="center"/>
    </xf>
    <xf numFmtId="168" fontId="26" fillId="0" borderId="44" xfId="540" applyNumberFormat="1" applyBorder="1" applyAlignment="1" applyProtection="1">
      <alignment horizontal="center"/>
    </xf>
    <xf numFmtId="0" fontId="17" fillId="0" borderId="0" xfId="1192"/>
    <xf numFmtId="0" fontId="17" fillId="0" borderId="0" xfId="0" applyFont="1" applyAlignment="1">
      <alignment wrapText="1"/>
    </xf>
    <xf numFmtId="0" fontId="46" fillId="0" borderId="0" xfId="0" applyFont="1" applyAlignment="1">
      <alignment horizontal="left" vertical="top"/>
    </xf>
    <xf numFmtId="0" fontId="46" fillId="0" borderId="0" xfId="0" applyFont="1" applyAlignment="1">
      <alignment vertical="top"/>
    </xf>
    <xf numFmtId="0" fontId="17" fillId="0" borderId="0" xfId="569" applyAlignment="1">
      <alignment horizontal="center"/>
    </xf>
    <xf numFmtId="0" fontId="35" fillId="0" borderId="0" xfId="569" applyFont="1" applyAlignment="1">
      <alignment horizontal="left"/>
    </xf>
    <xf numFmtId="0" fontId="35" fillId="0" borderId="0" xfId="569" applyFont="1" applyAlignment="1">
      <alignment horizontal="center"/>
    </xf>
    <xf numFmtId="49" fontId="24" fillId="0" borderId="0" xfId="569" applyNumberFormat="1" applyFont="1" applyAlignment="1">
      <alignment horizontal="center"/>
    </xf>
    <xf numFmtId="0" fontId="51" fillId="0" borderId="0" xfId="569" applyFont="1" applyAlignment="1">
      <alignment horizontal="center"/>
    </xf>
    <xf numFmtId="0" fontId="17" fillId="5" borderId="6" xfId="569" applyFill="1" applyBorder="1" applyProtection="1">
      <protection locked="0"/>
    </xf>
    <xf numFmtId="0" fontId="18" fillId="0" borderId="0" xfId="244" applyAlignment="1" applyProtection="1">
      <alignment horizontal="center"/>
    </xf>
    <xf numFmtId="49" fontId="17" fillId="0" borderId="0" xfId="569" applyNumberFormat="1" applyAlignment="1">
      <alignment horizontal="center"/>
    </xf>
    <xf numFmtId="0" fontId="17" fillId="0" borderId="0" xfId="569" applyAlignment="1">
      <alignment horizontal="center" vertical="center"/>
    </xf>
    <xf numFmtId="0" fontId="17" fillId="0" borderId="0" xfId="1192" applyAlignment="1">
      <alignment horizontal="center"/>
    </xf>
    <xf numFmtId="0" fontId="24" fillId="0" borderId="0" xfId="569" applyFont="1" applyAlignment="1">
      <alignment horizontal="center"/>
    </xf>
    <xf numFmtId="0" fontId="17" fillId="0" borderId="0" xfId="569" applyAlignment="1">
      <alignment horizontal="left" indent="4"/>
    </xf>
    <xf numFmtId="0" fontId="17" fillId="0" borderId="0" xfId="569" quotePrefix="1" applyAlignment="1">
      <alignment horizontal="left"/>
    </xf>
    <xf numFmtId="0" fontId="35" fillId="0" borderId="0" xfId="569" applyFont="1"/>
    <xf numFmtId="0" fontId="17" fillId="0" borderId="0" xfId="1192" applyAlignment="1" applyProtection="1">
      <alignment horizontal="left"/>
      <protection locked="0"/>
    </xf>
    <xf numFmtId="0" fontId="17" fillId="0" borderId="0" xfId="569" applyAlignment="1" applyProtection="1">
      <alignment horizontal="left"/>
      <protection locked="0"/>
    </xf>
    <xf numFmtId="49" fontId="17" fillId="0" borderId="0" xfId="1192" applyNumberFormat="1" applyAlignment="1">
      <alignment horizontal="center"/>
    </xf>
    <xf numFmtId="0" fontId="51" fillId="0" borderId="0" xfId="1192" applyFont="1" applyAlignment="1">
      <alignment horizontal="center"/>
    </xf>
    <xf numFmtId="0" fontId="24" fillId="0" borderId="0" xfId="1192" applyFont="1" applyAlignment="1">
      <alignment horizontal="left"/>
    </xf>
    <xf numFmtId="4" fontId="17" fillId="0" borderId="0" xfId="1192" applyNumberFormat="1" applyAlignment="1">
      <alignment horizontal="left"/>
    </xf>
    <xf numFmtId="0" fontId="24" fillId="0" borderId="0" xfId="569" quotePrefix="1" applyFont="1" applyAlignment="1">
      <alignment horizontal="center"/>
    </xf>
    <xf numFmtId="49" fontId="17" fillId="0" borderId="0" xfId="569" applyNumberFormat="1"/>
    <xf numFmtId="0" fontId="49" fillId="0" borderId="0" xfId="569" applyFont="1" applyAlignment="1">
      <alignment horizontal="left"/>
    </xf>
    <xf numFmtId="4" fontId="51" fillId="0" borderId="0" xfId="569" applyNumberFormat="1" applyFont="1" applyAlignment="1">
      <alignment horizontal="center"/>
    </xf>
    <xf numFmtId="4" fontId="17" fillId="0" borderId="0" xfId="569" applyNumberFormat="1" applyAlignment="1">
      <alignment horizontal="center"/>
    </xf>
    <xf numFmtId="4" fontId="17" fillId="0" borderId="0" xfId="569" applyNumberFormat="1"/>
    <xf numFmtId="0" fontId="47" fillId="0" borderId="0" xfId="569" applyFont="1" applyAlignment="1">
      <alignment horizontal="left"/>
    </xf>
    <xf numFmtId="0" fontId="18" fillId="0" borderId="0" xfId="244" applyNumberFormat="1" applyFill="1" applyAlignment="1" applyProtection="1">
      <alignment horizontal="left"/>
      <protection locked="0"/>
    </xf>
    <xf numFmtId="0" fontId="53" fillId="0" borderId="11" xfId="0" applyFont="1" applyBorder="1" applyAlignment="1" applyProtection="1">
      <alignment horizontal="right" vertical="top" wrapText="1"/>
      <protection locked="0"/>
    </xf>
    <xf numFmtId="168" fontId="56" fillId="44" borderId="11" xfId="0" applyNumberFormat="1" applyFont="1" applyFill="1" applyBorder="1" applyAlignment="1">
      <alignment vertical="top" wrapText="1"/>
    </xf>
    <xf numFmtId="0" fontId="17" fillId="0" borderId="11" xfId="271" applyFont="1" applyBorder="1" applyAlignment="1">
      <alignment horizontal="right" vertical="top" wrapText="1"/>
    </xf>
    <xf numFmtId="0" fontId="25" fillId="0" borderId="0" xfId="569" applyFont="1" applyAlignment="1">
      <alignment horizontal="left"/>
    </xf>
    <xf numFmtId="0" fontId="105" fillId="0" borderId="0" xfId="0" applyFont="1"/>
    <xf numFmtId="0" fontId="116" fillId="0" borderId="0" xfId="0" applyFont="1" applyAlignment="1">
      <alignment horizontal="left" vertical="top"/>
    </xf>
    <xf numFmtId="0" fontId="117" fillId="0" borderId="0" xfId="0" applyFont="1" applyAlignment="1">
      <alignment horizontal="left" vertical="top"/>
    </xf>
    <xf numFmtId="168" fontId="25" fillId="0" borderId="0" xfId="0" applyNumberFormat="1" applyFont="1" applyAlignment="1">
      <alignment horizontal="left" vertical="top" wrapText="1"/>
    </xf>
    <xf numFmtId="168" fontId="53" fillId="5" borderId="11" xfId="0" applyNumberFormat="1" applyFont="1" applyFill="1" applyBorder="1" applyAlignment="1">
      <alignment vertical="top" wrapText="1"/>
    </xf>
    <xf numFmtId="0" fontId="17" fillId="0" borderId="0" xfId="271" applyFont="1" applyAlignment="1">
      <alignment horizontal="left" vertical="top"/>
    </xf>
    <xf numFmtId="0" fontId="53" fillId="0" borderId="0" xfId="569" applyFont="1"/>
    <xf numFmtId="0" fontId="17" fillId="0" borderId="0" xfId="0" applyFont="1" applyAlignment="1">
      <alignment horizontal="left" vertical="top"/>
    </xf>
    <xf numFmtId="4" fontId="17" fillId="0" borderId="0" xfId="1192" applyNumberFormat="1" applyAlignment="1">
      <alignment vertical="top" wrapText="1"/>
    </xf>
    <xf numFmtId="0" fontId="24" fillId="0" borderId="16" xfId="271" applyFont="1" applyBorder="1"/>
    <xf numFmtId="0" fontId="60" fillId="0" borderId="0" xfId="569" applyFont="1"/>
    <xf numFmtId="0" fontId="41" fillId="0" borderId="0" xfId="569" applyFont="1"/>
    <xf numFmtId="0" fontId="17" fillId="0" borderId="0" xfId="1192" applyAlignment="1">
      <alignment vertical="top" wrapText="1"/>
    </xf>
    <xf numFmtId="49" fontId="17" fillId="0" borderId="0" xfId="1192" applyNumberFormat="1" applyAlignment="1">
      <alignment vertical="top" wrapText="1"/>
    </xf>
    <xf numFmtId="0" fontId="55" fillId="0" borderId="9" xfId="543" applyFont="1" applyBorder="1" applyAlignment="1">
      <alignment vertical="top"/>
    </xf>
    <xf numFmtId="0" fontId="17" fillId="0" borderId="0" xfId="0" applyFont="1" applyAlignment="1">
      <alignment vertical="center"/>
    </xf>
    <xf numFmtId="0" fontId="118" fillId="0" borderId="0" xfId="0" applyFont="1"/>
    <xf numFmtId="3" fontId="105" fillId="0" borderId="0" xfId="0" applyNumberFormat="1" applyFont="1"/>
    <xf numFmtId="0" fontId="105" fillId="0" borderId="0" xfId="0" applyFont="1" applyAlignment="1">
      <alignment horizontal="left"/>
    </xf>
    <xf numFmtId="168" fontId="119" fillId="0" borderId="0" xfId="0" applyNumberFormat="1" applyFont="1" applyAlignment="1">
      <alignment horizontal="left" vertical="top"/>
    </xf>
    <xf numFmtId="0" fontId="105" fillId="0" borderId="0" xfId="0" applyFont="1" applyAlignment="1">
      <alignment horizontal="left" vertical="center"/>
    </xf>
    <xf numFmtId="0" fontId="121" fillId="0" borderId="0" xfId="0" applyFont="1"/>
    <xf numFmtId="172" fontId="17" fillId="0" borderId="8" xfId="543" applyNumberFormat="1" applyBorder="1"/>
    <xf numFmtId="0" fontId="17" fillId="0" borderId="8" xfId="4495" applyFont="1" applyBorder="1"/>
    <xf numFmtId="0" fontId="17" fillId="0" borderId="0" xfId="4495" applyFont="1"/>
    <xf numFmtId="0" fontId="23" fillId="0" borderId="0" xfId="4495" applyFont="1" applyAlignment="1">
      <alignment horizontal="center" vertical="center"/>
    </xf>
    <xf numFmtId="0" fontId="24" fillId="0" borderId="0" xfId="4495" applyFont="1" applyAlignment="1">
      <alignment horizontal="left"/>
    </xf>
    <xf numFmtId="0" fontId="24" fillId="0" borderId="0" xfId="4495" applyFont="1"/>
    <xf numFmtId="0" fontId="27" fillId="0" borderId="0" xfId="4495" applyFont="1" applyAlignment="1">
      <alignment horizontal="center" vertical="center"/>
    </xf>
    <xf numFmtId="0" fontId="27" fillId="0" borderId="27" xfId="4495" applyFont="1" applyBorder="1" applyAlignment="1">
      <alignment horizontal="center" vertical="center"/>
    </xf>
    <xf numFmtId="0" fontId="27" fillId="0" borderId="46" xfId="4495" applyFont="1" applyBorder="1" applyAlignment="1">
      <alignment horizontal="center" vertical="center"/>
    </xf>
    <xf numFmtId="0" fontId="24" fillId="0" borderId="0" xfId="4495" applyFont="1" applyAlignment="1">
      <alignment horizontal="right"/>
    </xf>
    <xf numFmtId="0" fontId="35" fillId="0" borderId="0" xfId="4495" applyFont="1" applyAlignment="1">
      <alignment horizontal="left" vertical="center"/>
    </xf>
    <xf numFmtId="0" fontId="17" fillId="0" borderId="0" xfId="1192" quotePrefix="1" applyAlignment="1">
      <alignment horizontal="center"/>
    </xf>
    <xf numFmtId="0" fontId="47" fillId="0" borderId="0" xfId="4495" applyFont="1" applyAlignment="1">
      <alignment horizontal="left" vertical="center"/>
    </xf>
    <xf numFmtId="49" fontId="25" fillId="0" borderId="0" xfId="4495" applyNumberFormat="1" applyFont="1" applyAlignment="1">
      <alignment horizontal="left" vertical="top"/>
    </xf>
    <xf numFmtId="0" fontId="17" fillId="0" borderId="47" xfId="4495" applyFont="1" applyBorder="1" applyAlignment="1">
      <alignment horizontal="left" vertical="center"/>
    </xf>
    <xf numFmtId="0" fontId="27" fillId="0" borderId="48" xfId="4495" applyFont="1" applyBorder="1" applyAlignment="1">
      <alignment horizontal="center" vertical="center"/>
    </xf>
    <xf numFmtId="0" fontId="25" fillId="0" borderId="0" xfId="4495" applyFont="1"/>
    <xf numFmtId="0" fontId="25" fillId="0" borderId="0" xfId="4495" applyFont="1" applyAlignment="1">
      <alignment horizontal="left" vertical="top"/>
    </xf>
    <xf numFmtId="0" fontId="123" fillId="0" borderId="53" xfId="4496" applyFont="1" applyBorder="1" applyAlignment="1">
      <alignment horizontal="left" vertical="top"/>
    </xf>
    <xf numFmtId="0" fontId="122" fillId="0" borderId="0" xfId="4496" applyFont="1" applyAlignment="1">
      <alignment horizontal="left" vertical="top" wrapText="1"/>
    </xf>
    <xf numFmtId="0" fontId="122" fillId="0" borderId="54" xfId="4496" applyFont="1" applyBorder="1" applyAlignment="1">
      <alignment horizontal="left" vertical="top" wrapText="1"/>
    </xf>
    <xf numFmtId="0" fontId="17" fillId="0" borderId="0" xfId="4495" applyFont="1" applyAlignment="1">
      <alignment horizontal="left" vertical="center"/>
    </xf>
    <xf numFmtId="0" fontId="124" fillId="0" borderId="0" xfId="4496" applyFont="1" applyAlignment="1">
      <alignment vertical="center"/>
    </xf>
    <xf numFmtId="0" fontId="122" fillId="0" borderId="0" xfId="4496" applyFont="1"/>
    <xf numFmtId="0" fontId="122" fillId="0" borderId="0" xfId="4496" applyFont="1" applyAlignment="1">
      <alignment vertical="center"/>
    </xf>
    <xf numFmtId="0" fontId="125" fillId="0" borderId="0" xfId="4496" applyFont="1" applyAlignment="1">
      <alignment vertical="center"/>
    </xf>
    <xf numFmtId="0" fontId="17" fillId="0" borderId="0" xfId="4496" applyFont="1" applyAlignment="1">
      <alignment vertical="center"/>
    </xf>
    <xf numFmtId="0" fontId="25" fillId="0" borderId="3" xfId="4495" applyFont="1" applyBorder="1" applyAlignment="1">
      <alignment vertical="top" wrapText="1"/>
    </xf>
    <xf numFmtId="0" fontId="25" fillId="0" borderId="4" xfId="4495" applyFont="1" applyBorder="1" applyAlignment="1">
      <alignment vertical="top" wrapText="1"/>
    </xf>
    <xf numFmtId="164" fontId="120" fillId="0" borderId="4" xfId="4495" applyNumberFormat="1" applyBorder="1" applyAlignment="1">
      <alignment horizontal="right"/>
    </xf>
    <xf numFmtId="0" fontId="25" fillId="0" borderId="4" xfId="4495" applyFont="1" applyBorder="1"/>
    <xf numFmtId="0" fontId="24" fillId="0" borderId="5" xfId="4495" applyFont="1" applyBorder="1" applyAlignment="1">
      <alignment horizontal="right"/>
    </xf>
    <xf numFmtId="0" fontId="17" fillId="0" borderId="16" xfId="4495" applyFont="1" applyBorder="1"/>
    <xf numFmtId="0" fontId="17" fillId="0" borderId="16" xfId="4495" applyFont="1" applyBorder="1" applyAlignment="1">
      <alignment horizontal="left" vertical="top"/>
    </xf>
    <xf numFmtId="0" fontId="25" fillId="0" borderId="16" xfId="4495" applyFont="1" applyBorder="1" applyAlignment="1">
      <alignment horizontal="left" vertical="top" wrapText="1"/>
    </xf>
    <xf numFmtId="0" fontId="25" fillId="0" borderId="45" xfId="4495" applyFont="1" applyBorder="1" applyAlignment="1">
      <alignment horizontal="left" vertical="top" wrapText="1"/>
    </xf>
    <xf numFmtId="0" fontId="120" fillId="0" borderId="0" xfId="4495"/>
    <xf numFmtId="0" fontId="18" fillId="0" borderId="0" xfId="244" applyFill="1" applyBorder="1" applyAlignment="1" applyProtection="1">
      <alignment horizontal="left" vertical="top"/>
    </xf>
    <xf numFmtId="0" fontId="18" fillId="0" borderId="0" xfId="244" applyFill="1" applyBorder="1" applyAlignment="1" applyProtection="1">
      <alignment horizontal="left" vertical="top" wrapText="1"/>
    </xf>
    <xf numFmtId="0" fontId="25" fillId="0" borderId="0" xfId="4495" applyFont="1" applyAlignment="1">
      <alignment horizontal="left" vertical="top" wrapText="1"/>
    </xf>
    <xf numFmtId="0" fontId="25" fillId="0" borderId="0" xfId="4495" applyFont="1" applyAlignment="1">
      <alignment horizontal="right" vertical="top"/>
    </xf>
    <xf numFmtId="0" fontId="17" fillId="0" borderId="0" xfId="4495" applyFont="1" applyAlignment="1">
      <alignment vertical="center" wrapText="1"/>
    </xf>
    <xf numFmtId="0" fontId="122" fillId="0" borderId="53" xfId="4496" applyFont="1" applyBorder="1" applyAlignment="1">
      <alignment vertical="top" wrapText="1"/>
    </xf>
    <xf numFmtId="0" fontId="122" fillId="0" borderId="0" xfId="4496" applyFont="1" applyAlignment="1">
      <alignment vertical="top" wrapText="1"/>
    </xf>
    <xf numFmtId="10" fontId="122" fillId="0" borderId="0" xfId="4496" applyNumberFormat="1" applyFont="1" applyAlignment="1">
      <alignment vertical="top" wrapText="1"/>
    </xf>
    <xf numFmtId="0" fontId="122" fillId="0" borderId="54" xfId="4496" applyFont="1" applyBorder="1" applyAlignment="1">
      <alignment vertical="top" wrapText="1"/>
    </xf>
    <xf numFmtId="0" fontId="122" fillId="0" borderId="0" xfId="4496" applyFont="1" applyAlignment="1">
      <alignment vertical="top"/>
    </xf>
    <xf numFmtId="165" fontId="122" fillId="0" borderId="0" xfId="4496" applyNumberFormat="1" applyFont="1" applyAlignment="1">
      <alignment vertical="top" wrapText="1"/>
    </xf>
    <xf numFmtId="0" fontId="24" fillId="0" borderId="57" xfId="4495" applyFont="1" applyBorder="1"/>
    <xf numFmtId="0" fontId="24" fillId="0" borderId="58" xfId="4495" applyFont="1" applyBorder="1"/>
    <xf numFmtId="0" fontId="24" fillId="0" borderId="58" xfId="4495" applyFont="1" applyBorder="1" applyAlignment="1">
      <alignment horizontal="right"/>
    </xf>
    <xf numFmtId="0" fontId="24" fillId="0" borderId="59" xfId="4495" applyFont="1" applyBorder="1" applyAlignment="1">
      <alignment horizontal="right"/>
    </xf>
    <xf numFmtId="0" fontId="122" fillId="0" borderId="53" xfId="4496" applyFont="1" applyBorder="1" applyAlignment="1">
      <alignment horizontal="left" vertical="top" wrapText="1"/>
    </xf>
    <xf numFmtId="0" fontId="122" fillId="0" borderId="0" xfId="4496" applyFont="1" applyAlignment="1">
      <alignment horizontal="left" vertical="top"/>
    </xf>
    <xf numFmtId="0" fontId="27" fillId="0" borderId="57" xfId="4495" applyFont="1" applyBorder="1" applyAlignment="1">
      <alignment horizontal="center" vertical="center"/>
    </xf>
    <xf numFmtId="0" fontId="27" fillId="0" borderId="58" xfId="4495" applyFont="1" applyBorder="1" applyAlignment="1">
      <alignment horizontal="center" vertical="center"/>
    </xf>
    <xf numFmtId="0" fontId="27" fillId="0" borderId="59" xfId="4495" applyFont="1" applyBorder="1" applyAlignment="1">
      <alignment horizontal="center" vertical="center"/>
    </xf>
    <xf numFmtId="0" fontId="24" fillId="0" borderId="0" xfId="4495" applyFont="1" applyAlignment="1">
      <alignment horizontal="center"/>
    </xf>
    <xf numFmtId="0" fontId="24" fillId="0" borderId="8" xfId="4495" applyFont="1" applyBorder="1"/>
    <xf numFmtId="0" fontId="25" fillId="0" borderId="0" xfId="4495" applyFont="1" applyAlignment="1">
      <alignment horizontal="left"/>
    </xf>
    <xf numFmtId="0" fontId="24" fillId="0" borderId="0" xfId="4495" applyFont="1" applyAlignment="1">
      <alignment horizontal="center" vertical="top"/>
    </xf>
    <xf numFmtId="0" fontId="17" fillId="0" borderId="0" xfId="4495" applyFont="1" applyAlignment="1">
      <alignment horizontal="center"/>
    </xf>
    <xf numFmtId="0" fontId="33" fillId="0" borderId="0" xfId="4495" applyFont="1"/>
    <xf numFmtId="0" fontId="25" fillId="0" borderId="8" xfId="4495" applyFont="1" applyBorder="1"/>
    <xf numFmtId="0" fontId="53" fillId="0" borderId="8" xfId="4495" applyFont="1" applyBorder="1"/>
    <xf numFmtId="1" fontId="17" fillId="0" borderId="0" xfId="1192" applyNumberFormat="1"/>
    <xf numFmtId="0" fontId="17" fillId="0" borderId="3" xfId="4495" applyFont="1" applyBorder="1"/>
    <xf numFmtId="0" fontId="17" fillId="0" borderId="4" xfId="4495" applyFont="1" applyBorder="1"/>
    <xf numFmtId="0" fontId="17" fillId="0" borderId="0" xfId="1192" applyAlignment="1">
      <alignment wrapText="1"/>
    </xf>
    <xf numFmtId="0" fontId="25" fillId="0" borderId="0" xfId="4495" applyFont="1" applyAlignment="1">
      <alignment vertical="top" wrapText="1"/>
    </xf>
    <xf numFmtId="0" fontId="25" fillId="0" borderId="0" xfId="1192" applyFont="1"/>
    <xf numFmtId="0" fontId="17" fillId="0" borderId="0" xfId="4495" applyFont="1" applyAlignment="1">
      <alignment horizontal="left"/>
    </xf>
    <xf numFmtId="0" fontId="25" fillId="0" borderId="3" xfId="4495" applyFont="1" applyBorder="1"/>
    <xf numFmtId="0" fontId="17" fillId="0" borderId="4" xfId="4495" applyFont="1" applyBorder="1" applyAlignment="1">
      <alignment horizontal="right"/>
    </xf>
    <xf numFmtId="1" fontId="17" fillId="0" borderId="0" xfId="4495" applyNumberFormat="1" applyFont="1" applyAlignment="1">
      <alignment horizontal="center"/>
    </xf>
    <xf numFmtId="0" fontId="53" fillId="0" borderId="0" xfId="4495" applyFont="1"/>
    <xf numFmtId="0" fontId="17" fillId="0" borderId="0" xfId="4495" applyFont="1" applyAlignment="1">
      <alignment horizontal="right"/>
    </xf>
    <xf numFmtId="0" fontId="25" fillId="0" borderId="0" xfId="4495" applyFont="1" applyAlignment="1">
      <alignment vertical="top"/>
    </xf>
    <xf numFmtId="0" fontId="25" fillId="0" borderId="27" xfId="4495" applyFont="1" applyBorder="1"/>
    <xf numFmtId="0" fontId="24" fillId="0" borderId="0" xfId="4495" applyFont="1" applyAlignment="1">
      <alignment vertical="top"/>
    </xf>
    <xf numFmtId="0" fontId="35" fillId="0" borderId="0" xfId="4495" applyFont="1" applyAlignment="1">
      <alignment vertical="top" wrapText="1"/>
    </xf>
    <xf numFmtId="0" fontId="24" fillId="0" borderId="0" xfId="4495" applyFont="1" applyAlignment="1">
      <alignment horizontal="left" vertical="top" wrapText="1"/>
    </xf>
    <xf numFmtId="0" fontId="17" fillId="0" borderId="0" xfId="4495" applyFont="1" applyAlignment="1">
      <alignment horizontal="left" vertical="top"/>
    </xf>
    <xf numFmtId="0" fontId="35" fillId="0" borderId="0" xfId="4495" applyFont="1" applyAlignment="1">
      <alignment vertical="top"/>
    </xf>
    <xf numFmtId="0" fontId="17" fillId="0" borderId="10" xfId="4495" applyFont="1" applyBorder="1" applyAlignment="1">
      <alignment horizontal="center"/>
    </xf>
    <xf numFmtId="0" fontId="17" fillId="0" borderId="16" xfId="4495" applyFont="1" applyBorder="1" applyAlignment="1">
      <alignment horizontal="center"/>
    </xf>
    <xf numFmtId="0" fontId="33" fillId="0" borderId="16" xfId="4495" applyFont="1" applyBorder="1"/>
    <xf numFmtId="0" fontId="25" fillId="0" borderId="16" xfId="4495" applyFont="1" applyBorder="1"/>
    <xf numFmtId="0" fontId="17" fillId="0" borderId="0" xfId="4496" applyFont="1" applyAlignment="1">
      <alignment vertical="top" wrapText="1"/>
    </xf>
    <xf numFmtId="0" fontId="24" fillId="0" borderId="0" xfId="1192" applyFont="1" applyAlignment="1">
      <alignment horizontal="right"/>
    </xf>
    <xf numFmtId="0" fontId="17" fillId="0" borderId="0" xfId="4496" applyFont="1"/>
    <xf numFmtId="0" fontId="17" fillId="0" borderId="0" xfId="4496" applyFont="1" applyAlignment="1">
      <alignment horizontal="left"/>
    </xf>
    <xf numFmtId="0" fontId="17" fillId="0" borderId="0" xfId="4496" applyFont="1" applyAlignment="1">
      <alignment horizontal="right"/>
    </xf>
    <xf numFmtId="0" fontId="25" fillId="0" borderId="0" xfId="4496" applyFont="1" applyAlignment="1">
      <alignment vertical="top" wrapText="1"/>
    </xf>
    <xf numFmtId="0" fontId="17" fillId="0" borderId="4" xfId="4496" applyFont="1" applyBorder="1"/>
    <xf numFmtId="0" fontId="24" fillId="0" borderId="4" xfId="4496" applyFont="1" applyBorder="1" applyAlignment="1">
      <alignment horizontal="right"/>
    </xf>
    <xf numFmtId="0" fontId="25" fillId="0" borderId="27" xfId="4495" applyFont="1" applyBorder="1" applyAlignment="1">
      <alignment horizontal="left" vertical="top"/>
    </xf>
    <xf numFmtId="0" fontId="17" fillId="0" borderId="27" xfId="4495" applyFont="1" applyBorder="1" applyAlignment="1">
      <alignment horizontal="left" vertical="top"/>
    </xf>
    <xf numFmtId="0" fontId="24" fillId="0" borderId="27" xfId="4495" applyFont="1" applyBorder="1" applyAlignment="1">
      <alignment horizontal="right"/>
    </xf>
    <xf numFmtId="0" fontId="17" fillId="0" borderId="27" xfId="4495" applyFont="1" applyBorder="1" applyAlignment="1">
      <alignment horizontal="center"/>
    </xf>
    <xf numFmtId="0" fontId="17" fillId="0" borderId="46" xfId="4495" applyFont="1" applyBorder="1" applyAlignment="1">
      <alignment horizontal="center"/>
    </xf>
    <xf numFmtId="164" fontId="25" fillId="0" borderId="0" xfId="4495" applyNumberFormat="1" applyFont="1" applyAlignment="1">
      <alignment horizontal="left" vertical="top" wrapText="1"/>
    </xf>
    <xf numFmtId="0" fontId="28" fillId="0" borderId="0" xfId="4495" applyFont="1"/>
    <xf numFmtId="0" fontId="25" fillId="0" borderId="0" xfId="4495" applyFont="1" applyAlignment="1">
      <alignment horizontal="right"/>
    </xf>
    <xf numFmtId="0" fontId="17" fillId="0" borderId="27" xfId="543" applyBorder="1"/>
    <xf numFmtId="0" fontId="17" fillId="0" borderId="46" xfId="543" applyBorder="1"/>
    <xf numFmtId="0" fontId="24" fillId="0" borderId="0" xfId="4495" applyFont="1" applyAlignment="1">
      <alignment horizontal="left" vertical="top"/>
    </xf>
    <xf numFmtId="1" fontId="120" fillId="0" borderId="0" xfId="4495" applyNumberFormat="1"/>
    <xf numFmtId="0" fontId="17" fillId="0" borderId="0" xfId="4495" applyFont="1" applyAlignment="1">
      <alignment vertical="top" wrapText="1"/>
    </xf>
    <xf numFmtId="0" fontId="17" fillId="0" borderId="0" xfId="4495" applyFont="1" applyAlignment="1">
      <alignment horizontal="left" vertical="top" wrapText="1"/>
    </xf>
    <xf numFmtId="0" fontId="17" fillId="0" borderId="50" xfId="4495" applyFont="1" applyBorder="1" applyAlignment="1">
      <alignment vertical="top"/>
    </xf>
    <xf numFmtId="0" fontId="17" fillId="0" borderId="51" xfId="4495" applyFont="1" applyBorder="1" applyAlignment="1">
      <alignment vertical="top"/>
    </xf>
    <xf numFmtId="0" fontId="17" fillId="0" borderId="52" xfId="4495" applyFont="1" applyBorder="1" applyAlignment="1">
      <alignment vertical="top"/>
    </xf>
    <xf numFmtId="1" fontId="25" fillId="0" borderId="8" xfId="4495" applyNumberFormat="1" applyFont="1" applyBorder="1"/>
    <xf numFmtId="0" fontId="17" fillId="0" borderId="0" xfId="543" applyAlignment="1">
      <alignment vertical="top"/>
    </xf>
    <xf numFmtId="0" fontId="25" fillId="0" borderId="51" xfId="4495" applyFont="1" applyBorder="1" applyAlignment="1">
      <alignment horizontal="left" vertical="top"/>
    </xf>
    <xf numFmtId="0" fontId="25" fillId="0" borderId="52" xfId="4495" applyFont="1" applyBorder="1" applyAlignment="1">
      <alignment horizontal="left" vertical="top"/>
    </xf>
    <xf numFmtId="0" fontId="120" fillId="0" borderId="0" xfId="4495" applyAlignment="1" applyProtection="1">
      <alignment horizontal="center"/>
      <protection locked="0"/>
    </xf>
    <xf numFmtId="0" fontId="17" fillId="0" borderId="53" xfId="4495" applyFont="1" applyBorder="1" applyAlignment="1">
      <alignment vertical="top"/>
    </xf>
    <xf numFmtId="0" fontId="17" fillId="0" borderId="54" xfId="4495" applyFont="1" applyBorder="1" applyAlignment="1">
      <alignment vertical="top" wrapText="1"/>
    </xf>
    <xf numFmtId="0" fontId="61" fillId="0" borderId="53" xfId="4495" applyFont="1" applyBorder="1"/>
    <xf numFmtId="0" fontId="25" fillId="0" borderId="54" xfId="4495" applyFont="1" applyBorder="1" applyAlignment="1">
      <alignment horizontal="left" vertical="top"/>
    </xf>
    <xf numFmtId="0" fontId="17" fillId="0" borderId="53" xfId="4495" applyFont="1" applyBorder="1" applyAlignment="1">
      <alignment vertical="center" wrapText="1"/>
    </xf>
    <xf numFmtId="0" fontId="61" fillId="0" borderId="57" xfId="4495" applyFont="1" applyBorder="1"/>
    <xf numFmtId="0" fontId="25" fillId="0" borderId="58" xfId="4495" applyFont="1" applyBorder="1" applyAlignment="1">
      <alignment horizontal="left" vertical="top"/>
    </xf>
    <xf numFmtId="0" fontId="25" fillId="0" borderId="12" xfId="4495" applyFont="1" applyBorder="1"/>
    <xf numFmtId="0" fontId="17" fillId="0" borderId="57" xfId="4495" applyFont="1" applyBorder="1" applyAlignment="1">
      <alignment vertical="center"/>
    </xf>
    <xf numFmtId="0" fontId="17" fillId="0" borderId="58" xfId="4495" applyFont="1" applyBorder="1" applyAlignment="1">
      <alignment vertical="top"/>
    </xf>
    <xf numFmtId="0" fontId="17" fillId="0" borderId="59" xfId="4495" applyFont="1" applyBorder="1" applyAlignment="1">
      <alignment vertical="top"/>
    </xf>
    <xf numFmtId="0" fontId="17" fillId="0" borderId="0" xfId="4495" applyFont="1" applyAlignment="1">
      <alignment vertical="top"/>
    </xf>
    <xf numFmtId="0" fontId="25" fillId="0" borderId="4" xfId="4495" applyFont="1" applyBorder="1" applyAlignment="1">
      <alignment horizontal="left" vertical="top"/>
    </xf>
    <xf numFmtId="0" fontId="17" fillId="0" borderId="4" xfId="4495" applyFont="1" applyBorder="1" applyAlignment="1">
      <alignment horizontal="left" vertical="top"/>
    </xf>
    <xf numFmtId="0" fontId="17" fillId="0" borderId="2" xfId="4495" applyFont="1" applyBorder="1"/>
    <xf numFmtId="0" fontId="25" fillId="0" borderId="2" xfId="4495" applyFont="1" applyBorder="1"/>
    <xf numFmtId="0" fontId="17" fillId="0" borderId="2" xfId="4495" applyFont="1" applyBorder="1" applyAlignment="1">
      <alignment horizontal="center"/>
    </xf>
    <xf numFmtId="0" fontId="25" fillId="0" borderId="7" xfId="4495" applyFont="1" applyBorder="1"/>
    <xf numFmtId="0" fontId="33" fillId="0" borderId="0" xfId="4495" applyFont="1" applyAlignment="1">
      <alignment horizontal="right"/>
    </xf>
    <xf numFmtId="0" fontId="126" fillId="0" borderId="0" xfId="4495" applyFont="1" applyAlignment="1">
      <alignment horizontal="left" vertical="top" wrapText="1"/>
    </xf>
    <xf numFmtId="0" fontId="33" fillId="0" borderId="0" xfId="4495" applyFont="1" applyAlignment="1">
      <alignment horizontal="left" vertical="top"/>
    </xf>
    <xf numFmtId="0" fontId="25" fillId="0" borderId="0" xfId="4495" quotePrefix="1" applyFont="1" applyAlignment="1">
      <alignment horizontal="right"/>
    </xf>
    <xf numFmtId="0" fontId="17" fillId="0" borderId="0" xfId="4497"/>
    <xf numFmtId="0" fontId="25" fillId="0" borderId="0" xfId="4495" applyFont="1" applyAlignment="1">
      <alignment horizontal="left" vertical="top" wrapText="1" shrinkToFit="1"/>
    </xf>
    <xf numFmtId="0" fontId="120" fillId="0" borderId="0" xfId="4495" applyAlignment="1">
      <alignment vertical="top" wrapText="1"/>
    </xf>
    <xf numFmtId="0" fontId="25" fillId="0" borderId="4" xfId="4495" applyFont="1" applyBorder="1" applyAlignment="1">
      <alignment horizontal="left" vertical="top" wrapText="1" shrinkToFit="1"/>
    </xf>
    <xf numFmtId="0" fontId="33" fillId="0" borderId="8" xfId="4495" applyFont="1" applyBorder="1"/>
    <xf numFmtId="0" fontId="25" fillId="0" borderId="0" xfId="4495" applyFont="1" applyAlignment="1">
      <alignment horizontal="center"/>
    </xf>
    <xf numFmtId="0" fontId="25" fillId="0" borderId="0" xfId="4495" quotePrefix="1" applyFont="1"/>
    <xf numFmtId="0" fontId="25" fillId="0" borderId="0" xfId="4495" applyFont="1" applyAlignment="1">
      <alignment horizontal="left" vertical="top" shrinkToFit="1"/>
    </xf>
    <xf numFmtId="0" fontId="47" fillId="0" borderId="0" xfId="4495" applyFont="1"/>
    <xf numFmtId="0" fontId="25" fillId="0" borderId="3" xfId="4495" applyFont="1" applyBorder="1" applyAlignment="1">
      <alignment horizontal="center"/>
    </xf>
    <xf numFmtId="0" fontId="120" fillId="0" borderId="8" xfId="4495" applyBorder="1"/>
    <xf numFmtId="0" fontId="24" fillId="0" borderId="8" xfId="4495" applyFont="1" applyBorder="1" applyAlignment="1">
      <alignment vertical="top"/>
    </xf>
    <xf numFmtId="0" fontId="120" fillId="0" borderId="0" xfId="4495" applyAlignment="1">
      <alignment vertical="top"/>
    </xf>
    <xf numFmtId="0" fontId="24"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7" fillId="0" borderId="0" xfId="4497" applyNumberFormat="1"/>
    <xf numFmtId="1" fontId="25"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5" fillId="0" borderId="6" xfId="4495" applyFont="1" applyBorder="1"/>
    <xf numFmtId="1" fontId="25" fillId="0" borderId="8" xfId="4495" applyNumberFormat="1" applyFont="1" applyBorder="1" applyAlignment="1">
      <alignment horizontal="center" vertical="top"/>
    </xf>
    <xf numFmtId="0" fontId="120" fillId="0" borderId="12" xfId="4495" applyBorder="1"/>
    <xf numFmtId="0" fontId="25" fillId="0" borderId="9" xfId="4495" applyFont="1" applyBorder="1"/>
    <xf numFmtId="0" fontId="120" fillId="0" borderId="10" xfId="4495" applyBorder="1"/>
    <xf numFmtId="0" fontId="33" fillId="0" borderId="3" xfId="4495" applyFont="1" applyBorder="1"/>
    <xf numFmtId="0" fontId="24" fillId="0" borderId="4" xfId="4495" applyFont="1" applyBorder="1"/>
    <xf numFmtId="0" fontId="120" fillId="0" borderId="12" xfId="4495" applyBorder="1" applyAlignment="1">
      <alignment vertical="top"/>
    </xf>
    <xf numFmtId="0" fontId="33"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3" fillId="0" borderId="9" xfId="4495" applyFont="1" applyBorder="1"/>
    <xf numFmtId="0" fontId="25" fillId="0" borderId="10" xfId="4495" applyFont="1" applyBorder="1"/>
    <xf numFmtId="0" fontId="130" fillId="0" borderId="0" xfId="4495" applyFont="1" applyAlignment="1">
      <alignment wrapText="1"/>
    </xf>
    <xf numFmtId="0" fontId="33" fillId="0" borderId="9" xfId="4495" applyFont="1" applyBorder="1" applyAlignment="1">
      <alignment horizontal="center"/>
    </xf>
    <xf numFmtId="0" fontId="24" fillId="0" borderId="10" xfId="4495" applyFont="1" applyBorder="1"/>
    <xf numFmtId="0" fontId="35" fillId="0" borderId="0" xfId="4495" applyFont="1"/>
    <xf numFmtId="0" fontId="25" fillId="0" borderId="50" xfId="4495" applyFont="1" applyBorder="1"/>
    <xf numFmtId="0" fontId="25" fillId="0" borderId="51" xfId="4495" applyFont="1" applyBorder="1"/>
    <xf numFmtId="1" fontId="25" fillId="0" borderId="51" xfId="4495" quotePrefix="1" applyNumberFormat="1" applyFont="1" applyBorder="1" applyAlignment="1">
      <alignment horizontal="center" vertical="top"/>
    </xf>
    <xf numFmtId="0" fontId="24" fillId="0" borderId="51" xfId="4495" applyFont="1" applyBorder="1"/>
    <xf numFmtId="0" fontId="24" fillId="0" borderId="52" xfId="4495" applyFont="1" applyBorder="1" applyAlignment="1">
      <alignment horizontal="center"/>
    </xf>
    <xf numFmtId="0" fontId="17" fillId="0" borderId="53" xfId="4495" applyFont="1" applyBorder="1"/>
    <xf numFmtId="1" fontId="25" fillId="0" borderId="0" xfId="4495" quotePrefix="1" applyNumberFormat="1" applyFont="1" applyAlignment="1">
      <alignment horizontal="center" vertical="top"/>
    </xf>
    <xf numFmtId="0" fontId="24" fillId="0" borderId="54" xfId="4495" applyFont="1" applyBorder="1" applyAlignment="1">
      <alignment horizontal="center"/>
    </xf>
    <xf numFmtId="0" fontId="33" fillId="0" borderId="0" xfId="4495" applyFont="1" applyAlignment="1">
      <alignment vertical="top"/>
    </xf>
    <xf numFmtId="0" fontId="25" fillId="0" borderId="61" xfId="4495" applyFont="1" applyBorder="1"/>
    <xf numFmtId="0" fontId="120" fillId="0" borderId="58" xfId="4495" applyBorder="1" applyAlignment="1">
      <alignment horizontal="center"/>
    </xf>
    <xf numFmtId="1" fontId="25" fillId="0" borderId="58" xfId="4495" quotePrefix="1" applyNumberFormat="1" applyFont="1" applyBorder="1" applyAlignment="1">
      <alignment horizontal="center" vertical="top"/>
    </xf>
    <xf numFmtId="0" fontId="33" fillId="0" borderId="58" xfId="4495" applyFont="1" applyBorder="1" applyAlignment="1">
      <alignment vertical="top"/>
    </xf>
    <xf numFmtId="0" fontId="25" fillId="0" borderId="58" xfId="4495" applyFont="1" applyBorder="1" applyAlignment="1">
      <alignment vertical="top" wrapText="1"/>
    </xf>
    <xf numFmtId="0" fontId="25" fillId="0" borderId="58" xfId="4495" applyFont="1" applyBorder="1"/>
    <xf numFmtId="0" fontId="24" fillId="0" borderId="58" xfId="4495" applyFont="1" applyBorder="1" applyAlignment="1">
      <alignment horizontal="center"/>
    </xf>
    <xf numFmtId="0" fontId="120" fillId="0" borderId="61" xfId="4495" applyBorder="1"/>
    <xf numFmtId="0" fontId="120" fillId="0" borderId="0" xfId="4495" applyAlignment="1">
      <alignment horizontal="center"/>
    </xf>
    <xf numFmtId="0" fontId="17" fillId="0" borderId="53" xfId="543" applyBorder="1"/>
    <xf numFmtId="0" fontId="25" fillId="0" borderId="54" xfId="4495" applyFont="1" applyBorder="1"/>
    <xf numFmtId="0" fontId="17" fillId="0" borderId="58" xfId="543" applyBorder="1"/>
    <xf numFmtId="1" fontId="25" fillId="0" borderId="58" xfId="4495" applyNumberFormat="1" applyFont="1" applyBorder="1" applyAlignment="1">
      <alignment horizontal="center" vertical="top"/>
    </xf>
    <xf numFmtId="0" fontId="33" fillId="0" borderId="58" xfId="4495" applyFont="1" applyBorder="1" applyAlignment="1">
      <alignment vertical="center"/>
    </xf>
    <xf numFmtId="0" fontId="120" fillId="0" borderId="58" xfId="4495" applyBorder="1" applyAlignment="1">
      <alignment vertical="top" wrapText="1"/>
    </xf>
    <xf numFmtId="0" fontId="17" fillId="0" borderId="58" xfId="4495" applyFont="1" applyBorder="1"/>
    <xf numFmtId="0" fontId="33" fillId="0" borderId="0" xfId="4495" applyFont="1" applyAlignment="1">
      <alignment vertical="center"/>
    </xf>
    <xf numFmtId="0" fontId="25" fillId="0" borderId="53" xfId="4495" applyFont="1" applyBorder="1"/>
    <xf numFmtId="0" fontId="17" fillId="0" borderId="57" xfId="543" applyBorder="1"/>
    <xf numFmtId="0" fontId="25" fillId="0" borderId="58" xfId="4495" applyFont="1" applyBorder="1" applyAlignment="1">
      <alignment vertical="top"/>
    </xf>
    <xf numFmtId="0" fontId="25" fillId="0" borderId="59" xfId="4495" applyFont="1" applyBorder="1"/>
    <xf numFmtId="0" fontId="25" fillId="0" borderId="57" xfId="4495" applyFont="1" applyBorder="1"/>
    <xf numFmtId="0" fontId="17" fillId="0" borderId="51" xfId="4495" applyFont="1" applyBorder="1"/>
    <xf numFmtId="0" fontId="25" fillId="0" borderId="52" xfId="4495" applyFont="1" applyBorder="1"/>
    <xf numFmtId="0" fontId="17" fillId="0" borderId="50" xfId="543" applyBorder="1"/>
    <xf numFmtId="0" fontId="17" fillId="0" borderId="51" xfId="543" applyBorder="1"/>
    <xf numFmtId="0" fontId="17" fillId="0" borderId="52" xfId="543" applyBorder="1"/>
    <xf numFmtId="0" fontId="25" fillId="0" borderId="0" xfId="4495" applyFont="1" applyAlignment="1">
      <alignment wrapText="1"/>
    </xf>
    <xf numFmtId="0" fontId="24" fillId="0" borderId="54" xfId="4495" applyFont="1" applyBorder="1" applyAlignment="1">
      <alignment horizontal="center" vertical="top"/>
    </xf>
    <xf numFmtId="0" fontId="120" fillId="0" borderId="53" xfId="4495" applyBorder="1" applyAlignment="1">
      <alignment horizontal="center"/>
    </xf>
    <xf numFmtId="2" fontId="25" fillId="0" borderId="0" xfId="4495" applyNumberFormat="1" applyFont="1" applyAlignment="1">
      <alignment horizontal="right"/>
    </xf>
    <xf numFmtId="2" fontId="25" fillId="0" borderId="8" xfId="4495" applyNumberFormat="1" applyFont="1" applyBorder="1" applyAlignment="1">
      <alignment horizontal="left"/>
    </xf>
    <xf numFmtId="0" fontId="25" fillId="0" borderId="8" xfId="4495" applyFont="1" applyBorder="1" applyAlignment="1">
      <alignment horizontal="right"/>
    </xf>
    <xf numFmtId="0" fontId="129" fillId="0" borderId="0" xfId="4495" applyFont="1"/>
    <xf numFmtId="0" fontId="120" fillId="0" borderId="57" xfId="4495" applyBorder="1" applyAlignment="1">
      <alignment horizontal="center"/>
    </xf>
    <xf numFmtId="0" fontId="24" fillId="0" borderId="59" xfId="4495" applyFont="1" applyBorder="1" applyAlignment="1">
      <alignment horizontal="center"/>
    </xf>
    <xf numFmtId="9" fontId="25" fillId="0" borderId="0" xfId="4495" applyNumberFormat="1" applyFont="1" applyAlignment="1">
      <alignment horizontal="left"/>
    </xf>
    <xf numFmtId="0" fontId="17" fillId="0" borderId="17" xfId="543" applyBorder="1"/>
    <xf numFmtId="0" fontId="17" fillId="0" borderId="16" xfId="543" applyBorder="1"/>
    <xf numFmtId="0" fontId="17" fillId="0" borderId="51" xfId="4495" quotePrefix="1" applyFont="1" applyBorder="1" applyAlignment="1">
      <alignment horizontal="center" vertical="top"/>
    </xf>
    <xf numFmtId="0" fontId="25" fillId="0" borderId="53" xfId="4495" applyFont="1" applyBorder="1" applyAlignment="1">
      <alignment horizontal="left" vertical="top"/>
    </xf>
    <xf numFmtId="0" fontId="25" fillId="0" borderId="0" xfId="4495" applyFont="1" applyAlignment="1">
      <alignment horizontal="center" vertical="top"/>
    </xf>
    <xf numFmtId="0" fontId="25" fillId="0" borderId="57" xfId="4495" applyFont="1" applyBorder="1" applyAlignment="1">
      <alignment horizontal="left" vertical="top"/>
    </xf>
    <xf numFmtId="0" fontId="25" fillId="0" borderId="58" xfId="4495" applyFont="1" applyBorder="1" applyAlignment="1">
      <alignment horizontal="center" vertical="top"/>
    </xf>
    <xf numFmtId="0" fontId="120" fillId="0" borderId="58" xfId="4495" applyBorder="1"/>
    <xf numFmtId="0" fontId="24" fillId="0" borderId="58" xfId="4495" applyFont="1" applyBorder="1" applyAlignment="1">
      <alignment vertical="top"/>
    </xf>
    <xf numFmtId="0" fontId="24" fillId="0" borderId="58" xfId="4495" applyFont="1" applyBorder="1" applyAlignment="1">
      <alignment horizontal="left" vertical="top"/>
    </xf>
    <xf numFmtId="0" fontId="24" fillId="0" borderId="51" xfId="4495" applyFont="1" applyBorder="1" applyAlignment="1">
      <alignment horizontal="left" vertical="top"/>
    </xf>
    <xf numFmtId="0" fontId="24" fillId="0" borderId="53" xfId="4495" applyFont="1" applyBorder="1" applyAlignment="1">
      <alignment horizontal="left" vertical="top"/>
    </xf>
    <xf numFmtId="0" fontId="53" fillId="0" borderId="0" xfId="4495" applyFont="1" applyAlignment="1">
      <alignment horizontal="left" vertical="top"/>
    </xf>
    <xf numFmtId="0" fontId="25" fillId="0" borderId="0" xfId="4495" quotePrefix="1" applyFont="1" applyAlignment="1">
      <alignment horizontal="center" vertical="top"/>
    </xf>
    <xf numFmtId="0" fontId="54" fillId="0" borderId="0" xfId="4495" applyFont="1" applyAlignment="1">
      <alignment horizontal="center"/>
    </xf>
    <xf numFmtId="0" fontId="54" fillId="0" borderId="0" xfId="4495" applyFont="1" applyAlignment="1">
      <alignment vertical="top"/>
    </xf>
    <xf numFmtId="0" fontId="107" fillId="0" borderId="0" xfId="4495" applyFont="1"/>
    <xf numFmtId="0" fontId="53" fillId="0" borderId="0" xfId="4495" applyFont="1" applyAlignment="1">
      <alignment vertical="top"/>
    </xf>
    <xf numFmtId="0" fontId="33" fillId="0" borderId="53" xfId="4495" applyFont="1" applyBorder="1"/>
    <xf numFmtId="2" fontId="25" fillId="0" borderId="8" xfId="4495" applyNumberFormat="1" applyFont="1" applyBorder="1" applyAlignment="1">
      <alignment horizontal="right"/>
    </xf>
    <xf numFmtId="0" fontId="24" fillId="0" borderId="50" xfId="4495" applyFont="1" applyBorder="1" applyAlignment="1">
      <alignment horizontal="left" vertical="top"/>
    </xf>
    <xf numFmtId="0" fontId="53" fillId="0" borderId="51" xfId="4495" applyFont="1" applyBorder="1" applyAlignment="1">
      <alignment horizontal="left" vertical="top"/>
    </xf>
    <xf numFmtId="0" fontId="120" fillId="0" borderId="53" xfId="4495" applyBorder="1"/>
    <xf numFmtId="0" fontId="107" fillId="0" borderId="0" xfId="4495" applyFont="1" applyAlignment="1">
      <alignment horizontal="left" vertical="top"/>
    </xf>
    <xf numFmtId="1" fontId="24" fillId="0" borderId="58" xfId="4495" applyNumberFormat="1" applyFont="1" applyBorder="1" applyAlignment="1">
      <alignment vertical="top"/>
    </xf>
    <xf numFmtId="172" fontId="24" fillId="0" borderId="8" xfId="543" applyNumberFormat="1" applyFont="1" applyBorder="1"/>
    <xf numFmtId="172" fontId="24" fillId="0" borderId="0" xfId="543" applyNumberFormat="1" applyFont="1"/>
    <xf numFmtId="0" fontId="33" fillId="0" borderId="0" xfId="4495" applyFont="1" applyAlignment="1">
      <alignment wrapText="1"/>
    </xf>
    <xf numFmtId="0" fontId="33" fillId="0" borderId="0" xfId="4495" applyFont="1" applyAlignment="1">
      <alignment horizontal="center"/>
    </xf>
    <xf numFmtId="0" fontId="33" fillId="0" borderId="0" xfId="4495" applyFont="1" applyAlignment="1">
      <alignment vertical="center" wrapText="1"/>
    </xf>
    <xf numFmtId="180" fontId="25" fillId="0" borderId="0" xfId="4495" applyNumberFormat="1" applyFont="1" applyAlignment="1">
      <alignment horizontal="center"/>
    </xf>
    <xf numFmtId="1" fontId="25" fillId="0" borderId="0" xfId="4495" applyNumberFormat="1" applyFont="1" applyAlignment="1">
      <alignment horizontal="center"/>
    </xf>
    <xf numFmtId="0" fontId="24" fillId="0" borderId="51" xfId="4495" applyFont="1" applyBorder="1" applyAlignment="1">
      <alignment horizontal="center"/>
    </xf>
    <xf numFmtId="0" fontId="24" fillId="0" borderId="51" xfId="4495" applyFont="1" applyBorder="1" applyAlignment="1">
      <alignment vertical="top"/>
    </xf>
    <xf numFmtId="0" fontId="24" fillId="0" borderId="53" xfId="4495" applyFont="1" applyBorder="1"/>
    <xf numFmtId="0" fontId="17" fillId="0" borderId="54" xfId="543" applyBorder="1"/>
    <xf numFmtId="49" fontId="25" fillId="0" borderId="0" xfId="4495" applyNumberFormat="1" applyFont="1" applyAlignment="1">
      <alignment horizontal="left" vertical="center" wrapText="1"/>
    </xf>
    <xf numFmtId="0" fontId="17" fillId="0" borderId="57" xfId="4495" applyFont="1" applyBorder="1"/>
    <xf numFmtId="1" fontId="17" fillId="0" borderId="0" xfId="4495" applyNumberFormat="1" applyFont="1" applyAlignment="1">
      <alignment vertical="center"/>
    </xf>
    <xf numFmtId="0" fontId="35" fillId="0" borderId="50" xfId="4495" applyFont="1" applyBorder="1"/>
    <xf numFmtId="0" fontId="25" fillId="0" borderId="51" xfId="4495" applyFont="1" applyBorder="1" applyAlignment="1">
      <alignment horizontal="center" vertical="top"/>
    </xf>
    <xf numFmtId="0" fontId="25" fillId="0" borderId="51" xfId="4495" applyFont="1" applyBorder="1" applyAlignment="1">
      <alignment vertical="top" wrapText="1"/>
    </xf>
    <xf numFmtId="0" fontId="25" fillId="0" borderId="51" xfId="4495" applyFont="1" applyBorder="1" applyAlignment="1">
      <alignment horizontal="left" vertical="top" wrapText="1"/>
    </xf>
    <xf numFmtId="0" fontId="17" fillId="0" borderId="0" xfId="4495" quotePrefix="1" applyFont="1" applyAlignment="1">
      <alignment horizontal="center" vertical="top"/>
    </xf>
    <xf numFmtId="1" fontId="25" fillId="0" borderId="0" xfId="4495" quotePrefix="1" applyNumberFormat="1" applyFont="1" applyAlignment="1">
      <alignment wrapText="1"/>
    </xf>
    <xf numFmtId="0" fontId="25" fillId="0" borderId="6" xfId="4495" applyFont="1" applyBorder="1" applyAlignment="1">
      <alignment horizontal="right"/>
    </xf>
    <xf numFmtId="0" fontId="122" fillId="0" borderId="0" xfId="4496" applyFont="1" applyAlignment="1">
      <alignment wrapText="1"/>
    </xf>
    <xf numFmtId="0" fontId="17" fillId="0" borderId="0" xfId="4496" applyFont="1" applyAlignment="1">
      <alignment wrapText="1"/>
    </xf>
    <xf numFmtId="0" fontId="33" fillId="0" borderId="51" xfId="4495" applyFont="1" applyBorder="1" applyAlignment="1">
      <alignment vertical="top"/>
    </xf>
    <xf numFmtId="0" fontId="17" fillId="0" borderId="51" xfId="4496" applyFont="1" applyBorder="1" applyAlignment="1">
      <alignment wrapText="1"/>
    </xf>
    <xf numFmtId="0" fontId="24" fillId="0" borderId="51" xfId="4495" applyFont="1" applyBorder="1" applyAlignment="1">
      <alignment horizontal="right"/>
    </xf>
    <xf numFmtId="0" fontId="17" fillId="0" borderId="52" xfId="4495" applyFont="1" applyBorder="1" applyAlignment="1">
      <alignment horizontal="center"/>
    </xf>
    <xf numFmtId="0" fontId="17" fillId="0" borderId="53" xfId="4495" applyFont="1" applyBorder="1" applyAlignment="1">
      <alignment horizontal="left" vertical="top"/>
    </xf>
    <xf numFmtId="0" fontId="17" fillId="0" borderId="54" xfId="4495" applyFont="1" applyBorder="1" applyAlignment="1">
      <alignment horizontal="left" vertical="top"/>
    </xf>
    <xf numFmtId="0" fontId="17" fillId="0" borderId="54" xfId="4495" applyFont="1" applyBorder="1" applyAlignment="1">
      <alignment horizontal="center"/>
    </xf>
    <xf numFmtId="0" fontId="17" fillId="0" borderId="59" xfId="4495" applyFont="1" applyBorder="1" applyAlignment="1">
      <alignment horizontal="center"/>
    </xf>
    <xf numFmtId="9" fontId="17" fillId="0" borderId="0" xfId="4496" applyNumberFormat="1" applyFont="1" applyAlignment="1">
      <alignment horizontal="center"/>
    </xf>
    <xf numFmtId="1" fontId="17" fillId="0" borderId="0" xfId="543" applyNumberFormat="1"/>
    <xf numFmtId="0" fontId="25" fillId="0" borderId="1" xfId="4495" applyFont="1" applyBorder="1"/>
    <xf numFmtId="0" fontId="24" fillId="0" borderId="0" xfId="4495" applyFont="1" applyAlignment="1">
      <alignment horizontal="center" wrapText="1"/>
    </xf>
    <xf numFmtId="0" fontId="24" fillId="0" borderId="9" xfId="4495" applyFont="1" applyBorder="1" applyAlignment="1">
      <alignment horizontal="left"/>
    </xf>
    <xf numFmtId="0" fontId="24" fillId="0" borderId="3" xfId="4495" applyFont="1" applyBorder="1" applyAlignment="1">
      <alignment horizontal="left"/>
    </xf>
    <xf numFmtId="0" fontId="24" fillId="0" borderId="4" xfId="4495" applyFont="1" applyBorder="1" applyAlignment="1">
      <alignment horizontal="left"/>
    </xf>
    <xf numFmtId="0" fontId="17" fillId="0" borderId="2" xfId="4495" applyFont="1" applyBorder="1" applyAlignment="1">
      <alignment horizontal="left"/>
    </xf>
    <xf numFmtId="0" fontId="24" fillId="0" borderId="2" xfId="4495" applyFont="1" applyBorder="1" applyAlignment="1">
      <alignment horizontal="left"/>
    </xf>
    <xf numFmtId="0" fontId="24" fillId="0" borderId="5" xfId="4495" applyFont="1" applyBorder="1" applyAlignment="1">
      <alignment horizontal="left"/>
    </xf>
    <xf numFmtId="180" fontId="64" fillId="0" borderId="0" xfId="4495" applyNumberFormat="1" applyFont="1" applyAlignment="1">
      <alignment horizontal="center" vertical="center"/>
    </xf>
    <xf numFmtId="0" fontId="17" fillId="0" borderId="12" xfId="4495" applyFont="1" applyBorder="1" applyAlignment="1">
      <alignment vertical="top"/>
    </xf>
    <xf numFmtId="0" fontId="47" fillId="0" borderId="0" xfId="4495" applyFont="1" applyAlignment="1">
      <alignment vertical="top" wrapText="1"/>
    </xf>
    <xf numFmtId="0" fontId="17" fillId="0" borderId="51" xfId="4495" applyFont="1" applyBorder="1" applyAlignment="1">
      <alignment horizontal="left" vertical="top" wrapText="1"/>
    </xf>
    <xf numFmtId="0" fontId="17" fillId="0" borderId="51" xfId="4495" applyFont="1" applyBorder="1" applyAlignment="1">
      <alignment horizontal="right"/>
    </xf>
    <xf numFmtId="0" fontId="17" fillId="0" borderId="52" xfId="4495" applyFont="1" applyBorder="1" applyAlignment="1">
      <alignment horizontal="right"/>
    </xf>
    <xf numFmtId="0" fontId="17" fillId="0" borderId="54" xfId="4495" applyFont="1" applyBorder="1" applyAlignment="1">
      <alignment horizontal="right"/>
    </xf>
    <xf numFmtId="0" fontId="17" fillId="0" borderId="58" xfId="4495" applyFont="1" applyBorder="1" applyAlignment="1">
      <alignment horizontal="left" vertical="top" wrapText="1"/>
    </xf>
    <xf numFmtId="0" fontId="17" fillId="0" borderId="58" xfId="4495" applyFont="1" applyBorder="1" applyAlignment="1">
      <alignment horizontal="right"/>
    </xf>
    <xf numFmtId="0" fontId="17" fillId="0" borderId="59" xfId="4495" applyFont="1" applyBorder="1" applyAlignment="1">
      <alignment horizontal="right"/>
    </xf>
    <xf numFmtId="0" fontId="47" fillId="0" borderId="0" xfId="4495" applyFont="1" applyAlignment="1">
      <alignment horizontal="left" vertical="top" wrapText="1"/>
    </xf>
    <xf numFmtId="0" fontId="17" fillId="0" borderId="0" xfId="1192" applyAlignment="1">
      <alignment horizontal="left" vertical="top"/>
    </xf>
    <xf numFmtId="0" fontId="35" fillId="0" borderId="0" xfId="1192" applyFont="1" applyAlignment="1">
      <alignment horizontal="left" vertical="top"/>
    </xf>
    <xf numFmtId="0" fontId="17" fillId="0" borderId="0" xfId="1192" applyAlignment="1">
      <alignment vertical="top"/>
    </xf>
    <xf numFmtId="168" fontId="17" fillId="0" borderId="0" xfId="1192" applyNumberFormat="1"/>
    <xf numFmtId="165" fontId="17" fillId="0" borderId="0" xfId="1192" applyNumberFormat="1"/>
    <xf numFmtId="165" fontId="17" fillId="0" borderId="0" xfId="1192" applyNumberFormat="1" applyAlignment="1">
      <alignment horizontal="right"/>
    </xf>
    <xf numFmtId="2" fontId="17" fillId="0" borderId="0" xfId="1192" applyNumberFormat="1"/>
    <xf numFmtId="6" fontId="17" fillId="0" borderId="0" xfId="1192" applyNumberFormat="1"/>
    <xf numFmtId="0" fontId="24" fillId="0" borderId="0" xfId="1192" applyFont="1"/>
    <xf numFmtId="0" fontId="47" fillId="0" borderId="0" xfId="1192" applyFont="1"/>
    <xf numFmtId="168" fontId="17" fillId="0" borderId="0" xfId="4495" applyNumberFormat="1" applyFont="1"/>
    <xf numFmtId="0" fontId="24" fillId="0" borderId="0" xfId="1192" applyFont="1" applyAlignment="1">
      <alignment vertical="center"/>
    </xf>
    <xf numFmtId="0" fontId="118" fillId="0" borderId="0" xfId="1192" applyFont="1" applyAlignment="1">
      <alignment horizontal="left"/>
    </xf>
    <xf numFmtId="0" fontId="115" fillId="0" borderId="0" xfId="1192" applyFont="1" applyAlignment="1">
      <alignment horizontal="left"/>
    </xf>
    <xf numFmtId="0" fontId="115" fillId="0" borderId="0" xfId="1192" applyFont="1" applyAlignment="1">
      <alignment horizontal="center"/>
    </xf>
    <xf numFmtId="168" fontId="17" fillId="0" borderId="0" xfId="1192" applyNumberFormat="1" applyAlignment="1">
      <alignment horizontal="center"/>
    </xf>
    <xf numFmtId="9" fontId="17" fillId="0" borderId="0" xfId="1192" applyNumberFormat="1"/>
    <xf numFmtId="0" fontId="17" fillId="0" borderId="0" xfId="1192" applyAlignment="1">
      <alignment horizontal="right"/>
    </xf>
    <xf numFmtId="0" fontId="17" fillId="0" borderId="53" xfId="4495" applyFont="1" applyBorder="1" applyAlignment="1">
      <alignment horizontal="left"/>
    </xf>
    <xf numFmtId="6" fontId="24" fillId="0" borderId="0" xfId="1192" applyNumberFormat="1" applyFont="1" applyAlignment="1">
      <alignment horizontal="right"/>
    </xf>
    <xf numFmtId="165" fontId="17" fillId="0" borderId="0" xfId="4495" applyNumberFormat="1" applyFont="1"/>
    <xf numFmtId="0" fontId="54" fillId="0" borderId="4" xfId="4495" applyFont="1" applyBorder="1"/>
    <xf numFmtId="0" fontId="37" fillId="0" borderId="0" xfId="543" applyFont="1" applyAlignment="1">
      <alignment vertical="center" wrapText="1"/>
    </xf>
    <xf numFmtId="1" fontId="24" fillId="0" borderId="13" xfId="271" applyNumberFormat="1" applyFont="1" applyBorder="1"/>
    <xf numFmtId="1" fontId="26" fillId="0" borderId="13" xfId="271" applyNumberFormat="1" applyBorder="1"/>
    <xf numFmtId="0" fontId="17" fillId="0" borderId="11" xfId="0" applyFont="1" applyBorder="1"/>
    <xf numFmtId="9" fontId="17" fillId="0" borderId="0" xfId="4495" applyNumberFormat="1" applyFont="1"/>
    <xf numFmtId="165" fontId="122" fillId="0" borderId="0" xfId="4496" applyNumberFormat="1" applyFont="1" applyAlignment="1">
      <alignment horizontal="center" vertical="top" wrapText="1"/>
    </xf>
    <xf numFmtId="168" fontId="122" fillId="0" borderId="0" xfId="4496" applyNumberFormat="1" applyFont="1" applyAlignment="1">
      <alignment vertical="top" wrapText="1"/>
    </xf>
    <xf numFmtId="165" fontId="122" fillId="0" borderId="64" xfId="4496" applyNumberFormat="1" applyFont="1" applyBorder="1" applyAlignment="1">
      <alignment horizontal="center" vertical="top" wrapText="1"/>
    </xf>
    <xf numFmtId="165" fontId="122" fillId="0" borderId="53" xfId="4496" applyNumberFormat="1" applyFont="1" applyBorder="1" applyAlignment="1">
      <alignment horizontal="left" vertical="top"/>
    </xf>
    <xf numFmtId="165" fontId="122" fillId="0" borderId="53" xfId="4496" applyNumberFormat="1" applyFont="1" applyBorder="1" applyAlignment="1">
      <alignment horizontal="center" vertical="top" wrapText="1"/>
    </xf>
    <xf numFmtId="168" fontId="122" fillId="0" borderId="0" xfId="4496" applyNumberFormat="1" applyFont="1" applyAlignment="1">
      <alignment vertical="top"/>
    </xf>
    <xf numFmtId="1" fontId="122" fillId="0" borderId="0" xfId="4496" applyNumberFormat="1" applyFont="1" applyAlignment="1">
      <alignment vertical="top" wrapText="1"/>
    </xf>
    <xf numFmtId="164" fontId="25" fillId="0" borderId="0" xfId="4495" applyNumberFormat="1" applyFont="1"/>
    <xf numFmtId="0" fontId="24" fillId="0" borderId="8" xfId="0" applyFont="1" applyBorder="1" applyAlignment="1">
      <alignment horizontal="center" vertical="center" wrapText="1"/>
    </xf>
    <xf numFmtId="0" fontId="24"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6" fillId="0" borderId="3" xfId="0" applyFont="1" applyBorder="1" applyAlignment="1">
      <alignment horizontal="center"/>
    </xf>
    <xf numFmtId="0" fontId="26" fillId="0" borderId="4" xfId="0" applyFont="1" applyBorder="1" applyAlignment="1">
      <alignment horizontal="center"/>
    </xf>
    <xf numFmtId="0" fontId="26" fillId="0" borderId="5" xfId="0" applyFont="1" applyBorder="1" applyAlignment="1">
      <alignment horizontal="center"/>
    </xf>
    <xf numFmtId="0" fontId="24" fillId="0" borderId="7" xfId="0" applyFont="1" applyBorder="1" applyAlignment="1">
      <alignment horizontal="right"/>
    </xf>
    <xf numFmtId="0" fontId="0" fillId="0" borderId="0" xfId="0" applyAlignment="1" applyProtection="1">
      <alignment horizontal="left" vertical="top" wrapText="1"/>
      <protection locked="0"/>
    </xf>
    <xf numFmtId="0" fontId="17" fillId="0" borderId="9" xfId="0" applyFont="1" applyBorder="1" applyAlignment="1">
      <alignment horizontal="left"/>
    </xf>
    <xf numFmtId="0" fontId="17" fillId="0" borderId="6" xfId="0" applyFont="1" applyBorder="1"/>
    <xf numFmtId="0" fontId="17" fillId="0" borderId="9" xfId="0" applyFont="1" applyBorder="1"/>
    <xf numFmtId="0" fontId="50" fillId="0" borderId="0" xfId="0" applyFont="1" applyAlignment="1">
      <alignment horizontal="center"/>
    </xf>
    <xf numFmtId="0" fontId="23" fillId="0" borderId="0" xfId="0" applyFont="1" applyAlignment="1">
      <alignment horizontal="center" vertical="center" wrapText="1"/>
    </xf>
    <xf numFmtId="0" fontId="32" fillId="0" borderId="0" xfId="0" applyFont="1" applyAlignment="1">
      <alignment horizontal="center"/>
    </xf>
    <xf numFmtId="0" fontId="25" fillId="0" borderId="0" xfId="0" applyFont="1" applyAlignment="1">
      <alignment horizontal="center"/>
    </xf>
    <xf numFmtId="0" fontId="24" fillId="0" borderId="3" xfId="0" applyFont="1" applyBorder="1"/>
    <xf numFmtId="0" fontId="24" fillId="0" borderId="4" xfId="271" applyFont="1" applyBorder="1"/>
    <xf numFmtId="0" fontId="24" fillId="0" borderId="3" xfId="271" applyFont="1" applyBorder="1"/>
    <xf numFmtId="0" fontId="24" fillId="0" borderId="5" xfId="271" applyFont="1" applyBorder="1"/>
    <xf numFmtId="0" fontId="17" fillId="0" borderId="58" xfId="4495" applyFont="1" applyBorder="1" applyAlignment="1">
      <alignment vertical="center" wrapText="1"/>
    </xf>
    <xf numFmtId="0" fontId="17" fillId="0" borderId="59" xfId="4495" applyFont="1" applyBorder="1" applyAlignment="1">
      <alignment vertical="center" wrapText="1"/>
    </xf>
    <xf numFmtId="0" fontId="17" fillId="0" borderId="0" xfId="4495" applyFont="1" applyAlignment="1">
      <alignment horizontal="left" vertical="center" wrapText="1"/>
    </xf>
    <xf numFmtId="0" fontId="24" fillId="0" borderId="5" xfId="0" applyFont="1" applyBorder="1"/>
    <xf numFmtId="168" fontId="22" fillId="43" borderId="0" xfId="0" applyNumberFormat="1" applyFont="1" applyFill="1"/>
    <xf numFmtId="9" fontId="25" fillId="0" borderId="0" xfId="543" applyNumberFormat="1" applyFont="1" applyAlignment="1">
      <alignment horizontal="center"/>
    </xf>
    <xf numFmtId="171" fontId="17" fillId="0" borderId="0" xfId="543" applyNumberFormat="1"/>
    <xf numFmtId="171" fontId="17" fillId="0" borderId="11" xfId="543" applyNumberFormat="1" applyBorder="1"/>
    <xf numFmtId="1" fontId="17" fillId="0" borderId="11" xfId="543" applyNumberFormat="1" applyBorder="1" applyAlignment="1">
      <alignment horizontal="center"/>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37" fillId="0" borderId="12" xfId="543" applyFont="1" applyBorder="1" applyAlignment="1">
      <alignment horizontal="center" vertical="top"/>
    </xf>
    <xf numFmtId="0" fontId="38" fillId="0" borderId="7" xfId="543" applyFont="1" applyBorder="1"/>
    <xf numFmtId="0" fontId="17" fillId="0" borderId="12" xfId="543" quotePrefix="1" applyBorder="1"/>
    <xf numFmtId="0" fontId="53" fillId="0" borderId="2" xfId="569" applyFont="1" applyBorder="1" applyAlignment="1">
      <alignment vertical="top"/>
    </xf>
    <xf numFmtId="0" fontId="27" fillId="0" borderId="0" xfId="4495" applyFont="1"/>
    <xf numFmtId="0" fontId="17" fillId="0" borderId="0" xfId="4495" applyFont="1" applyAlignment="1">
      <alignment vertical="top" wrapText="1" shrinkToFit="1"/>
    </xf>
    <xf numFmtId="0" fontId="146" fillId="0" borderId="0" xfId="4495" applyFont="1"/>
    <xf numFmtId="164" fontId="17" fillId="0" borderId="0" xfId="1192" applyNumberFormat="1" applyAlignment="1">
      <alignment horizontal="right"/>
    </xf>
    <xf numFmtId="164" fontId="17" fillId="0" borderId="0" xfId="4495" applyNumberFormat="1" applyFont="1" applyAlignment="1">
      <alignment horizontal="right"/>
    </xf>
    <xf numFmtId="0" fontId="17" fillId="0" borderId="0" xfId="4495" applyFont="1" applyAlignment="1">
      <alignment horizontal="left" vertical="top" wrapText="1" shrinkToFit="1"/>
    </xf>
    <xf numFmtId="0" fontId="17" fillId="0" borderId="6" xfId="4495" applyFont="1" applyBorder="1" applyAlignment="1">
      <alignment vertical="top" wrapText="1"/>
    </xf>
    <xf numFmtId="0" fontId="146" fillId="0" borderId="4" xfId="4495" applyFont="1" applyBorder="1"/>
    <xf numFmtId="0" fontId="17" fillId="0" borderId="4" xfId="4495" applyFont="1" applyBorder="1" applyAlignment="1">
      <alignment horizontal="left" vertical="top" wrapText="1" shrinkToFit="1"/>
    </xf>
    <xf numFmtId="0" fontId="27" fillId="0" borderId="0" xfId="4495" applyFont="1" applyAlignment="1">
      <alignment horizontal="left" vertical="top"/>
    </xf>
    <xf numFmtId="0" fontId="17" fillId="0" borderId="0" xfId="4495" applyFont="1" applyAlignment="1">
      <alignment vertical="center" wrapText="1" shrinkToFit="1"/>
    </xf>
    <xf numFmtId="0" fontId="17" fillId="0" borderId="0" xfId="4495" applyFont="1" applyAlignment="1">
      <alignment horizontal="left" vertical="top" shrinkToFit="1"/>
    </xf>
    <xf numFmtId="0" fontId="17" fillId="0" borderId="0" xfId="4495" applyFont="1" applyAlignment="1">
      <alignment horizontal="left" vertical="center" shrinkToFit="1"/>
    </xf>
    <xf numFmtId="0" fontId="27" fillId="0" borderId="4" xfId="4495" applyFont="1" applyBorder="1"/>
    <xf numFmtId="0" fontId="17" fillId="0" borderId="4" xfId="4495" applyFont="1" applyBorder="1" applyAlignment="1">
      <alignment horizontal="left" vertical="top" shrinkToFit="1"/>
    </xf>
    <xf numFmtId="0" fontId="17" fillId="0" borderId="0" xfId="4495" applyFont="1" applyAlignment="1">
      <alignment vertical="center"/>
    </xf>
    <xf numFmtId="0" fontId="23" fillId="0" borderId="0" xfId="4495" applyFont="1"/>
    <xf numFmtId="0" fontId="27" fillId="0" borderId="0" xfId="4495" applyFont="1" applyAlignment="1">
      <alignment horizontal="center"/>
    </xf>
    <xf numFmtId="0" fontId="17" fillId="0" borderId="4" xfId="4495" applyFont="1" applyBorder="1" applyAlignment="1">
      <alignment horizontal="left" vertical="top" wrapText="1"/>
    </xf>
    <xf numFmtId="44" fontId="17" fillId="0" borderId="0" xfId="707" applyFont="1" applyFill="1" applyBorder="1" applyAlignment="1" applyProtection="1">
      <alignment horizontal="left" vertical="top" wrapText="1"/>
    </xf>
    <xf numFmtId="44" fontId="17" fillId="0" borderId="4" xfId="707" applyFont="1" applyFill="1" applyBorder="1" applyAlignment="1" applyProtection="1">
      <alignment horizontal="left" vertical="top" wrapText="1"/>
    </xf>
    <xf numFmtId="164" fontId="35" fillId="0" borderId="0" xfId="4495" applyNumberFormat="1" applyFont="1" applyAlignment="1">
      <alignment horizontal="left"/>
    </xf>
    <xf numFmtId="0" fontId="27" fillId="0" borderId="0" xfId="4495" applyFont="1" applyAlignment="1">
      <alignment horizontal="left"/>
    </xf>
    <xf numFmtId="0" fontId="17" fillId="0" borderId="4" xfId="4495" applyFont="1" applyBorder="1" applyAlignment="1">
      <alignment vertical="top" wrapText="1"/>
    </xf>
    <xf numFmtId="0" fontId="27" fillId="0" borderId="4" xfId="4495" applyFont="1" applyBorder="1" applyAlignment="1">
      <alignment horizontal="left" vertical="top"/>
    </xf>
    <xf numFmtId="0" fontId="17" fillId="0" borderId="0" xfId="4495" applyFont="1" applyAlignment="1">
      <alignment horizontal="left" vertical="center" wrapText="1" shrinkToFit="1"/>
    </xf>
    <xf numFmtId="0" fontId="17" fillId="0" borderId="6" xfId="4495" applyFont="1" applyBorder="1" applyAlignment="1">
      <alignment horizontal="left" vertical="top" wrapText="1"/>
    </xf>
    <xf numFmtId="2" fontId="118" fillId="0" borderId="0" xfId="0" applyNumberFormat="1" applyFont="1" applyAlignment="1">
      <alignment horizontal="center"/>
    </xf>
    <xf numFmtId="9" fontId="17" fillId="0" borderId="0" xfId="4494" applyFont="1" applyAlignment="1">
      <alignment horizontal="center"/>
    </xf>
    <xf numFmtId="3" fontId="17" fillId="0" borderId="0" xfId="0" applyNumberFormat="1" applyFont="1"/>
    <xf numFmtId="10" fontId="17" fillId="0" borderId="0" xfId="0" applyNumberFormat="1" applyFont="1" applyAlignment="1">
      <alignment horizontal="center"/>
    </xf>
    <xf numFmtId="168" fontId="17" fillId="0" borderId="0" xfId="0" applyNumberFormat="1" applyFont="1"/>
    <xf numFmtId="172" fontId="17" fillId="0" borderId="11" xfId="0" applyNumberFormat="1" applyFont="1" applyBorder="1" applyAlignment="1">
      <alignment horizontal="center"/>
    </xf>
    <xf numFmtId="168" fontId="17" fillId="5" borderId="0" xfId="0" applyNumberFormat="1" applyFont="1" applyFill="1"/>
    <xf numFmtId="3" fontId="17" fillId="5" borderId="0" xfId="0" applyNumberFormat="1" applyFont="1" applyFill="1"/>
    <xf numFmtId="0" fontId="17" fillId="5" borderId="0" xfId="0" applyFont="1" applyFill="1"/>
    <xf numFmtId="3" fontId="17" fillId="5" borderId="6" xfId="0" applyNumberFormat="1" applyFont="1" applyFill="1" applyBorder="1"/>
    <xf numFmtId="3" fontId="17" fillId="0" borderId="6" xfId="0" applyNumberFormat="1" applyFont="1" applyBorder="1"/>
    <xf numFmtId="168" fontId="17" fillId="0" borderId="0" xfId="0" applyNumberFormat="1" applyFont="1" applyAlignment="1">
      <alignment horizontal="center"/>
    </xf>
    <xf numFmtId="3" fontId="17" fillId="0" borderId="0" xfId="0" applyNumberFormat="1" applyFont="1" applyAlignment="1">
      <alignment horizontal="center"/>
    </xf>
    <xf numFmtId="0" fontId="17" fillId="0" borderId="50" xfId="4495" applyFont="1" applyBorder="1" applyAlignment="1">
      <alignment vertical="center"/>
    </xf>
    <xf numFmtId="0" fontId="17" fillId="0" borderId="51" xfId="4495" applyFont="1" applyBorder="1" applyAlignment="1">
      <alignment vertical="center"/>
    </xf>
    <xf numFmtId="0" fontId="17" fillId="0" borderId="52" xfId="4495" applyFont="1" applyBorder="1" applyAlignment="1">
      <alignment vertical="center"/>
    </xf>
    <xf numFmtId="0" fontId="17" fillId="0" borderId="54" xfId="4495" applyFont="1" applyBorder="1" applyAlignment="1">
      <alignment vertical="center" wrapText="1"/>
    </xf>
    <xf numFmtId="0" fontId="17" fillId="0" borderId="53" xfId="4495" applyFont="1" applyBorder="1" applyAlignment="1">
      <alignment vertical="top" wrapText="1"/>
    </xf>
    <xf numFmtId="0" fontId="17" fillId="0" borderId="58" xfId="0" applyFont="1" applyBorder="1" applyAlignment="1">
      <alignment horizontal="left"/>
    </xf>
    <xf numFmtId="9" fontId="17" fillId="0" borderId="0" xfId="543" applyNumberFormat="1" applyAlignment="1">
      <alignment horizontal="center"/>
    </xf>
    <xf numFmtId="0" fontId="49" fillId="0" borderId="0" xfId="4496" applyFont="1"/>
    <xf numFmtId="168" fontId="53" fillId="5" borderId="11" xfId="0" applyNumberFormat="1" applyFont="1" applyFill="1" applyBorder="1" applyAlignment="1" applyProtection="1">
      <alignment vertical="top" wrapText="1"/>
      <protection locked="0"/>
    </xf>
    <xf numFmtId="0" fontId="17" fillId="0" borderId="0" xfId="0" applyFont="1" applyAlignment="1">
      <alignment horizontal="left" wrapText="1"/>
    </xf>
    <xf numFmtId="4" fontId="35" fillId="0" borderId="0" xfId="0" applyNumberFormat="1" applyFont="1" applyAlignment="1">
      <alignment horizontal="left"/>
    </xf>
    <xf numFmtId="4" fontId="17" fillId="0" borderId="0" xfId="0" applyNumberFormat="1" applyFont="1" applyAlignment="1">
      <alignment horizontal="left" vertical="top" wrapText="1"/>
    </xf>
    <xf numFmtId="0" fontId="24" fillId="0" borderId="4" xfId="0" applyFont="1" applyBorder="1" applyAlignment="1">
      <alignment horizontal="left"/>
    </xf>
    <xf numFmtId="4" fontId="17" fillId="0" borderId="0" xfId="0" applyNumberFormat="1" applyFont="1" applyAlignment="1">
      <alignment horizontal="left"/>
    </xf>
    <xf numFmtId="43" fontId="51" fillId="0" borderId="0" xfId="4503" applyFont="1" applyAlignment="1" applyProtection="1">
      <alignment horizontal="center"/>
    </xf>
    <xf numFmtId="43" fontId="17" fillId="0" borderId="0" xfId="4503" applyFont="1" applyAlignment="1" applyProtection="1">
      <alignment horizontal="center"/>
    </xf>
    <xf numFmtId="43" fontId="17" fillId="0" borderId="0" xfId="4503" applyFont="1" applyProtection="1"/>
    <xf numFmtId="49" fontId="17" fillId="0" borderId="0" xfId="0" applyNumberFormat="1" applyFont="1"/>
    <xf numFmtId="49" fontId="17" fillId="0" borderId="0" xfId="0" applyNumberFormat="1" applyFont="1" applyAlignment="1">
      <alignment horizontal="center"/>
    </xf>
    <xf numFmtId="4" fontId="17" fillId="0" borderId="0" xfId="0" applyNumberFormat="1" applyFont="1" applyAlignment="1">
      <alignment vertical="top" wrapText="1"/>
    </xf>
    <xf numFmtId="0" fontId="17" fillId="0" borderId="0" xfId="0" quotePrefix="1" applyFont="1"/>
    <xf numFmtId="0" fontId="47" fillId="0" borderId="0" xfId="0" applyFont="1" applyAlignment="1">
      <alignment horizontal="left"/>
    </xf>
    <xf numFmtId="0" fontId="17" fillId="0" borderId="4" xfId="0" applyFont="1" applyBorder="1" applyAlignment="1">
      <alignment horizontal="left"/>
    </xf>
    <xf numFmtId="0" fontId="17" fillId="0" borderId="0" xfId="0" quotePrefix="1" applyFont="1" applyAlignment="1">
      <alignment horizontal="left"/>
    </xf>
    <xf numFmtId="0" fontId="17" fillId="0" borderId="0" xfId="0" quotePrefix="1" applyFont="1" applyAlignment="1">
      <alignment horizontal="left" vertical="top"/>
    </xf>
    <xf numFmtId="0" fontId="47" fillId="0" borderId="0" xfId="1192" applyFont="1" applyAlignment="1">
      <alignment horizontal="left"/>
    </xf>
    <xf numFmtId="0" fontId="51" fillId="0" borderId="0" xfId="0" applyFont="1" applyAlignment="1">
      <alignment horizontal="center" vertical="center"/>
    </xf>
    <xf numFmtId="49" fontId="24" fillId="0" borderId="0" xfId="0" applyNumberFormat="1" applyFont="1" applyAlignment="1">
      <alignment horizontal="center" vertical="center"/>
    </xf>
    <xf numFmtId="49" fontId="17" fillId="0" borderId="0" xfId="0" applyNumberFormat="1" applyFont="1" applyAlignment="1">
      <alignment vertical="center"/>
    </xf>
    <xf numFmtId="4" fontId="17" fillId="0" borderId="0" xfId="0" applyNumberFormat="1" applyFont="1" applyAlignment="1">
      <alignment horizontal="center"/>
    </xf>
    <xf numFmtId="4" fontId="17" fillId="0" borderId="0" xfId="0" applyNumberFormat="1" applyFont="1"/>
    <xf numFmtId="10" fontId="17" fillId="0" borderId="0" xfId="4495" applyNumberFormat="1" applyFont="1"/>
    <xf numFmtId="10" fontId="122" fillId="0" borderId="0" xfId="4496" applyNumberFormat="1" applyFont="1" applyAlignment="1">
      <alignment horizontal="center" vertical="top" wrapText="1"/>
    </xf>
    <xf numFmtId="10" fontId="122" fillId="0" borderId="64" xfId="4496" applyNumberFormat="1" applyFont="1" applyBorder="1" applyAlignment="1">
      <alignment horizontal="center" vertical="top" wrapText="1"/>
    </xf>
    <xf numFmtId="10" fontId="122"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7" fillId="0" borderId="0" xfId="1192" quotePrefix="1" applyNumberFormat="1" applyAlignment="1">
      <alignment horizontal="center"/>
    </xf>
    <xf numFmtId="0" fontId="122" fillId="0" borderId="0" xfId="4495" applyFont="1"/>
    <xf numFmtId="10" fontId="122" fillId="0" borderId="0" xfId="4495" applyNumberFormat="1" applyFont="1"/>
    <xf numFmtId="172" fontId="17" fillId="0" borderId="0" xfId="4495" applyNumberFormat="1" applyFont="1"/>
    <xf numFmtId="0" fontId="40" fillId="0" borderId="0" xfId="0" applyFont="1" applyAlignment="1">
      <alignment horizontal="center"/>
    </xf>
    <xf numFmtId="0" fontId="36" fillId="0" borderId="0" xfId="0" applyFont="1" applyAlignment="1">
      <alignment horizontal="left"/>
    </xf>
    <xf numFmtId="0" fontId="0" fillId="0" borderId="10" xfId="0" applyBorder="1" applyAlignment="1">
      <alignment horizontal="left"/>
    </xf>
    <xf numFmtId="1" fontId="17" fillId="0" borderId="0" xfId="1192" applyNumberFormat="1" applyAlignment="1">
      <alignment horizontal="center"/>
    </xf>
    <xf numFmtId="0" fontId="120" fillId="0" borderId="63" xfId="4495" applyBorder="1"/>
    <xf numFmtId="0" fontId="53" fillId="0" borderId="0" xfId="271" applyFont="1" applyAlignment="1">
      <alignment vertical="top"/>
    </xf>
    <xf numFmtId="0" fontId="24" fillId="0" borderId="11" xfId="0" applyFont="1" applyBorder="1" applyAlignment="1">
      <alignment horizontal="right" vertical="top" wrapText="1"/>
    </xf>
    <xf numFmtId="0" fontId="26" fillId="0" borderId="11" xfId="271" applyBorder="1" applyAlignment="1" applyProtection="1">
      <alignment horizontal="right" vertical="top" wrapText="1"/>
      <protection locked="0"/>
    </xf>
    <xf numFmtId="0" fontId="17" fillId="0" borderId="54" xfId="4495" applyFont="1" applyBorder="1" applyAlignment="1">
      <alignment vertical="top"/>
    </xf>
    <xf numFmtId="9" fontId="26" fillId="0" borderId="0" xfId="0" applyNumberFormat="1" applyFont="1"/>
    <xf numFmtId="0" fontId="17" fillId="0" borderId="16" xfId="569" applyBorder="1" applyAlignment="1">
      <alignment horizontal="center"/>
    </xf>
    <xf numFmtId="164" fontId="17" fillId="0" borderId="57" xfId="4495" applyNumberFormat="1" applyFont="1" applyBorder="1" applyAlignment="1">
      <alignment vertical="top" wrapText="1"/>
    </xf>
    <xf numFmtId="164" fontId="17" fillId="0" borderId="58" xfId="4495" applyNumberFormat="1" applyFont="1" applyBorder="1" applyAlignment="1">
      <alignment vertical="top" wrapText="1"/>
    </xf>
    <xf numFmtId="164" fontId="17" fillId="0" borderId="59" xfId="4495" applyNumberFormat="1" applyFont="1" applyBorder="1" applyAlignment="1">
      <alignment vertical="top" wrapText="1"/>
    </xf>
    <xf numFmtId="0" fontId="24" fillId="0" borderId="0" xfId="1192" applyFont="1" applyAlignment="1">
      <alignment horizontal="left" vertical="top" wrapText="1"/>
    </xf>
    <xf numFmtId="0" fontId="17" fillId="0" borderId="16" xfId="569" applyBorder="1"/>
    <xf numFmtId="0" fontId="17" fillId="0" borderId="4" xfId="569" applyBorder="1"/>
    <xf numFmtId="0" fontId="24" fillId="0" borderId="4" xfId="569" applyFont="1" applyBorder="1"/>
    <xf numFmtId="49" fontId="17" fillId="0" borderId="4" xfId="569" applyNumberFormat="1" applyBorder="1"/>
    <xf numFmtId="0" fontId="149" fillId="0" borderId="0" xfId="0" applyFont="1"/>
    <xf numFmtId="0" fontId="17" fillId="0" borderId="0" xfId="0" applyFont="1" applyAlignment="1">
      <alignment horizontal="right"/>
    </xf>
    <xf numFmtId="1" fontId="17" fillId="0" borderId="0" xfId="0" applyNumberFormat="1" applyFont="1" applyAlignment="1">
      <alignment horizontal="center"/>
    </xf>
    <xf numFmtId="0" fontId="24" fillId="0" borderId="0" xfId="0" applyFont="1" applyAlignment="1">
      <alignment horizontal="left" vertical="center"/>
    </xf>
    <xf numFmtId="0" fontId="17" fillId="0" borderId="0" xfId="0" applyFont="1" applyAlignment="1">
      <alignment horizontal="left" vertical="center"/>
    </xf>
    <xf numFmtId="0" fontId="24" fillId="0" borderId="0" xfId="569" applyFont="1" applyAlignment="1">
      <alignment vertical="top"/>
    </xf>
    <xf numFmtId="0" fontId="18" fillId="0" borderId="0" xfId="244" applyAlignment="1"/>
    <xf numFmtId="0" fontId="24" fillId="0" borderId="0" xfId="0" applyFont="1" applyAlignment="1">
      <alignment vertical="top" wrapText="1"/>
    </xf>
    <xf numFmtId="49" fontId="24" fillId="0" borderId="0" xfId="0" applyNumberFormat="1" applyFont="1"/>
    <xf numFmtId="49" fontId="24" fillId="0" borderId="0" xfId="0" applyNumberFormat="1" applyFont="1" applyAlignment="1">
      <alignment vertical="top"/>
    </xf>
    <xf numFmtId="0" fontId="40" fillId="0" borderId="11" xfId="0" applyFont="1" applyBorder="1"/>
    <xf numFmtId="175" fontId="17" fillId="0" borderId="0" xfId="543" applyNumberFormat="1" applyAlignment="1">
      <alignment vertical="center"/>
    </xf>
    <xf numFmtId="0" fontId="98" fillId="43" borderId="6" xfId="4496" applyFont="1" applyFill="1" applyBorder="1" applyAlignment="1" applyProtection="1">
      <alignment horizontal="center"/>
      <protection locked="0"/>
    </xf>
    <xf numFmtId="0" fontId="98" fillId="0" borderId="0" xfId="4496" applyFont="1"/>
    <xf numFmtId="0" fontId="98"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8" fillId="0" borderId="0" xfId="4496" applyNumberFormat="1" applyFont="1" applyAlignment="1">
      <alignment horizontal="center"/>
    </xf>
    <xf numFmtId="182" fontId="98" fillId="0" borderId="6" xfId="4496" applyNumberFormat="1" applyFont="1" applyBorder="1"/>
    <xf numFmtId="0" fontId="98" fillId="0" borderId="0" xfId="4496" applyFont="1" applyAlignment="1">
      <alignment vertical="center"/>
    </xf>
    <xf numFmtId="182" fontId="98" fillId="0" borderId="0" xfId="4496" applyNumberFormat="1" applyFont="1" applyAlignment="1">
      <alignment vertical="center"/>
    </xf>
    <xf numFmtId="175" fontId="98" fillId="0" borderId="0" xfId="4499" applyNumberFormat="1" applyFont="1" applyFill="1" applyBorder="1" applyAlignment="1" applyProtection="1">
      <alignment horizontal="left" vertical="center"/>
    </xf>
    <xf numFmtId="9" fontId="98" fillId="0" borderId="0" xfId="4499" applyFont="1" applyFill="1" applyBorder="1" applyAlignment="1" applyProtection="1">
      <alignment vertical="center"/>
    </xf>
    <xf numFmtId="183" fontId="98" fillId="0" borderId="0" xfId="4496" applyNumberFormat="1" applyFont="1" applyAlignment="1">
      <alignment vertical="center" wrapText="1"/>
    </xf>
    <xf numFmtId="9" fontId="98" fillId="0" borderId="0" xfId="4499" applyFont="1" applyBorder="1" applyAlignment="1" applyProtection="1">
      <alignment vertical="center"/>
    </xf>
    <xf numFmtId="164" fontId="98" fillId="0" borderId="0" xfId="4496" applyNumberFormat="1" applyFont="1" applyAlignment="1">
      <alignment vertical="center" wrapText="1"/>
    </xf>
    <xf numFmtId="0" fontId="98" fillId="0" borderId="0" xfId="4496" applyFont="1" applyAlignment="1">
      <alignment horizontal="center" vertical="center"/>
    </xf>
    <xf numFmtId="182" fontId="98" fillId="0" borderId="11" xfId="8721" applyNumberFormat="1" applyFont="1" applyBorder="1" applyProtection="1"/>
    <xf numFmtId="182" fontId="98" fillId="0" borderId="11" xfId="4496" applyNumberFormat="1" applyFont="1" applyBorder="1"/>
    <xf numFmtId="164" fontId="98" fillId="0" borderId="0" xfId="4496" applyNumberFormat="1" applyFont="1" applyAlignment="1">
      <alignment wrapText="1"/>
    </xf>
    <xf numFmtId="49" fontId="98" fillId="0" borderId="0" xfId="4496" applyNumberFormat="1" applyFont="1" applyAlignment="1">
      <alignment horizontal="left"/>
    </xf>
    <xf numFmtId="0" fontId="140" fillId="0" borderId="0" xfId="4496" applyFont="1"/>
    <xf numFmtId="9" fontId="98" fillId="0" borderId="11" xfId="4494" applyFont="1" applyFill="1" applyBorder="1" applyAlignment="1" applyProtection="1">
      <alignment horizontal="right"/>
    </xf>
    <xf numFmtId="1" fontId="98" fillId="0" borderId="0" xfId="4496" applyNumberFormat="1" applyFont="1"/>
    <xf numFmtId="0" fontId="137" fillId="45" borderId="3" xfId="4496" applyFont="1" applyFill="1" applyBorder="1" applyAlignment="1">
      <alignment horizontal="left" indent="1"/>
    </xf>
    <xf numFmtId="0" fontId="98" fillId="45" borderId="4" xfId="4496" applyFont="1" applyFill="1" applyBorder="1"/>
    <xf numFmtId="2" fontId="98" fillId="45" borderId="5" xfId="4496" applyNumberFormat="1" applyFont="1" applyFill="1" applyBorder="1"/>
    <xf numFmtId="181" fontId="98" fillId="0" borderId="0" xfId="4496" applyNumberFormat="1" applyFont="1"/>
    <xf numFmtId="165" fontId="138" fillId="0" borderId="0" xfId="4499" applyNumberFormat="1" applyFont="1" applyFill="1" applyBorder="1" applyProtection="1"/>
    <xf numFmtId="9" fontId="98" fillId="0" borderId="0" xfId="4494" applyFont="1" applyFill="1" applyProtection="1"/>
    <xf numFmtId="0" fontId="98" fillId="0" borderId="11" xfId="4496" applyFont="1" applyBorder="1" applyAlignment="1">
      <alignment horizontal="center"/>
    </xf>
    <xf numFmtId="2" fontId="98" fillId="0" borderId="11" xfId="4496" applyNumberFormat="1" applyFont="1" applyBorder="1" applyAlignment="1">
      <alignment horizontal="center"/>
    </xf>
    <xf numFmtId="0" fontId="98" fillId="0" borderId="0" xfId="4496" applyFont="1" applyAlignment="1">
      <alignment vertical="top" wrapText="1"/>
    </xf>
    <xf numFmtId="0" fontId="98" fillId="0" borderId="11" xfId="4496" applyFont="1" applyBorder="1" applyAlignment="1">
      <alignment horizontal="center" vertical="top" wrapText="1"/>
    </xf>
    <xf numFmtId="182" fontId="98" fillId="0" borderId="0" xfId="8721" applyNumberFormat="1" applyFont="1" applyBorder="1" applyProtection="1"/>
    <xf numFmtId="0" fontId="98" fillId="0" borderId="0" xfId="4496" applyFont="1" applyAlignment="1">
      <alignment horizontal="left" indent="1"/>
    </xf>
    <xf numFmtId="182" fontId="98" fillId="0" borderId="0" xfId="4496" applyNumberFormat="1" applyFont="1"/>
    <xf numFmtId="184" fontId="98" fillId="0" borderId="0" xfId="4496" applyNumberFormat="1" applyFont="1"/>
    <xf numFmtId="0" fontId="98" fillId="0" borderId="0" xfId="4496" applyFont="1" applyAlignment="1">
      <alignment horizontal="left"/>
    </xf>
    <xf numFmtId="0" fontId="98" fillId="0" borderId="0" xfId="4496" applyFont="1" applyAlignment="1">
      <alignment horizontal="center"/>
    </xf>
    <xf numFmtId="9" fontId="98" fillId="0" borderId="0" xfId="4494" applyFont="1" applyFill="1" applyBorder="1" applyProtection="1"/>
    <xf numFmtId="3" fontId="22" fillId="0" borderId="11" xfId="271" applyNumberFormat="1" applyFont="1" applyBorder="1" applyAlignment="1">
      <alignment horizontal="center"/>
    </xf>
    <xf numFmtId="3" fontId="22" fillId="43" borderId="11" xfId="271" applyNumberFormat="1" applyFont="1" applyFill="1" applyBorder="1" applyProtection="1">
      <protection locked="0"/>
    </xf>
    <xf numFmtId="0" fontId="98" fillId="0" borderId="0" xfId="4496" applyFont="1" applyAlignment="1">
      <alignment horizontal="right"/>
    </xf>
    <xf numFmtId="168" fontId="26" fillId="0" borderId="0" xfId="0" applyNumberFormat="1" applyFont="1"/>
    <xf numFmtId="0" fontId="98" fillId="0" borderId="15" xfId="4496" applyFont="1" applyBorder="1" applyAlignment="1">
      <alignment horizontal="center" vertical="top" wrapText="1"/>
    </xf>
    <xf numFmtId="2" fontId="98" fillId="0" borderId="15" xfId="4496" applyNumberFormat="1" applyFont="1" applyBorder="1" applyAlignment="1">
      <alignment horizontal="center"/>
    </xf>
    <xf numFmtId="0" fontId="98"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8" fillId="0" borderId="0" xfId="4499" applyNumberFormat="1" applyFont="1" applyFill="1" applyBorder="1" applyAlignment="1" applyProtection="1">
      <alignment horizontal="right" vertical="center"/>
    </xf>
    <xf numFmtId="5" fontId="98" fillId="0" borderId="6" xfId="4496" applyNumberFormat="1" applyFont="1" applyBorder="1" applyAlignment="1">
      <alignment vertical="center"/>
    </xf>
    <xf numFmtId="0" fontId="98" fillId="0" borderId="66" xfId="4496" applyFont="1" applyBorder="1" applyAlignment="1">
      <alignment vertical="center"/>
    </xf>
    <xf numFmtId="0" fontId="98" fillId="0" borderId="41" xfId="4496" applyFont="1" applyBorder="1" applyAlignment="1">
      <alignment vertical="center"/>
    </xf>
    <xf numFmtId="182" fontId="98" fillId="0" borderId="73" xfId="4496" applyNumberFormat="1" applyFont="1" applyBorder="1" applyAlignment="1">
      <alignment vertical="center"/>
    </xf>
    <xf numFmtId="175" fontId="98" fillId="0" borderId="42" xfId="4499" applyNumberFormat="1" applyFont="1" applyFill="1" applyBorder="1" applyAlignment="1" applyProtection="1">
      <alignment horizontal="left" vertical="center"/>
    </xf>
    <xf numFmtId="0" fontId="98" fillId="0" borderId="42" xfId="4496" applyFont="1" applyBorder="1" applyAlignment="1">
      <alignment vertical="center"/>
    </xf>
    <xf numFmtId="0" fontId="98" fillId="0" borderId="44" xfId="4496" applyFont="1" applyBorder="1" applyAlignment="1">
      <alignment vertical="center"/>
    </xf>
    <xf numFmtId="49" fontId="98" fillId="0" borderId="0" xfId="4496" applyNumberFormat="1" applyFont="1" applyAlignment="1">
      <alignment horizontal="center" vertical="center"/>
    </xf>
    <xf numFmtId="0" fontId="98" fillId="0" borderId="65" xfId="4496" applyFont="1" applyBorder="1" applyAlignment="1">
      <alignment vertical="center"/>
    </xf>
    <xf numFmtId="0" fontId="98" fillId="0" borderId="29" xfId="4496" applyFont="1" applyBorder="1" applyAlignment="1">
      <alignment vertical="center"/>
    </xf>
    <xf numFmtId="0" fontId="98" fillId="0" borderId="29" xfId="4496" applyFont="1" applyBorder="1" applyAlignment="1">
      <alignment horizontal="right" vertical="center"/>
    </xf>
    <xf numFmtId="5" fontId="98" fillId="0" borderId="29" xfId="4496" applyNumberFormat="1" applyFont="1" applyBorder="1" applyAlignment="1">
      <alignment vertical="center"/>
    </xf>
    <xf numFmtId="0" fontId="98"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8" fillId="0" borderId="0" xfId="4496" applyFont="1" applyAlignment="1">
      <alignment horizontal="right" vertical="top" wrapText="1" indent="1"/>
    </xf>
    <xf numFmtId="182" fontId="98" fillId="0" borderId="6" xfId="8721" applyNumberFormat="1" applyFont="1" applyBorder="1" applyAlignment="1" applyProtection="1">
      <alignment horizontal="center"/>
    </xf>
    <xf numFmtId="0" fontId="98" fillId="0" borderId="0" xfId="4496" applyFont="1" applyAlignment="1">
      <alignment horizontal="right" indent="1"/>
    </xf>
    <xf numFmtId="0" fontId="98"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8" fillId="0" borderId="0" xfId="4494" applyNumberFormat="1" applyFont="1" applyBorder="1" applyAlignment="1" applyProtection="1">
      <alignment horizontal="center"/>
    </xf>
    <xf numFmtId="184" fontId="98"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8" fillId="0" borderId="6" xfId="8721" applyNumberFormat="1" applyFont="1" applyBorder="1" applyProtection="1"/>
    <xf numFmtId="184" fontId="98" fillId="0" borderId="0" xfId="4496" applyNumberFormat="1" applyFont="1" applyAlignment="1">
      <alignment horizontal="center"/>
    </xf>
    <xf numFmtId="0" fontId="98" fillId="0" borderId="6" xfId="4496" applyFont="1" applyBorder="1" applyAlignment="1">
      <alignment horizontal="right" vertical="top" wrapText="1" indent="1"/>
    </xf>
    <xf numFmtId="0" fontId="98" fillId="0" borderId="67" xfId="4496" applyFont="1" applyBorder="1" applyAlignment="1">
      <alignment horizontal="right" indent="1"/>
    </xf>
    <xf numFmtId="0" fontId="98" fillId="0" borderId="72" xfId="4496" applyFont="1" applyBorder="1" applyAlignment="1">
      <alignment horizontal="right" indent="1"/>
    </xf>
    <xf numFmtId="0" fontId="98" fillId="0" borderId="72" xfId="4496" quotePrefix="1" applyFont="1" applyBorder="1" applyAlignment="1">
      <alignment horizontal="right" indent="1"/>
    </xf>
    <xf numFmtId="0" fontId="98" fillId="0" borderId="69" xfId="4496" applyFont="1" applyBorder="1" applyAlignment="1">
      <alignment horizontal="right" indent="1"/>
    </xf>
    <xf numFmtId="182" fontId="98" fillId="0" borderId="71" xfId="4496" applyNumberFormat="1" applyFont="1" applyBorder="1"/>
    <xf numFmtId="182" fontId="98" fillId="0" borderId="76" xfId="4496" applyNumberFormat="1" applyFont="1" applyBorder="1"/>
    <xf numFmtId="182" fontId="98" fillId="0" borderId="77" xfId="4496" applyNumberFormat="1" applyFont="1" applyBorder="1"/>
    <xf numFmtId="175" fontId="24" fillId="0" borderId="0" xfId="543" applyNumberFormat="1" applyFont="1" applyAlignment="1">
      <alignment vertical="center"/>
    </xf>
    <xf numFmtId="10" fontId="137" fillId="0" borderId="0" xfId="4494" applyNumberFormat="1" applyFont="1" applyProtection="1"/>
    <xf numFmtId="0" fontId="24" fillId="0" borderId="0" xfId="1192" applyFont="1" applyAlignment="1">
      <alignment horizontal="left" indent="1"/>
    </xf>
    <xf numFmtId="168" fontId="98"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8" fillId="0" borderId="13" xfId="4496" applyNumberFormat="1" applyFont="1" applyBorder="1"/>
    <xf numFmtId="182" fontId="98" fillId="0" borderId="70" xfId="4496" applyNumberFormat="1" applyFont="1" applyBorder="1"/>
    <xf numFmtId="0" fontId="35" fillId="0" borderId="0" xfId="4495" applyFont="1" applyAlignment="1">
      <alignment vertical="center"/>
    </xf>
    <xf numFmtId="0" fontId="122" fillId="0" borderId="0" xfId="4496" applyFont="1" applyAlignment="1">
      <alignment vertical="center" wrapText="1"/>
    </xf>
    <xf numFmtId="0" fontId="22" fillId="43" borderId="0" xfId="1192" applyFont="1" applyFill="1"/>
    <xf numFmtId="3" fontId="68" fillId="43" borderId="6" xfId="1192" applyNumberFormat="1" applyFont="1" applyFill="1" applyBorder="1"/>
    <xf numFmtId="0" fontId="153" fillId="0" borderId="0" xfId="0" applyFont="1"/>
    <xf numFmtId="0" fontId="22"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3" fillId="5" borderId="11" xfId="0" applyFont="1" applyFill="1" applyBorder="1" applyAlignment="1" applyProtection="1">
      <alignment horizontal="right" vertical="top" wrapText="1"/>
      <protection locked="0"/>
    </xf>
    <xf numFmtId="0" fontId="17" fillId="43" borderId="3" xfId="569" applyFill="1" applyBorder="1"/>
    <xf numFmtId="0" fontId="158" fillId="0" borderId="0" xfId="0" applyFont="1" applyAlignment="1">
      <alignment horizontal="right"/>
    </xf>
    <xf numFmtId="1" fontId="25" fillId="0" borderId="0" xfId="4495" applyNumberFormat="1" applyFont="1"/>
    <xf numFmtId="0" fontId="24" fillId="0" borderId="4" xfId="569" applyFont="1" applyBorder="1" applyAlignment="1">
      <alignment horizontal="center"/>
    </xf>
    <xf numFmtId="43" fontId="24" fillId="0" borderId="0" xfId="4503" applyFont="1" applyAlignment="1" applyProtection="1">
      <alignment horizontal="center"/>
    </xf>
    <xf numFmtId="0" fontId="24" fillId="0" borderId="0" xfId="569" applyFont="1" applyAlignment="1">
      <alignment horizontal="center" vertical="center"/>
    </xf>
    <xf numFmtId="0" fontId="24" fillId="0" borderId="16" xfId="569" applyFont="1" applyBorder="1" applyAlignment="1">
      <alignment horizontal="center"/>
    </xf>
    <xf numFmtId="49" fontId="24" fillId="0" borderId="4" xfId="569" applyNumberFormat="1" applyFont="1" applyBorder="1" applyAlignment="1">
      <alignment horizontal="center"/>
    </xf>
    <xf numFmtId="4" fontId="24" fillId="0" borderId="0" xfId="569" applyNumberFormat="1" applyFont="1" applyAlignment="1">
      <alignment horizontal="center"/>
    </xf>
    <xf numFmtId="0" fontId="17" fillId="0" borderId="0" xfId="569" applyAlignment="1">
      <alignment horizontal="center" wrapText="1"/>
    </xf>
    <xf numFmtId="0" fontId="98" fillId="0" borderId="6" xfId="4496" applyFont="1" applyBorder="1" applyAlignment="1">
      <alignment horizontal="left" vertical="top"/>
    </xf>
    <xf numFmtId="0" fontId="17" fillId="0" borderId="0" xfId="0" applyFont="1" applyAlignment="1">
      <alignment vertical="center" wrapText="1"/>
    </xf>
    <xf numFmtId="3" fontId="22" fillId="43" borderId="11" xfId="271" applyNumberFormat="1" applyFont="1" applyFill="1" applyBorder="1" applyAlignment="1" applyProtection="1">
      <alignment horizontal="left"/>
      <protection locked="0"/>
    </xf>
    <xf numFmtId="0" fontId="98" fillId="43" borderId="6" xfId="4496" applyFont="1" applyFill="1" applyBorder="1" applyProtection="1">
      <protection locked="0"/>
    </xf>
    <xf numFmtId="1" fontId="98" fillId="0" borderId="0" xfId="4496" applyNumberFormat="1" applyFont="1" applyProtection="1">
      <protection locked="0"/>
    </xf>
    <xf numFmtId="182" fontId="163" fillId="0" borderId="11" xfId="4496" applyNumberFormat="1" applyFont="1" applyBorder="1"/>
    <xf numFmtId="44" fontId="98" fillId="0" borderId="0" xfId="4496" applyNumberFormat="1" applyFont="1"/>
    <xf numFmtId="182" fontId="22" fillId="0" borderId="11" xfId="4496" applyNumberFormat="1" applyFont="1" applyBorder="1"/>
    <xf numFmtId="9" fontId="98" fillId="0" borderId="0" xfId="4494" applyFont="1"/>
    <xf numFmtId="182" fontId="98" fillId="43" borderId="6" xfId="8721" applyNumberFormat="1" applyFont="1" applyFill="1" applyBorder="1" applyProtection="1">
      <protection locked="0"/>
    </xf>
    <xf numFmtId="0" fontId="17" fillId="0" borderId="0" xfId="4495" applyFont="1" applyAlignment="1">
      <alignment wrapText="1"/>
    </xf>
    <xf numFmtId="168" fontId="175" fillId="48" borderId="79" xfId="700" applyNumberFormat="1" applyFont="1" applyFill="1" applyBorder="1" applyAlignment="1" applyProtection="1">
      <protection locked="0"/>
    </xf>
    <xf numFmtId="3" fontId="45"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4" fillId="0" borderId="0" xfId="4495" applyFont="1" applyAlignment="1">
      <alignment wrapText="1"/>
    </xf>
    <xf numFmtId="182" fontId="17" fillId="0" borderId="0" xfId="700" applyNumberFormat="1" applyFont="1"/>
    <xf numFmtId="9" fontId="17" fillId="0" borderId="0" xfId="1022" applyFont="1"/>
    <xf numFmtId="168" fontId="17"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2" fillId="0" borderId="0" xfId="8733"/>
    <xf numFmtId="0" fontId="103" fillId="0" borderId="0" xfId="8733" applyFont="1"/>
    <xf numFmtId="0" fontId="2" fillId="47" borderId="66" xfId="8733" applyFill="1" applyBorder="1"/>
    <xf numFmtId="0" fontId="2" fillId="47" borderId="0" xfId="8733" applyFill="1"/>
    <xf numFmtId="0" fontId="102" fillId="47" borderId="41" xfId="8733" applyFont="1" applyFill="1" applyBorder="1" applyAlignment="1">
      <alignment horizontal="center"/>
    </xf>
    <xf numFmtId="0" fontId="102" fillId="47" borderId="0" xfId="8733" applyFont="1" applyFill="1"/>
    <xf numFmtId="182" fontId="174" fillId="47" borderId="0" xfId="8734" applyNumberFormat="1" applyFont="1" applyFill="1" applyBorder="1" applyAlignment="1"/>
    <xf numFmtId="0" fontId="2" fillId="47" borderId="41" xfId="8733" applyFill="1" applyBorder="1"/>
    <xf numFmtId="0" fontId="103" fillId="47" borderId="0" xfId="8733" applyFont="1" applyFill="1"/>
    <xf numFmtId="0" fontId="178" fillId="47" borderId="0" xfId="8733" applyFont="1" applyFill="1"/>
    <xf numFmtId="0" fontId="102" fillId="47" borderId="41" xfId="8733" applyFont="1" applyFill="1" applyBorder="1"/>
    <xf numFmtId="0" fontId="102" fillId="0" borderId="0" xfId="8733" applyFont="1"/>
    <xf numFmtId="0" fontId="102" fillId="54" borderId="100" xfId="8733" applyFont="1" applyFill="1" applyBorder="1"/>
    <xf numFmtId="0" fontId="2" fillId="53" borderId="99" xfId="8733" applyFill="1" applyBorder="1"/>
    <xf numFmtId="0" fontId="2" fillId="52" borderId="99" xfId="8733" applyFill="1" applyBorder="1"/>
    <xf numFmtId="0" fontId="102" fillId="45" borderId="65" xfId="8733" applyFont="1" applyFill="1" applyBorder="1"/>
    <xf numFmtId="0" fontId="2" fillId="45" borderId="80" xfId="8733" applyFill="1" applyBorder="1"/>
    <xf numFmtId="0" fontId="2" fillId="45" borderId="79" xfId="8733" applyFill="1" applyBorder="1"/>
    <xf numFmtId="0" fontId="2" fillId="45" borderId="78" xfId="8733" applyFill="1" applyBorder="1"/>
    <xf numFmtId="0" fontId="102" fillId="45" borderId="0" xfId="8733" applyFont="1" applyFill="1"/>
    <xf numFmtId="0" fontId="102" fillId="45" borderId="12" xfId="8733" applyFont="1" applyFill="1" applyBorder="1"/>
    <xf numFmtId="0" fontId="102" fillId="45" borderId="29" xfId="8733" applyFont="1" applyFill="1" applyBorder="1"/>
    <xf numFmtId="0" fontId="102" fillId="45" borderId="80" xfId="8733" applyFont="1" applyFill="1" applyBorder="1"/>
    <xf numFmtId="0" fontId="102" fillId="45" borderId="79" xfId="8733" applyFont="1" applyFill="1" applyBorder="1"/>
    <xf numFmtId="0" fontId="102" fillId="45" borderId="78" xfId="8733" applyFont="1" applyFill="1" applyBorder="1"/>
    <xf numFmtId="185" fontId="2" fillId="0" borderId="0" xfId="698" applyNumberFormat="1" applyFont="1"/>
    <xf numFmtId="0" fontId="102" fillId="45" borderId="93" xfId="8733" applyFont="1" applyFill="1" applyBorder="1"/>
    <xf numFmtId="0" fontId="102" fillId="45" borderId="6" xfId="8733" applyFont="1" applyFill="1" applyBorder="1"/>
    <xf numFmtId="0" fontId="102" fillId="45" borderId="10" xfId="8733" applyFont="1" applyFill="1" applyBorder="1"/>
    <xf numFmtId="10" fontId="2" fillId="0" borderId="0" xfId="1022" applyNumberFormat="1" applyFont="1"/>
    <xf numFmtId="0" fontId="2" fillId="45" borderId="29" xfId="8733" applyFill="1" applyBorder="1"/>
    <xf numFmtId="0" fontId="2" fillId="45" borderId="31" xfId="8733" applyFill="1" applyBorder="1"/>
    <xf numFmtId="0" fontId="102" fillId="45" borderId="92" xfId="8733" applyFont="1" applyFill="1" applyBorder="1"/>
    <xf numFmtId="0" fontId="102" fillId="45" borderId="74" xfId="8733" applyFont="1" applyFill="1" applyBorder="1"/>
    <xf numFmtId="0" fontId="173" fillId="45" borderId="87" xfId="8733" applyFont="1" applyFill="1" applyBorder="1"/>
    <xf numFmtId="0" fontId="2" fillId="45" borderId="87" xfId="8733" applyFill="1" applyBorder="1"/>
    <xf numFmtId="0" fontId="2" fillId="45" borderId="86" xfId="8733" applyFill="1" applyBorder="1"/>
    <xf numFmtId="0" fontId="2" fillId="45" borderId="95" xfId="8733" applyFill="1" applyBorder="1"/>
    <xf numFmtId="0" fontId="180" fillId="47" borderId="0" xfId="8733" applyFont="1" applyFill="1"/>
    <xf numFmtId="0" fontId="102" fillId="45" borderId="31" xfId="8733" applyFont="1" applyFill="1" applyBorder="1"/>
    <xf numFmtId="0" fontId="2" fillId="47" borderId="0" xfId="8733" applyFill="1" applyAlignment="1">
      <alignment horizontal="left"/>
    </xf>
    <xf numFmtId="0" fontId="172" fillId="51" borderId="11" xfId="8733" applyFont="1" applyFill="1" applyBorder="1"/>
    <xf numFmtId="0" fontId="172" fillId="51" borderId="76" xfId="8733" applyFont="1" applyFill="1" applyBorder="1"/>
    <xf numFmtId="0" fontId="173" fillId="51" borderId="11" xfId="8733" applyFont="1" applyFill="1" applyBorder="1" applyAlignment="1">
      <alignment horizontal="center"/>
    </xf>
    <xf numFmtId="0" fontId="173" fillId="51" borderId="76" xfId="8733" applyFont="1" applyFill="1" applyBorder="1" applyAlignment="1">
      <alignment horizontal="center"/>
    </xf>
    <xf numFmtId="0" fontId="2" fillId="48" borderId="66" xfId="8733" applyFill="1" applyBorder="1"/>
    <xf numFmtId="0" fontId="2" fillId="48" borderId="0" xfId="8733" applyFill="1"/>
    <xf numFmtId="0" fontId="2" fillId="48" borderId="78" xfId="8733" applyFill="1" applyBorder="1"/>
    <xf numFmtId="0" fontId="102" fillId="47" borderId="66" xfId="8733" applyFont="1" applyFill="1" applyBorder="1"/>
    <xf numFmtId="49" fontId="102" fillId="47" borderId="66" xfId="8733" applyNumberFormat="1" applyFont="1" applyFill="1" applyBorder="1" applyAlignment="1">
      <alignment horizontal="right" vertical="top"/>
    </xf>
    <xf numFmtId="0" fontId="2" fillId="47" borderId="73" xfId="8733" applyFill="1" applyBorder="1"/>
    <xf numFmtId="0" fontId="2" fillId="47" borderId="42" xfId="8733" applyFill="1" applyBorder="1"/>
    <xf numFmtId="0" fontId="2" fillId="47" borderId="44" xfId="8733" applyFill="1" applyBorder="1"/>
    <xf numFmtId="0" fontId="2" fillId="44" borderId="66" xfId="8733" applyFill="1" applyBorder="1"/>
    <xf numFmtId="0" fontId="2" fillId="44" borderId="0" xfId="8733" applyFill="1"/>
    <xf numFmtId="0" fontId="2" fillId="44" borderId="41" xfId="8733" applyFill="1" applyBorder="1"/>
    <xf numFmtId="0" fontId="2" fillId="44" borderId="0" xfId="8733" applyFill="1" applyAlignment="1">
      <alignment horizontal="left"/>
    </xf>
    <xf numFmtId="0" fontId="2" fillId="44" borderId="73" xfId="8733" applyFill="1" applyBorder="1"/>
    <xf numFmtId="0" fontId="2" fillId="44" borderId="42" xfId="8733" applyFill="1" applyBorder="1"/>
    <xf numFmtId="0" fontId="2" fillId="44" borderId="44" xfId="8733" applyFill="1" applyBorder="1"/>
    <xf numFmtId="0" fontId="164" fillId="0" borderId="0" xfId="8733" applyFont="1"/>
    <xf numFmtId="168" fontId="0" fillId="0" borderId="0" xfId="0" applyNumberFormat="1"/>
    <xf numFmtId="0" fontId="122" fillId="52" borderId="113" xfId="0" applyFont="1" applyFill="1" applyBorder="1"/>
    <xf numFmtId="0" fontId="122" fillId="53" borderId="113" xfId="0" applyFont="1" applyFill="1" applyBorder="1"/>
    <xf numFmtId="1" fontId="0" fillId="0" borderId="0" xfId="0" applyNumberFormat="1"/>
    <xf numFmtId="0" fontId="18"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8" fillId="0" borderId="0" xfId="244" applyAlignment="1">
      <alignment horizontal="left" vertical="top"/>
    </xf>
    <xf numFmtId="166" fontId="26"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166" fontId="17" fillId="5" borderId="4" xfId="0" applyNumberFormat="1" applyFont="1" applyFill="1" applyBorder="1" applyAlignment="1" applyProtection="1">
      <alignment horizontal="left"/>
      <protection locked="0"/>
    </xf>
    <xf numFmtId="0" fontId="17" fillId="0" borderId="0" xfId="0" applyFont="1" applyAlignment="1">
      <alignment horizontal="left" vertical="top" wrapText="1"/>
    </xf>
    <xf numFmtId="0" fontId="18" fillId="0" borderId="0" xfId="244"/>
    <xf numFmtId="0" fontId="0" fillId="0" borderId="0" xfId="0"/>
    <xf numFmtId="0" fontId="17" fillId="0" borderId="0" xfId="1192" applyAlignment="1">
      <alignment horizontal="left" vertical="top" wrapText="1"/>
    </xf>
    <xf numFmtId="0" fontId="24" fillId="0" borderId="0" xfId="0" applyFont="1" applyAlignment="1">
      <alignment horizontal="left" vertical="top" wrapText="1"/>
    </xf>
    <xf numFmtId="0" fontId="46" fillId="0" borderId="0" xfId="0" applyFont="1" applyAlignment="1">
      <alignment horizontal="left" vertical="top" wrapText="1"/>
    </xf>
    <xf numFmtId="0" fontId="17" fillId="0" borderId="0" xfId="0" applyFont="1" applyAlignment="1">
      <alignment horizontal="left" wrapText="1"/>
    </xf>
    <xf numFmtId="0" fontId="18" fillId="0" borderId="0" xfId="244" applyAlignment="1" applyProtection="1">
      <alignment horizontal="left"/>
    </xf>
    <xf numFmtId="0" fontId="113" fillId="0" borderId="0" xfId="0" applyFont="1" applyAlignment="1">
      <alignment horizontal="left" wrapText="1"/>
    </xf>
    <xf numFmtId="0" fontId="26" fillId="0" borderId="0" xfId="0" applyFont="1" applyAlignment="1">
      <alignment horizontal="left" wrapText="1"/>
    </xf>
    <xf numFmtId="0" fontId="23" fillId="3" borderId="0" xfId="0" applyFont="1" applyFill="1" applyAlignment="1">
      <alignment horizontal="center" vertical="center" wrapText="1"/>
    </xf>
    <xf numFmtId="0" fontId="23" fillId="3" borderId="16" xfId="0" applyFont="1" applyFill="1" applyBorder="1" applyAlignment="1">
      <alignment horizontal="center" vertical="center" wrapText="1"/>
    </xf>
    <xf numFmtId="0" fontId="105" fillId="0" borderId="0" xfId="0" applyFont="1" applyAlignment="1">
      <alignment horizontal="left" vertical="top" wrapText="1"/>
    </xf>
    <xf numFmtId="0" fontId="18" fillId="0" borderId="0" xfId="244" applyAlignment="1">
      <alignment horizontal="left" vertical="top"/>
    </xf>
    <xf numFmtId="0" fontId="114" fillId="0" borderId="0" xfId="569" applyFont="1" applyAlignment="1">
      <alignment horizontal="center"/>
    </xf>
    <xf numFmtId="0" fontId="115" fillId="0" borderId="0" xfId="569" applyFont="1"/>
    <xf numFmtId="0" fontId="17" fillId="0" borderId="0" xfId="569" applyAlignment="1">
      <alignment wrapText="1"/>
    </xf>
    <xf numFmtId="0" fontId="24" fillId="0" borderId="0" xfId="569" applyFont="1" applyAlignment="1">
      <alignment wrapText="1"/>
    </xf>
    <xf numFmtId="0" fontId="32" fillId="0" borderId="0" xfId="569" applyFont="1" applyAlignment="1">
      <alignment horizontal="center"/>
    </xf>
    <xf numFmtId="0" fontId="17" fillId="0" borderId="0" xfId="569"/>
    <xf numFmtId="0" fontId="17" fillId="0" borderId="0" xfId="1192" applyAlignment="1">
      <alignment vertical="top" wrapText="1"/>
    </xf>
    <xf numFmtId="0" fontId="35" fillId="0" borderId="0" xfId="569" applyFont="1" applyAlignment="1">
      <alignment horizontal="center"/>
    </xf>
    <xf numFmtId="0" fontId="24" fillId="0" borderId="0" xfId="569" applyFont="1" applyAlignment="1">
      <alignment horizontal="center"/>
    </xf>
    <xf numFmtId="0" fontId="17" fillId="0" borderId="0" xfId="569" applyAlignment="1">
      <alignment horizontal="left" vertical="top" wrapText="1"/>
    </xf>
    <xf numFmtId="0" fontId="17" fillId="0" borderId="0" xfId="569" applyAlignment="1">
      <alignment horizontal="left"/>
    </xf>
    <xf numFmtId="0" fontId="35" fillId="0" borderId="0" xfId="569" applyFont="1" applyAlignment="1">
      <alignment horizontal="left" vertical="top" wrapText="1"/>
    </xf>
    <xf numFmtId="0" fontId="24" fillId="0" borderId="4" xfId="569" applyFont="1" applyBorder="1" applyAlignment="1">
      <alignment horizontal="left"/>
    </xf>
    <xf numFmtId="4" fontId="17" fillId="0" borderId="0" xfId="1192" applyNumberFormat="1" applyAlignment="1">
      <alignment horizontal="left" vertical="top" wrapText="1"/>
    </xf>
    <xf numFmtId="49" fontId="17" fillId="0" borderId="0" xfId="0" applyNumberFormat="1" applyFont="1" applyAlignment="1">
      <alignment horizontal="left" vertical="top" wrapText="1"/>
    </xf>
    <xf numFmtId="0" fontId="17" fillId="0" borderId="0" xfId="569" applyAlignment="1">
      <alignment horizontal="left" vertical="top"/>
    </xf>
    <xf numFmtId="0" fontId="24" fillId="0" borderId="4" xfId="569" applyFont="1" applyBorder="1" applyAlignment="1">
      <alignment horizontal="left" vertical="top"/>
    </xf>
    <xf numFmtId="0" fontId="35" fillId="0" borderId="0" xfId="569" applyFont="1" applyAlignment="1">
      <alignment horizontal="left"/>
    </xf>
    <xf numFmtId="4" fontId="17" fillId="0" borderId="0" xfId="569" applyNumberFormat="1" applyAlignment="1">
      <alignment horizontal="left"/>
    </xf>
    <xf numFmtId="0" fontId="17" fillId="0" borderId="0" xfId="1192" applyAlignment="1" applyProtection="1">
      <alignment horizontal="left" vertical="top" wrapText="1"/>
      <protection locked="0"/>
    </xf>
    <xf numFmtId="0" fontId="17" fillId="0" borderId="27" xfId="569" applyBorder="1" applyAlignment="1">
      <alignment horizontal="left"/>
    </xf>
    <xf numFmtId="0" fontId="17" fillId="0" borderId="0" xfId="1192" applyAlignment="1">
      <alignment horizontal="left"/>
    </xf>
    <xf numFmtId="0" fontId="24" fillId="0" borderId="16" xfId="569" applyFont="1" applyBorder="1" applyAlignment="1">
      <alignment horizontal="left"/>
    </xf>
    <xf numFmtId="0" fontId="18" fillId="0" borderId="0" xfId="244" applyAlignment="1" applyProtection="1">
      <alignment horizontal="left" vertical="top" wrapText="1"/>
    </xf>
    <xf numFmtId="0" fontId="24" fillId="0" borderId="0" xfId="569" applyFont="1" applyAlignment="1">
      <alignment horizontal="left"/>
    </xf>
    <xf numFmtId="0" fontId="35" fillId="0" borderId="0" xfId="1192" applyFont="1" applyAlignment="1">
      <alignment horizontal="left"/>
    </xf>
    <xf numFmtId="0" fontId="17" fillId="0" borderId="0" xfId="0" applyFont="1" applyAlignment="1">
      <alignment horizontal="left"/>
    </xf>
    <xf numFmtId="0" fontId="17" fillId="0" borderId="0" xfId="0" applyFont="1" applyAlignment="1">
      <alignment horizontal="left" vertical="top"/>
    </xf>
    <xf numFmtId="0" fontId="24" fillId="0" borderId="0" xfId="0" applyFont="1" applyAlignment="1">
      <alignment horizontal="left" vertical="top"/>
    </xf>
    <xf numFmtId="49" fontId="17" fillId="0" borderId="0" xfId="1192" applyNumberFormat="1" applyAlignment="1">
      <alignment horizontal="left" vertical="top" wrapText="1"/>
    </xf>
    <xf numFmtId="0" fontId="18" fillId="0" borderId="0" xfId="244" applyNumberFormat="1" applyFill="1" applyAlignment="1" applyProtection="1">
      <alignment horizontal="left"/>
    </xf>
    <xf numFmtId="0" fontId="35" fillId="0" borderId="0" xfId="569" applyFont="1" applyAlignment="1">
      <alignment horizontal="left" wrapText="1"/>
    </xf>
    <xf numFmtId="0" fontId="35" fillId="0" borderId="0" xfId="569" applyFont="1" applyAlignment="1">
      <alignment horizontal="center" wrapText="1"/>
    </xf>
    <xf numFmtId="0" fontId="17" fillId="0" borderId="0" xfId="569" applyAlignment="1">
      <alignment horizontal="left" vertical="center" wrapText="1"/>
    </xf>
    <xf numFmtId="4" fontId="17" fillId="0" borderId="0" xfId="569" applyNumberFormat="1" applyAlignment="1">
      <alignment horizontal="left" vertical="top" wrapText="1"/>
    </xf>
    <xf numFmtId="0" fontId="24" fillId="0" borderId="4" xfId="0" applyFont="1" applyBorder="1" applyAlignment="1">
      <alignment horizontal="left"/>
    </xf>
    <xf numFmtId="0" fontId="0" fillId="0" borderId="0" xfId="0" applyAlignment="1">
      <alignment horizontal="left" vertical="top" wrapText="1"/>
    </xf>
    <xf numFmtId="0" fontId="35" fillId="0" borderId="0" xfId="1192" applyFont="1" applyAlignment="1">
      <alignment horizontal="left" vertical="top" wrapText="1"/>
    </xf>
    <xf numFmtId="0" fontId="17" fillId="0" borderId="0" xfId="569" applyAlignment="1">
      <alignment vertical="top" wrapText="1"/>
    </xf>
    <xf numFmtId="0" fontId="35" fillId="0" borderId="0" xfId="0" applyFont="1" applyAlignment="1">
      <alignment horizontal="left" vertical="top" wrapText="1"/>
    </xf>
    <xf numFmtId="4" fontId="35" fillId="0" borderId="0" xfId="0" applyNumberFormat="1" applyFont="1" applyAlignment="1">
      <alignment horizontal="left" vertical="top" wrapText="1"/>
    </xf>
    <xf numFmtId="0" fontId="24" fillId="0" borderId="4" xfId="0" applyFont="1" applyBorder="1" applyAlignment="1">
      <alignment horizontal="left" vertical="top"/>
    </xf>
    <xf numFmtId="4" fontId="17" fillId="0" borderId="0" xfId="0" applyNumberFormat="1" applyFont="1" applyAlignment="1">
      <alignment horizontal="left" vertical="top" wrapText="1"/>
    </xf>
    <xf numFmtId="0" fontId="17" fillId="0" borderId="0" xfId="0" quotePrefix="1" applyFont="1" applyAlignment="1">
      <alignment horizontal="left" vertical="top"/>
    </xf>
    <xf numFmtId="0" fontId="17" fillId="0" borderId="0" xfId="0" quotePrefix="1" applyFont="1" applyAlignment="1">
      <alignment horizontal="left" vertical="top" wrapText="1"/>
    </xf>
    <xf numFmtId="0" fontId="24" fillId="0" borderId="0" xfId="1192" applyFont="1" applyAlignment="1">
      <alignment horizontal="left" vertical="top" wrapText="1"/>
    </xf>
    <xf numFmtId="4" fontId="35" fillId="0" borderId="0" xfId="569" applyNumberFormat="1" applyFont="1" applyAlignment="1">
      <alignment horizontal="left" vertical="top" wrapText="1"/>
    </xf>
    <xf numFmtId="0" fontId="18" fillId="0" borderId="0" xfId="244" quotePrefix="1" applyAlignment="1" applyProtection="1">
      <alignment horizontal="left"/>
    </xf>
    <xf numFmtId="0" fontId="35" fillId="0" borderId="0" xfId="0" applyFont="1" applyAlignment="1">
      <alignment horizontal="left"/>
    </xf>
    <xf numFmtId="4" fontId="17" fillId="0" borderId="0" xfId="0" applyNumberFormat="1" applyFont="1" applyAlignment="1">
      <alignment horizontal="left"/>
    </xf>
    <xf numFmtId="0" fontId="24" fillId="0" borderId="0" xfId="0" applyFont="1" applyAlignment="1">
      <alignment vertical="top" wrapText="1"/>
    </xf>
    <xf numFmtId="4" fontId="35" fillId="0" borderId="0" xfId="0" applyNumberFormat="1" applyFont="1" applyAlignment="1">
      <alignment horizontal="left"/>
    </xf>
    <xf numFmtId="0" fontId="17" fillId="0" borderId="0" xfId="0" applyFont="1" applyAlignment="1">
      <alignment horizontal="left" vertical="center" wrapText="1"/>
    </xf>
    <xf numFmtId="0" fontId="17" fillId="0" borderId="0" xfId="569" applyAlignment="1">
      <alignment horizontal="left" wrapText="1"/>
    </xf>
    <xf numFmtId="0" fontId="17" fillId="0" borderId="0" xfId="0" applyFont="1" applyAlignment="1">
      <alignment vertical="top" wrapText="1"/>
    </xf>
    <xf numFmtId="0" fontId="18" fillId="0" borderId="0" xfId="244" applyFill="1" applyBorder="1" applyAlignment="1">
      <alignment horizontal="left" vertical="top" wrapText="1"/>
    </xf>
    <xf numFmtId="0" fontId="35" fillId="0" borderId="0" xfId="569" applyFont="1" applyAlignment="1">
      <alignment horizontal="left" vertical="top"/>
    </xf>
    <xf numFmtId="0" fontId="35" fillId="0" borderId="0" xfId="0" applyFont="1" applyAlignment="1">
      <alignment horizontal="left" vertical="top"/>
    </xf>
    <xf numFmtId="0" fontId="26" fillId="45" borderId="3" xfId="0" applyFont="1" applyFill="1" applyBorder="1" applyAlignment="1">
      <alignment horizontal="center"/>
    </xf>
    <xf numFmtId="0" fontId="26" fillId="45" borderId="4" xfId="0" applyFont="1" applyFill="1" applyBorder="1" applyAlignment="1">
      <alignment horizontal="center"/>
    </xf>
    <xf numFmtId="0" fontId="26" fillId="45" borderId="5" xfId="0" applyFont="1" applyFill="1" applyBorder="1" applyAlignment="1">
      <alignment horizontal="center"/>
    </xf>
    <xf numFmtId="0" fontId="26" fillId="0" borderId="3" xfId="0" applyFont="1" applyBorder="1" applyAlignment="1">
      <alignment horizontal="center"/>
    </xf>
    <xf numFmtId="0" fontId="26" fillId="0" borderId="4" xfId="0" applyFont="1" applyBorder="1" applyAlignment="1">
      <alignment horizontal="center"/>
    </xf>
    <xf numFmtId="0" fontId="26"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0" fillId="0" borderId="3" xfId="0" applyFont="1" applyBorder="1" applyAlignment="1">
      <alignment horizontal="center"/>
    </xf>
    <xf numFmtId="0" fontId="40" fillId="0" borderId="4" xfId="0" applyFont="1" applyBorder="1" applyAlignment="1">
      <alignment horizontal="center"/>
    </xf>
    <xf numFmtId="0" fontId="40" fillId="0" borderId="5" xfId="0" applyFont="1" applyBorder="1" applyAlignment="1">
      <alignment horizontal="center"/>
    </xf>
    <xf numFmtId="0" fontId="17" fillId="0" borderId="3" xfId="0" applyFont="1" applyBorder="1" applyAlignment="1">
      <alignment horizontal="center"/>
    </xf>
    <xf numFmtId="0" fontId="17" fillId="0" borderId="4" xfId="0" applyFont="1" applyBorder="1" applyAlignment="1">
      <alignment horizontal="center"/>
    </xf>
    <xf numFmtId="0" fontId="17" fillId="0" borderId="5" xfId="0" applyFont="1" applyBorder="1" applyAlignment="1">
      <alignment horizontal="center"/>
    </xf>
    <xf numFmtId="0" fontId="26" fillId="45" borderId="11" xfId="0" applyFont="1" applyFill="1" applyBorder="1" applyAlignment="1">
      <alignment horizontal="center"/>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68" fontId="26" fillId="0" borderId="3" xfId="0" applyNumberFormat="1" applyFont="1" applyBorder="1" applyAlignment="1">
      <alignment horizontal="center"/>
    </xf>
    <xf numFmtId="168" fontId="26" fillId="0" borderId="4" xfId="0" applyNumberFormat="1" applyFont="1" applyBorder="1" applyAlignment="1">
      <alignment horizontal="center"/>
    </xf>
    <xf numFmtId="168" fontId="26" fillId="0" borderId="5" xfId="0" applyNumberFormat="1" applyFont="1" applyBorder="1" applyAlignment="1">
      <alignment horizontal="center"/>
    </xf>
    <xf numFmtId="165" fontId="26" fillId="0" borderId="1" xfId="0" applyNumberFormat="1" applyFont="1" applyBorder="1" applyAlignment="1">
      <alignment horizontal="right"/>
    </xf>
    <xf numFmtId="165" fontId="26" fillId="0" borderId="2" xfId="0" applyNumberFormat="1" applyFont="1" applyBorder="1" applyAlignment="1">
      <alignment horizontal="right"/>
    </xf>
    <xf numFmtId="165" fontId="26" fillId="0" borderId="7" xfId="0" applyNumberFormat="1" applyFont="1" applyBorder="1" applyAlignment="1">
      <alignment horizontal="right"/>
    </xf>
    <xf numFmtId="1" fontId="26" fillId="5" borderId="3" xfId="0" applyNumberFormat="1" applyFont="1" applyFill="1" applyBorder="1" applyAlignment="1" applyProtection="1">
      <alignment horizontal="center"/>
      <protection locked="0"/>
    </xf>
    <xf numFmtId="1" fontId="26" fillId="5" borderId="4" xfId="0" applyNumberFormat="1" applyFont="1" applyFill="1" applyBorder="1" applyAlignment="1" applyProtection="1">
      <alignment horizontal="center"/>
      <protection locked="0"/>
    </xf>
    <xf numFmtId="1" fontId="26" fillId="5" borderId="5" xfId="0" applyNumberFormat="1" applyFont="1" applyFill="1" applyBorder="1" applyAlignment="1" applyProtection="1">
      <alignment horizontal="center"/>
      <protection locked="0"/>
    </xf>
    <xf numFmtId="0" fontId="26" fillId="5" borderId="6" xfId="0"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6" fillId="2" borderId="11" xfId="0" applyFont="1" applyFill="1" applyBorder="1" applyAlignment="1">
      <alignment horizontal="center"/>
    </xf>
    <xf numFmtId="0" fontId="17" fillId="0" borderId="11" xfId="0" applyFont="1" applyBorder="1" applyAlignment="1">
      <alignment horizontal="center"/>
    </xf>
    <xf numFmtId="0" fontId="0" fillId="0" borderId="11" xfId="0" applyBorder="1" applyAlignment="1">
      <alignment horizontal="center"/>
    </xf>
    <xf numFmtId="168" fontId="17" fillId="0" borderId="3" xfId="0" applyNumberFormat="1" applyFont="1" applyBorder="1" applyAlignment="1">
      <alignment horizontal="left" vertical="top"/>
    </xf>
    <xf numFmtId="168" fontId="17" fillId="0" borderId="4" xfId="0" applyNumberFormat="1" applyFont="1" applyBorder="1" applyAlignment="1">
      <alignment horizontal="left" vertical="top"/>
    </xf>
    <xf numFmtId="168" fontId="17" fillId="0" borderId="5" xfId="0" applyNumberFormat="1" applyFont="1" applyBorder="1" applyAlignment="1">
      <alignment horizontal="left" vertical="top"/>
    </xf>
    <xf numFmtId="1" fontId="26" fillId="5" borderId="3" xfId="0" applyNumberFormat="1" applyFont="1" applyFill="1" applyBorder="1" applyAlignment="1" applyProtection="1">
      <alignment horizontal="right" vertical="top"/>
      <protection locked="0"/>
    </xf>
    <xf numFmtId="1" fontId="26" fillId="5" borderId="4" xfId="0" applyNumberFormat="1" applyFont="1" applyFill="1" applyBorder="1" applyAlignment="1" applyProtection="1">
      <alignment horizontal="right" vertical="top"/>
      <protection locked="0"/>
    </xf>
    <xf numFmtId="1" fontId="26" fillId="5" borderId="5" xfId="0" applyNumberFormat="1" applyFont="1" applyFill="1" applyBorder="1" applyAlignment="1" applyProtection="1">
      <alignment horizontal="right" vertical="top"/>
      <protection locked="0"/>
    </xf>
    <xf numFmtId="0" fontId="24" fillId="0" borderId="1" xfId="0" applyFont="1" applyBorder="1" applyAlignment="1">
      <alignment horizontal="center" vertical="center" wrapText="1"/>
    </xf>
    <xf numFmtId="0" fontId="24" fillId="0" borderId="2" xfId="0" applyFont="1" applyBorder="1" applyAlignment="1">
      <alignment horizontal="center" vertical="center" wrapText="1"/>
    </xf>
    <xf numFmtId="0" fontId="24" fillId="0" borderId="7" xfId="0" applyFont="1" applyBorder="1" applyAlignment="1">
      <alignment horizontal="center" vertical="center" wrapText="1"/>
    </xf>
    <xf numFmtId="0" fontId="24" fillId="0" borderId="8" xfId="0" applyFont="1" applyBorder="1" applyAlignment="1">
      <alignment horizontal="center" vertical="center" wrapText="1"/>
    </xf>
    <xf numFmtId="0" fontId="24" fillId="0" borderId="0" xfId="0" applyFont="1" applyAlignment="1">
      <alignment horizontal="center" vertical="center" wrapText="1"/>
    </xf>
    <xf numFmtId="0" fontId="24" fillId="0" borderId="12" xfId="0" applyFont="1" applyBorder="1" applyAlignment="1">
      <alignment horizontal="center" vertical="center" wrapText="1"/>
    </xf>
    <xf numFmtId="0" fontId="24" fillId="0" borderId="9" xfId="0" applyFont="1" applyBorder="1" applyAlignment="1">
      <alignment horizontal="center" vertical="center" wrapText="1"/>
    </xf>
    <xf numFmtId="0" fontId="24" fillId="0" borderId="6" xfId="0" applyFont="1" applyBorder="1" applyAlignment="1">
      <alignment horizontal="center" vertical="center" wrapText="1"/>
    </xf>
    <xf numFmtId="0" fontId="24" fillId="0" borderId="10" xfId="0" applyFont="1" applyBorder="1" applyAlignment="1">
      <alignment horizontal="center" vertical="center" wrapText="1"/>
    </xf>
    <xf numFmtId="168" fontId="26" fillId="0" borderId="3" xfId="0" applyNumberFormat="1" applyFont="1" applyBorder="1" applyAlignment="1">
      <alignment horizontal="left" vertical="top"/>
    </xf>
    <xf numFmtId="168" fontId="26" fillId="0" borderId="4" xfId="0" applyNumberFormat="1" applyFont="1" applyBorder="1" applyAlignment="1">
      <alignment horizontal="left" vertical="top"/>
    </xf>
    <xf numFmtId="168" fontId="26" fillId="0" borderId="5" xfId="0" applyNumberFormat="1" applyFont="1" applyBorder="1" applyAlignment="1">
      <alignment horizontal="left" vertical="top"/>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26" fillId="5" borderId="4" xfId="0" applyFont="1" applyFill="1" applyBorder="1" applyAlignment="1" applyProtection="1">
      <alignment horizontal="left"/>
      <protection locked="0"/>
    </xf>
    <xf numFmtId="0" fontId="17" fillId="0" borderId="11" xfId="543" applyBorder="1" applyAlignment="1">
      <alignment horizontal="center"/>
    </xf>
    <xf numFmtId="0" fontId="0" fillId="5" borderId="6" xfId="0" applyFill="1" applyBorder="1" applyAlignment="1" applyProtection="1">
      <alignment horizontal="left"/>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6" fillId="5" borderId="9" xfId="0" applyFont="1" applyFill="1" applyBorder="1" applyAlignment="1" applyProtection="1">
      <alignment horizontal="center"/>
      <protection locked="0"/>
    </xf>
    <xf numFmtId="168" fontId="17" fillId="43" borderId="3" xfId="0" applyNumberFormat="1" applyFont="1" applyFill="1" applyBorder="1" applyAlignment="1" applyProtection="1">
      <alignment horizontal="center" vertical="center"/>
      <protection locked="0"/>
    </xf>
    <xf numFmtId="168" fontId="17" fillId="43" borderId="4" xfId="0" applyNumberFormat="1" applyFont="1" applyFill="1" applyBorder="1" applyAlignment="1" applyProtection="1">
      <alignment horizontal="center" vertical="center"/>
      <protection locked="0"/>
    </xf>
    <xf numFmtId="168" fontId="17" fillId="43" borderId="5" xfId="0" applyNumberFormat="1" applyFont="1" applyFill="1" applyBorder="1" applyAlignment="1" applyProtection="1">
      <alignment horizontal="center" vertical="center"/>
      <protection locked="0"/>
    </xf>
    <xf numFmtId="175" fontId="17" fillId="43" borderId="3" xfId="0" applyNumberFormat="1" applyFont="1" applyFill="1" applyBorder="1" applyAlignment="1" applyProtection="1">
      <alignment horizontal="center" vertical="center"/>
      <protection locked="0"/>
    </xf>
    <xf numFmtId="175" fontId="17" fillId="43" borderId="4" xfId="0" applyNumberFormat="1" applyFont="1" applyFill="1" applyBorder="1" applyAlignment="1" applyProtection="1">
      <alignment horizontal="center" vertical="center"/>
      <protection locked="0"/>
    </xf>
    <xf numFmtId="175" fontId="17" fillId="43" borderId="5" xfId="0" applyNumberFormat="1" applyFont="1" applyFill="1" applyBorder="1" applyAlignment="1" applyProtection="1">
      <alignment horizontal="center" vertical="center"/>
      <protection locked="0"/>
    </xf>
    <xf numFmtId="0" fontId="0" fillId="0" borderId="0" xfId="0" applyAlignment="1">
      <alignment horizontal="center"/>
    </xf>
    <xf numFmtId="0" fontId="0" fillId="0" borderId="12" xfId="0" applyBorder="1" applyAlignment="1">
      <alignment horizontal="center"/>
    </xf>
    <xf numFmtId="0" fontId="24" fillId="0" borderId="3" xfId="0" applyFont="1" applyBorder="1" applyAlignment="1">
      <alignment horizontal="right"/>
    </xf>
    <xf numFmtId="0" fontId="24" fillId="0" borderId="4" xfId="0" applyFont="1" applyBorder="1" applyAlignment="1">
      <alignment horizontal="right"/>
    </xf>
    <xf numFmtId="0" fontId="24" fillId="0" borderId="6" xfId="0" applyFont="1" applyBorder="1" applyAlignment="1">
      <alignment horizontal="right"/>
    </xf>
    <xf numFmtId="0" fontId="24" fillId="0" borderId="5" xfId="0" applyFont="1" applyBorder="1" applyAlignment="1">
      <alignment horizontal="right"/>
    </xf>
    <xf numFmtId="180" fontId="25" fillId="43" borderId="3" xfId="0" applyNumberFormat="1" applyFont="1" applyFill="1" applyBorder="1" applyAlignment="1" applyProtection="1">
      <alignment horizontal="center" vertical="center"/>
      <protection locked="0"/>
    </xf>
    <xf numFmtId="180" fontId="25" fillId="43" borderId="4" xfId="0" applyNumberFormat="1" applyFont="1" applyFill="1" applyBorder="1" applyAlignment="1" applyProtection="1">
      <alignment horizontal="center" vertical="center"/>
      <protection locked="0"/>
    </xf>
    <xf numFmtId="180" fontId="25"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6" fillId="0" borderId="11" xfId="0" applyNumberFormat="1" applyFont="1" applyBorder="1" applyAlignment="1">
      <alignment horizontal="center"/>
    </xf>
    <xf numFmtId="168" fontId="156" fillId="0" borderId="0" xfId="0" applyNumberFormat="1" applyFont="1" applyAlignment="1">
      <alignment horizontal="center" vertical="center" wrapText="1"/>
    </xf>
    <xf numFmtId="0" fontId="17"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6" fillId="5" borderId="11" xfId="0" applyFont="1" applyFill="1" applyBorder="1" applyAlignment="1" applyProtection="1">
      <alignment horizontal="center"/>
      <protection locked="0"/>
    </xf>
    <xf numFmtId="0" fontId="24" fillId="0" borderId="3" xfId="0" applyFont="1" applyBorder="1" applyAlignment="1">
      <alignment horizontal="center"/>
    </xf>
    <xf numFmtId="0" fontId="24" fillId="0" borderId="4" xfId="0" applyFont="1" applyBorder="1" applyAlignment="1">
      <alignment horizontal="center"/>
    </xf>
    <xf numFmtId="0" fontId="24" fillId="0" borderId="5" xfId="0" applyFont="1" applyBorder="1" applyAlignment="1">
      <alignment horizontal="center"/>
    </xf>
    <xf numFmtId="1" fontId="26" fillId="5" borderId="11" xfId="0" quotePrefix="1" applyNumberFormat="1" applyFont="1" applyFill="1" applyBorder="1" applyAlignment="1" applyProtection="1">
      <alignment horizontal="center"/>
      <protection locked="0"/>
    </xf>
    <xf numFmtId="1" fontId="26" fillId="5" borderId="11" xfId="0" applyNumberFormat="1"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3" fontId="26" fillId="5" borderId="11" xfId="0" applyNumberFormat="1" applyFont="1" applyFill="1" applyBorder="1" applyAlignment="1" applyProtection="1">
      <alignment horizontal="center"/>
      <protection locked="0"/>
    </xf>
    <xf numFmtId="10" fontId="26" fillId="0" borderId="11" xfId="0" applyNumberFormat="1" applyFont="1" applyBorder="1" applyAlignment="1">
      <alignment horizontal="center"/>
    </xf>
    <xf numFmtId="0" fontId="17" fillId="0" borderId="3" xfId="0" applyFont="1" applyBorder="1" applyAlignment="1">
      <alignment horizontal="left"/>
    </xf>
    <xf numFmtId="0" fontId="17" fillId="0" borderId="4" xfId="0" applyFont="1" applyBorder="1" applyAlignment="1">
      <alignment horizontal="left"/>
    </xf>
    <xf numFmtId="0" fontId="17" fillId="0" borderId="5" xfId="0" applyFont="1" applyBorder="1" applyAlignment="1">
      <alignment horizontal="lef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5" fontId="26" fillId="5" borderId="3" xfId="0" applyNumberFormat="1" applyFont="1" applyFill="1" applyBorder="1" applyAlignment="1" applyProtection="1">
      <alignment horizontal="center"/>
      <protection locked="0"/>
    </xf>
    <xf numFmtId="165" fontId="26" fillId="5" borderId="4" xfId="0" applyNumberFormat="1" applyFont="1" applyFill="1" applyBorder="1" applyAlignment="1" applyProtection="1">
      <alignment horizontal="center"/>
      <protection locked="0"/>
    </xf>
    <xf numFmtId="165" fontId="26" fillId="5" borderId="5" xfId="0" applyNumberFormat="1" applyFont="1" applyFill="1" applyBorder="1" applyAlignment="1" applyProtection="1">
      <alignment horizontal="center"/>
      <protection locked="0"/>
    </xf>
    <xf numFmtId="0" fontId="17"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75" fontId="0" fillId="5" borderId="4" xfId="0" applyNumberFormat="1" applyFill="1" applyBorder="1" applyAlignment="1" applyProtection="1">
      <alignment horizontal="left" vertical="center" wrapText="1"/>
      <protection locked="0"/>
    </xf>
    <xf numFmtId="0" fontId="24" fillId="0" borderId="6" xfId="0" applyFont="1" applyBorder="1" applyAlignment="1">
      <alignment horizontal="center"/>
    </xf>
    <xf numFmtId="0" fontId="24" fillId="0" borderId="10" xfId="0" applyFont="1" applyBorder="1" applyAlignment="1">
      <alignment horizontal="center"/>
    </xf>
    <xf numFmtId="0" fontId="0" fillId="43" borderId="10" xfId="0" applyFill="1" applyBorder="1" applyAlignment="1" applyProtection="1">
      <alignment horizontal="left"/>
      <protection locked="0"/>
    </xf>
    <xf numFmtId="0" fontId="17" fillId="5" borderId="3" xfId="0" applyFont="1" applyFill="1" applyBorder="1" applyAlignment="1" applyProtection="1">
      <alignment horizontal="left"/>
      <protection locked="0"/>
    </xf>
    <xf numFmtId="0" fontId="0" fillId="0" borderId="4" xfId="0" applyBorder="1" applyAlignment="1">
      <alignment horizontal="left"/>
    </xf>
    <xf numFmtId="0" fontId="0" fillId="0" borderId="5" xfId="0" applyBorder="1" applyAlignment="1">
      <alignment horizontal="left"/>
    </xf>
    <xf numFmtId="175" fontId="17" fillId="43" borderId="3" xfId="0" applyNumberFormat="1" applyFont="1" applyFill="1" applyBorder="1" applyAlignment="1" applyProtection="1">
      <alignment horizontal="center"/>
      <protection locked="0"/>
    </xf>
    <xf numFmtId="175" fontId="17" fillId="43" borderId="4" xfId="0" applyNumberFormat="1" applyFont="1" applyFill="1" applyBorder="1" applyAlignment="1" applyProtection="1">
      <alignment horizontal="center"/>
      <protection locked="0"/>
    </xf>
    <xf numFmtId="175" fontId="17" fillId="43" borderId="5" xfId="0" applyNumberFormat="1" applyFont="1" applyFill="1" applyBorder="1" applyAlignment="1" applyProtection="1">
      <alignment horizontal="center"/>
      <protection locked="0"/>
    </xf>
    <xf numFmtId="0" fontId="17" fillId="5" borderId="11" xfId="0" applyFont="1" applyFill="1" applyBorder="1" applyAlignment="1" applyProtection="1">
      <alignment horizontal="left" vertical="center" wrapText="1"/>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6" fillId="5" borderId="4" xfId="0" applyFont="1" applyFill="1" applyBorder="1" applyAlignment="1" applyProtection="1">
      <alignment wrapText="1"/>
      <protection locked="0"/>
    </xf>
    <xf numFmtId="166" fontId="17" fillId="5" borderId="4" xfId="0" applyNumberFormat="1" applyFont="1" applyFill="1" applyBorder="1" applyAlignment="1" applyProtection="1">
      <alignment horizontal="left"/>
      <protection locked="0"/>
    </xf>
    <xf numFmtId="166" fontId="26" fillId="5" borderId="4" xfId="0" applyNumberFormat="1" applyFont="1" applyFill="1" applyBorder="1" applyAlignment="1" applyProtection="1">
      <alignment horizontal="left"/>
      <protection locked="0"/>
    </xf>
    <xf numFmtId="0" fontId="17" fillId="5" borderId="11" xfId="0" applyFont="1" applyFill="1" applyBorder="1" applyAlignment="1" applyProtection="1">
      <alignment vertical="center" wrapText="1"/>
      <protection locked="0"/>
    </xf>
    <xf numFmtId="0" fontId="17" fillId="0" borderId="3" xfId="543" applyBorder="1" applyAlignment="1">
      <alignment horizontal="center"/>
    </xf>
    <xf numFmtId="0" fontId="17" fillId="0" borderId="4" xfId="543" applyBorder="1" applyAlignment="1">
      <alignment horizontal="center"/>
    </xf>
    <xf numFmtId="0" fontId="17" fillId="0" borderId="5" xfId="543" applyBorder="1" applyAlignment="1">
      <alignment horizontal="center"/>
    </xf>
    <xf numFmtId="0" fontId="17" fillId="0" borderId="1" xfId="0" applyFont="1" applyBorder="1" applyAlignment="1">
      <alignment horizontal="center" vertical="top" wrapText="1"/>
    </xf>
    <xf numFmtId="0" fontId="26" fillId="0" borderId="2" xfId="0" applyFont="1" applyBorder="1" applyAlignment="1">
      <alignment horizontal="center" vertical="top" wrapText="1"/>
    </xf>
    <xf numFmtId="0" fontId="26" fillId="0" borderId="7" xfId="0" applyFont="1" applyBorder="1" applyAlignment="1">
      <alignment horizontal="center" vertical="top" wrapText="1"/>
    </xf>
    <xf numFmtId="0" fontId="26" fillId="0" borderId="8" xfId="0" applyFont="1" applyBorder="1" applyAlignment="1">
      <alignment horizontal="center" vertical="top" wrapText="1"/>
    </xf>
    <xf numFmtId="0" fontId="26" fillId="0" borderId="0" xfId="0" applyFont="1" applyAlignment="1">
      <alignment horizontal="center" vertical="top" wrapText="1"/>
    </xf>
    <xf numFmtId="0" fontId="26" fillId="0" borderId="12" xfId="0" applyFont="1" applyBorder="1" applyAlignment="1">
      <alignment horizontal="center" vertical="top" wrapText="1"/>
    </xf>
    <xf numFmtId="0" fontId="26" fillId="0" borderId="9" xfId="0" applyFont="1" applyBorder="1" applyAlignment="1">
      <alignment horizontal="center" vertical="top" wrapText="1"/>
    </xf>
    <xf numFmtId="0" fontId="26" fillId="0" borderId="6" xfId="0" applyFont="1" applyBorder="1" applyAlignment="1">
      <alignment horizontal="center" vertical="top" wrapText="1"/>
    </xf>
    <xf numFmtId="0" fontId="26" fillId="0" borderId="10" xfId="0" applyFont="1" applyBorder="1" applyAlignment="1">
      <alignment horizontal="center" vertical="top" wrapText="1"/>
    </xf>
    <xf numFmtId="0" fontId="0" fillId="0" borderId="6" xfId="0" applyBorder="1" applyAlignment="1">
      <alignment horizontal="left"/>
    </xf>
    <xf numFmtId="168" fontId="26" fillId="5" borderId="3" xfId="0" applyNumberFormat="1" applyFont="1" applyFill="1" applyBorder="1" applyAlignment="1" applyProtection="1">
      <alignment horizontal="center"/>
      <protection locked="0"/>
    </xf>
    <xf numFmtId="168" fontId="26" fillId="5" borderId="4" xfId="0" applyNumberFormat="1" applyFont="1" applyFill="1" applyBorder="1" applyAlignment="1" applyProtection="1">
      <alignment horizontal="center"/>
      <protection locked="0"/>
    </xf>
    <xf numFmtId="168" fontId="26" fillId="5" borderId="5" xfId="0" applyNumberFormat="1" applyFont="1" applyFill="1" applyBorder="1" applyAlignment="1" applyProtection="1">
      <alignment horizontal="center"/>
      <protection locked="0"/>
    </xf>
    <xf numFmtId="0" fontId="17" fillId="5" borderId="4" xfId="0" applyFont="1" applyFill="1" applyBorder="1" applyAlignment="1" applyProtection="1">
      <alignment wrapText="1"/>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7" fillId="5" borderId="6" xfId="0"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7" fillId="5" borderId="4" xfId="0" applyFont="1" applyFill="1" applyBorder="1" applyAlignment="1" applyProtection="1">
      <alignment horizontal="left"/>
      <protection locked="0"/>
    </xf>
    <xf numFmtId="14" fontId="0" fillId="5" borderId="4" xfId="0" applyNumberFormat="1" applyFill="1" applyBorder="1" applyAlignment="1" applyProtection="1">
      <alignment horizontal="center"/>
      <protection locked="0"/>
    </xf>
    <xf numFmtId="0" fontId="26" fillId="0" borderId="1" xfId="0" applyFont="1" applyBorder="1" applyAlignment="1">
      <alignment horizontal="center" vertical="top" wrapText="1"/>
    </xf>
    <xf numFmtId="0" fontId="26" fillId="0" borderId="0" xfId="0" applyFont="1" applyAlignment="1">
      <alignment horizontal="left" vertical="top" wrapText="1"/>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1" fontId="26" fillId="5" borderId="6" xfId="0" applyNumberFormat="1" applyFont="1" applyFill="1" applyBorder="1" applyAlignment="1" applyProtection="1">
      <alignment horizontal="right"/>
      <protection locked="0"/>
    </xf>
    <xf numFmtId="168" fontId="26" fillId="5" borderId="6" xfId="0" applyNumberFormat="1" applyFont="1" applyFill="1" applyBorder="1" applyAlignment="1" applyProtection="1">
      <alignment horizontal="right"/>
      <protection locked="0"/>
    </xf>
    <xf numFmtId="0" fontId="36" fillId="5" borderId="6"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0" fontId="0" fillId="0" borderId="3" xfId="0" applyBorder="1" applyAlignment="1">
      <alignment horizontal="left"/>
    </xf>
    <xf numFmtId="0" fontId="0" fillId="0" borderId="6" xfId="0" applyBorder="1" applyAlignment="1" applyProtection="1">
      <alignment horizontal="center"/>
      <protection locked="0"/>
    </xf>
    <xf numFmtId="3" fontId="26" fillId="0" borderId="11" xfId="0" applyNumberFormat="1" applyFont="1" applyBorder="1" applyAlignment="1">
      <alignment horizontal="center"/>
    </xf>
    <xf numFmtId="168" fontId="0" fillId="5" borderId="6" xfId="0" applyNumberFormat="1" applyFill="1" applyBorder="1" applyAlignment="1" applyProtection="1">
      <alignment horizontal="right"/>
      <protection locked="0"/>
    </xf>
    <xf numFmtId="166" fontId="26" fillId="5" borderId="6" xfId="0" applyNumberFormat="1"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78" fontId="26" fillId="5" borderId="4" xfId="0" applyNumberFormat="1" applyFont="1" applyFill="1" applyBorder="1" applyAlignment="1" applyProtection="1">
      <alignment horizontal="right"/>
      <protection locked="0"/>
    </xf>
    <xf numFmtId="0" fontId="25" fillId="43" borderId="6" xfId="0" applyFont="1" applyFill="1" applyBorder="1" applyAlignment="1" applyProtection="1">
      <alignment horizontal="left"/>
      <protection locked="0"/>
    </xf>
    <xf numFmtId="0" fontId="26" fillId="5" borderId="6" xfId="0" applyFon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0" fontId="17" fillId="5" borderId="0" xfId="0" applyFont="1" applyFill="1" applyAlignment="1" applyProtection="1">
      <alignment horizontal="left" vertical="top" wrapText="1"/>
      <protection locked="0"/>
    </xf>
    <xf numFmtId="0" fontId="26" fillId="5" borderId="0" xfId="0" applyFont="1" applyFill="1" applyAlignment="1" applyProtection="1">
      <alignment horizontal="left" vertical="top" wrapText="1"/>
      <protection locked="0"/>
    </xf>
    <xf numFmtId="0" fontId="26"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3" fontId="0" fillId="0" borderId="6" xfId="0" applyNumberFormat="1" applyBorder="1" applyAlignment="1">
      <alignment horizontal="right"/>
    </xf>
    <xf numFmtId="0" fontId="17" fillId="43" borderId="4" xfId="0" applyFont="1" applyFill="1" applyBorder="1" applyAlignment="1" applyProtection="1">
      <alignment horizontal="left" wrapText="1"/>
      <protection locked="0"/>
    </xf>
    <xf numFmtId="0" fontId="17" fillId="5" borderId="4" xfId="0" applyFont="1" applyFill="1" applyBorder="1" applyAlignment="1" applyProtection="1">
      <alignment horizontal="right"/>
      <protection locked="0"/>
    </xf>
    <xf numFmtId="0" fontId="26" fillId="5" borderId="4" xfId="0" applyFont="1" applyFill="1" applyBorder="1" applyAlignment="1" applyProtection="1">
      <alignment horizontal="right"/>
      <protection locked="0"/>
    </xf>
    <xf numFmtId="168" fontId="26" fillId="5" borderId="4" xfId="0" applyNumberFormat="1" applyFont="1" applyFill="1" applyBorder="1" applyAlignment="1" applyProtection="1">
      <alignment horizontal="right"/>
      <protection locked="0"/>
    </xf>
    <xf numFmtId="0" fontId="0" fillId="0" borderId="0" xfId="0" applyAlignment="1">
      <alignment vertical="top" wrapText="1"/>
    </xf>
    <xf numFmtId="0" fontId="17" fillId="5" borderId="6" xfId="0" applyFont="1" applyFill="1" applyBorder="1" applyAlignment="1" applyProtection="1">
      <alignment horizontal="left" wrapText="1"/>
      <protection locked="0"/>
    </xf>
    <xf numFmtId="0" fontId="26" fillId="5" borderId="6" xfId="0" applyFont="1" applyFill="1" applyBorder="1" applyAlignment="1" applyProtection="1">
      <alignment horizontal="left" wrapText="1"/>
      <protection locked="0"/>
    </xf>
    <xf numFmtId="0" fontId="17" fillId="5" borderId="6" xfId="244" applyFont="1" applyFill="1" applyBorder="1" applyAlignment="1" applyProtection="1">
      <alignment horizontal="left"/>
      <protection locked="0"/>
    </xf>
    <xf numFmtId="0" fontId="0" fillId="5" borderId="6" xfId="0" applyFill="1" applyBorder="1" applyProtection="1">
      <protection locked="0"/>
    </xf>
    <xf numFmtId="0" fontId="17" fillId="0" borderId="4" xfId="0" applyFont="1" applyBorder="1" applyAlignment="1" applyProtection="1">
      <alignment horizontal="left"/>
      <protection locked="0"/>
    </xf>
    <xf numFmtId="0" fontId="26" fillId="0" borderId="4" xfId="0" applyFont="1" applyBorder="1" applyAlignment="1" applyProtection="1">
      <alignment horizontal="left"/>
      <protection locked="0"/>
    </xf>
    <xf numFmtId="0" fontId="17" fillId="43" borderId="6" xfId="0" applyFont="1" applyFill="1" applyBorder="1" applyAlignment="1" applyProtection="1">
      <alignment vertical="center"/>
      <protection locked="0"/>
    </xf>
    <xf numFmtId="0" fontId="23" fillId="3" borderId="0" xfId="0" applyFont="1" applyFill="1" applyAlignment="1">
      <alignment horizontal="center" vertical="center"/>
    </xf>
    <xf numFmtId="0" fontId="17" fillId="0" borderId="0" xfId="0" applyFont="1" applyAlignment="1">
      <alignment wrapText="1"/>
    </xf>
    <xf numFmtId="0" fontId="26" fillId="43" borderId="6" xfId="0" applyFont="1" applyFill="1" applyBorder="1" applyAlignment="1" applyProtection="1">
      <alignment horizontal="left"/>
      <protection locked="0"/>
    </xf>
    <xf numFmtId="0" fontId="17" fillId="0" borderId="6" xfId="0" applyFont="1" applyBorder="1" applyAlignment="1">
      <alignment horizontal="left"/>
    </xf>
    <xf numFmtId="0" fontId="0" fillId="0" borderId="0" xfId="0" applyAlignment="1">
      <alignment wrapText="1"/>
    </xf>
    <xf numFmtId="0" fontId="153" fillId="0" borderId="0" xfId="0" applyFont="1" applyAlignment="1" applyProtection="1">
      <alignment horizontal="left" vertical="top" wrapText="1"/>
      <protection locked="0"/>
    </xf>
    <xf numFmtId="0" fontId="17" fillId="0" borderId="6" xfId="0" applyFont="1" applyBorder="1" applyAlignment="1" applyProtection="1">
      <alignment horizontal="center"/>
      <protection locked="0"/>
    </xf>
    <xf numFmtId="0" fontId="17" fillId="0" borderId="6" xfId="0" applyFont="1" applyBorder="1" applyAlignment="1" applyProtection="1">
      <alignment horizontal="left"/>
      <protection locked="0"/>
    </xf>
    <xf numFmtId="0" fontId="18" fillId="0" borderId="0" xfId="244" applyFill="1" applyAlignment="1" applyProtection="1">
      <alignment horizontal="left"/>
      <protection locked="0"/>
    </xf>
    <xf numFmtId="168" fontId="17" fillId="0" borderId="6" xfId="0" applyNumberFormat="1" applyFont="1" applyBorder="1" applyAlignment="1">
      <alignment horizontal="center"/>
    </xf>
    <xf numFmtId="168" fontId="0" fillId="0" borderId="6" xfId="0" applyNumberFormat="1" applyBorder="1" applyAlignment="1">
      <alignment horizontal="center"/>
    </xf>
    <xf numFmtId="166" fontId="17" fillId="5" borderId="6"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7" fillId="5" borderId="0" xfId="244" applyFont="1" applyFill="1" applyBorder="1" applyAlignment="1" applyProtection="1">
      <alignment horizontal="left"/>
      <protection locked="0"/>
    </xf>
    <xf numFmtId="0" fontId="17"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6"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7" fillId="0" borderId="0" xfId="0" applyFont="1" applyAlignment="1" applyProtection="1">
      <alignment horizontal="left"/>
      <protection locked="0"/>
    </xf>
    <xf numFmtId="9" fontId="25" fillId="0" borderId="3" xfId="4494" applyFont="1" applyBorder="1" applyAlignment="1" applyProtection="1">
      <alignment horizontal="center"/>
    </xf>
    <xf numFmtId="9" fontId="25" fillId="0" borderId="5" xfId="4494" applyFont="1" applyBorder="1" applyAlignment="1" applyProtection="1">
      <alignment horizontal="center"/>
    </xf>
    <xf numFmtId="0" fontId="0" fillId="43" borderId="6" xfId="0" applyFill="1" applyBorder="1" applyAlignment="1" applyProtection="1">
      <alignment horizontal="center"/>
      <protection locked="0"/>
    </xf>
    <xf numFmtId="166" fontId="17" fillId="5" borderId="6" xfId="271" applyNumberFormat="1" applyFont="1" applyFill="1" applyBorder="1" applyAlignment="1" applyProtection="1">
      <alignment horizontal="left"/>
      <protection locked="0"/>
    </xf>
    <xf numFmtId="166" fontId="26" fillId="5" borderId="6" xfId="271" applyNumberFormat="1" applyFill="1" applyBorder="1" applyAlignment="1" applyProtection="1">
      <alignment horizontal="left"/>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66" fontId="17" fillId="5" borderId="4" xfId="271" applyNumberFormat="1" applyFont="1" applyFill="1" applyBorder="1" applyAlignment="1" applyProtection="1">
      <alignment horizontal="left"/>
      <protection locked="0"/>
    </xf>
    <xf numFmtId="166" fontId="26" fillId="5" borderId="4" xfId="271" applyNumberFormat="1" applyFill="1" applyBorder="1" applyAlignment="1" applyProtection="1">
      <alignment horizontal="left"/>
      <protection locked="0"/>
    </xf>
    <xf numFmtId="0" fontId="26" fillId="0" borderId="6" xfId="0" applyFont="1" applyBorder="1" applyAlignment="1">
      <alignment horizontal="left"/>
    </xf>
    <xf numFmtId="0" fontId="17" fillId="0" borderId="3" xfId="271" applyFont="1" applyBorder="1" applyAlignment="1">
      <alignment horizontal="left"/>
    </xf>
    <xf numFmtId="0" fontId="17" fillId="0" borderId="4" xfId="271" applyFont="1" applyBorder="1" applyAlignment="1">
      <alignment horizontal="left"/>
    </xf>
    <xf numFmtId="0" fontId="17" fillId="0" borderId="5" xfId="271" applyFont="1" applyBorder="1" applyAlignment="1">
      <alignment horizontal="left"/>
    </xf>
    <xf numFmtId="0" fontId="17" fillId="5" borderId="6" xfId="0"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14" fontId="26" fillId="5" borderId="4" xfId="0" applyNumberFormat="1" applyFont="1" applyFill="1" applyBorder="1" applyAlignment="1" applyProtection="1">
      <alignment horizontal="righ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3" fillId="0" borderId="2" xfId="0" applyNumberFormat="1" applyFont="1" applyBorder="1" applyAlignment="1">
      <alignment horizontal="left" vertical="top" wrapText="1"/>
    </xf>
    <xf numFmtId="168" fontId="53"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0" fontId="26" fillId="5" borderId="4" xfId="0" applyNumberFormat="1" applyFont="1" applyFill="1" applyBorder="1" applyAlignment="1" applyProtection="1">
      <alignment horizontal="right"/>
      <protection locked="0"/>
    </xf>
    <xf numFmtId="0" fontId="25"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54" fillId="0" borderId="1" xfId="0" applyFont="1" applyBorder="1" applyAlignment="1">
      <alignment horizontal="center" vertical="center" wrapText="1"/>
    </xf>
    <xf numFmtId="0" fontId="54" fillId="0" borderId="2" xfId="0" applyFont="1" applyBorder="1" applyAlignment="1">
      <alignment horizontal="center" vertical="center" wrapText="1"/>
    </xf>
    <xf numFmtId="0" fontId="54" fillId="0" borderId="7" xfId="0" applyFont="1" applyBorder="1" applyAlignment="1">
      <alignment horizontal="center" vertical="center" wrapText="1"/>
    </xf>
    <xf numFmtId="0" fontId="54" fillId="0" borderId="8" xfId="0" applyFont="1" applyBorder="1" applyAlignment="1">
      <alignment horizontal="center" vertical="center" wrapText="1"/>
    </xf>
    <xf numFmtId="0" fontId="54" fillId="0" borderId="0" xfId="0" applyFont="1" applyAlignment="1">
      <alignment horizontal="center" vertical="center" wrapText="1"/>
    </xf>
    <xf numFmtId="0" fontId="54" fillId="0" borderId="12" xfId="0" applyFont="1" applyBorder="1" applyAlignment="1">
      <alignment horizontal="center" vertical="center" wrapText="1"/>
    </xf>
    <xf numFmtId="0" fontId="54" fillId="0" borderId="9" xfId="0" applyFont="1" applyBorder="1" applyAlignment="1">
      <alignment horizontal="center" vertical="center" wrapText="1"/>
    </xf>
    <xf numFmtId="0" fontId="54" fillId="0" borderId="6" xfId="0" applyFont="1" applyBorder="1" applyAlignment="1">
      <alignment horizontal="center" vertical="center" wrapText="1"/>
    </xf>
    <xf numFmtId="0" fontId="54" fillId="0" borderId="10" xfId="0" applyFont="1" applyBorder="1" applyAlignment="1">
      <alignment horizontal="center" vertical="center" wrapText="1"/>
    </xf>
    <xf numFmtId="168" fontId="26" fillId="5" borderId="3" xfId="0" applyNumberFormat="1" applyFont="1" applyFill="1" applyBorder="1" applyAlignment="1" applyProtection="1">
      <alignment horizontal="left" vertical="top"/>
      <protection locked="0"/>
    </xf>
    <xf numFmtId="168" fontId="26" fillId="5" borderId="4" xfId="0" applyNumberFormat="1" applyFont="1" applyFill="1" applyBorder="1" applyAlignment="1" applyProtection="1">
      <alignment horizontal="left" vertical="top"/>
      <protection locked="0"/>
    </xf>
    <xf numFmtId="168" fontId="26" fillId="5" borderId="5" xfId="0" applyNumberFormat="1" applyFont="1" applyFill="1" applyBorder="1" applyAlignment="1" applyProtection="1">
      <alignment horizontal="left" vertical="top"/>
      <protection locked="0"/>
    </xf>
    <xf numFmtId="168" fontId="0" fillId="5" borderId="11" xfId="0" applyNumberFormat="1" applyFill="1" applyBorder="1" applyAlignment="1" applyProtection="1">
      <alignment horizontal="center"/>
      <protection locked="0"/>
    </xf>
    <xf numFmtId="0" fontId="17" fillId="5" borderId="11" xfId="0" applyFont="1" applyFill="1" applyBorder="1" applyAlignment="1" applyProtection="1">
      <alignment horizontal="left" wrapText="1"/>
      <protection locked="0"/>
    </xf>
    <xf numFmtId="172" fontId="24" fillId="0" borderId="11" xfId="0" applyNumberFormat="1" applyFont="1" applyBorder="1" applyAlignment="1">
      <alignment horizontal="center" vertical="center" wrapText="1"/>
    </xf>
    <xf numFmtId="0" fontId="17"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0" fillId="0" borderId="11" xfId="0" applyNumberFormat="1" applyBorder="1" applyAlignment="1">
      <alignment horizontal="right"/>
    </xf>
    <xf numFmtId="0" fontId="26" fillId="0" borderId="11" xfId="0" applyFont="1" applyBorder="1" applyAlignment="1">
      <alignment horizontal="center" vertical="top" wrapText="1"/>
    </xf>
    <xf numFmtId="0" fontId="0" fillId="0" borderId="9" xfId="0"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17"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6" fillId="5" borderId="3" xfId="0" applyNumberFormat="1" applyFont="1" applyFill="1" applyBorder="1" applyAlignment="1" applyProtection="1">
      <alignment horizontal="center"/>
      <protection locked="0"/>
    </xf>
    <xf numFmtId="9" fontId="26" fillId="5" borderId="4" xfId="0" applyNumberFormat="1" applyFont="1" applyFill="1" applyBorder="1" applyAlignment="1" applyProtection="1">
      <alignment horizontal="center"/>
      <protection locked="0"/>
    </xf>
    <xf numFmtId="9" fontId="26" fillId="5" borderId="5" xfId="0" applyNumberFormat="1" applyFont="1" applyFill="1" applyBorder="1" applyAlignment="1" applyProtection="1">
      <alignment horizontal="center"/>
      <protection locked="0"/>
    </xf>
    <xf numFmtId="0" fontId="24" fillId="5" borderId="11" xfId="0" applyFont="1" applyFill="1" applyBorder="1" applyAlignment="1" applyProtection="1">
      <alignment horizontal="center"/>
      <protection locked="0"/>
    </xf>
    <xf numFmtId="165" fontId="24" fillId="0" borderId="3" xfId="271" applyNumberFormat="1" applyFont="1" applyBorder="1" applyAlignment="1">
      <alignment horizontal="center"/>
    </xf>
    <xf numFmtId="165" fontId="24" fillId="0" borderId="4" xfId="271" applyNumberFormat="1" applyFont="1" applyBorder="1" applyAlignment="1">
      <alignment horizontal="center"/>
    </xf>
    <xf numFmtId="165" fontId="24" fillId="0" borderId="5" xfId="271" applyNumberFormat="1" applyFont="1" applyBorder="1" applyAlignment="1">
      <alignment horizontal="center"/>
    </xf>
    <xf numFmtId="9" fontId="17" fillId="0" borderId="0" xfId="543" applyNumberFormat="1" applyAlignment="1">
      <alignment horizontal="center" vertical="center"/>
    </xf>
    <xf numFmtId="0" fontId="24"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6" fillId="0" borderId="11" xfId="0" applyFont="1" applyBorder="1" applyAlignment="1">
      <alignment horizontal="center"/>
    </xf>
    <xf numFmtId="0" fontId="0" fillId="5" borderId="3" xfId="0" applyFill="1" applyBorder="1" applyAlignment="1" applyProtection="1">
      <alignment horizontal="center"/>
      <protection locked="0"/>
    </xf>
    <xf numFmtId="0" fontId="17" fillId="0" borderId="3" xfId="0" applyFont="1" applyBorder="1"/>
    <xf numFmtId="0" fontId="17" fillId="0" borderId="4" xfId="0" applyFont="1" applyBorder="1"/>
    <xf numFmtId="0" fontId="17" fillId="0" borderId="5" xfId="0" applyFont="1" applyBorder="1"/>
    <xf numFmtId="0" fontId="0" fillId="0" borderId="3" xfId="0" applyBorder="1"/>
    <xf numFmtId="0" fontId="0" fillId="0" borderId="4" xfId="0" applyBorder="1"/>
    <xf numFmtId="0" fontId="0" fillId="0" borderId="5" xfId="0"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7" fillId="0" borderId="0" xfId="543" applyAlignment="1">
      <alignment horizontal="center"/>
    </xf>
    <xf numFmtId="2" fontId="17"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7" fillId="5" borderId="10" xfId="0" applyNumberFormat="1" applyFont="1" applyFill="1" applyBorder="1" applyAlignment="1" applyProtection="1">
      <alignment horizontal="right"/>
      <protection locked="0"/>
    </xf>
    <xf numFmtId="168" fontId="17" fillId="5" borderId="13" xfId="0" applyNumberFormat="1" applyFont="1" applyFill="1" applyBorder="1" applyAlignment="1" applyProtection="1">
      <alignment horizontal="right"/>
      <protection locked="0"/>
    </xf>
    <xf numFmtId="0" fontId="24" fillId="0" borderId="2" xfId="0" applyFont="1" applyBorder="1" applyAlignment="1">
      <alignment horizontal="center" wrapText="1"/>
    </xf>
    <xf numFmtId="0" fontId="24" fillId="0" borderId="7" xfId="0" applyFont="1" applyBorder="1" applyAlignment="1">
      <alignment horizontal="center" wrapText="1"/>
    </xf>
    <xf numFmtId="0" fontId="24" fillId="0" borderId="6" xfId="0" applyFont="1" applyBorder="1" applyAlignment="1">
      <alignment horizontal="center" wrapText="1"/>
    </xf>
    <xf numFmtId="0" fontId="24" fillId="0" borderId="10" xfId="0" applyFont="1" applyBorder="1" applyAlignment="1">
      <alignment horizontal="center" wrapText="1"/>
    </xf>
    <xf numFmtId="0" fontId="17" fillId="5" borderId="5" xfId="0" applyFont="1" applyFill="1" applyBorder="1" applyAlignment="1" applyProtection="1">
      <alignment horizontal="left"/>
      <protection locked="0"/>
    </xf>
    <xf numFmtId="171" fontId="17" fillId="0" borderId="0" xfId="543" applyNumberFormat="1" applyAlignment="1">
      <alignment horizontal="center"/>
    </xf>
    <xf numFmtId="171" fontId="17" fillId="0" borderId="0" xfId="543" applyNumberFormat="1" applyAlignment="1">
      <alignment horizontal="right"/>
    </xf>
    <xf numFmtId="0" fontId="17" fillId="5" borderId="3" xfId="0" applyFont="1" applyFill="1" applyBorder="1" applyProtection="1">
      <protection locked="0"/>
    </xf>
    <xf numFmtId="0" fontId="26" fillId="0" borderId="4" xfId="0" applyFont="1" applyBorder="1" applyProtection="1">
      <protection locked="0"/>
    </xf>
    <xf numFmtId="0" fontId="26" fillId="0" borderId="5" xfId="0" applyFont="1" applyBorder="1" applyProtection="1">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4" fillId="5" borderId="3" xfId="0" applyFont="1" applyFill="1" applyBorder="1" applyAlignment="1" applyProtection="1">
      <alignment horizontal="right"/>
      <protection locked="0"/>
    </xf>
    <xf numFmtId="0" fontId="24" fillId="5" borderId="4" xfId="0" applyFont="1" applyFill="1" applyBorder="1" applyAlignment="1" applyProtection="1">
      <alignment horizontal="right"/>
      <protection locked="0"/>
    </xf>
    <xf numFmtId="0" fontId="24"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4" fillId="0" borderId="11" xfId="0" applyFont="1" applyBorder="1" applyAlignment="1">
      <alignment horizontal="center" vertical="center"/>
    </xf>
    <xf numFmtId="0" fontId="24" fillId="0" borderId="11" xfId="0" applyFont="1" applyBorder="1" applyAlignment="1">
      <alignment horizontal="center" vertical="center"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8" xfId="0" applyFont="1" applyBorder="1" applyAlignment="1">
      <alignment horizontal="center" vertical="center" wrapText="1"/>
    </xf>
    <xf numFmtId="0" fontId="33" fillId="0" borderId="0" xfId="0" applyFont="1" applyAlignment="1">
      <alignment horizontal="center" vertical="center" wrapText="1"/>
    </xf>
    <xf numFmtId="0" fontId="33" fillId="0" borderId="12" xfId="0" applyFont="1" applyBorder="1" applyAlignment="1">
      <alignment horizontal="center" vertical="center" wrapText="1"/>
    </xf>
    <xf numFmtId="0" fontId="33" fillId="0" borderId="9" xfId="0" applyFont="1" applyBorder="1" applyAlignment="1">
      <alignment horizontal="center" vertical="center" wrapText="1"/>
    </xf>
    <xf numFmtId="0" fontId="33" fillId="0" borderId="6" xfId="0" applyFont="1" applyBorder="1" applyAlignment="1">
      <alignment horizontal="center" vertical="center" wrapText="1"/>
    </xf>
    <xf numFmtId="0" fontId="33" fillId="0" borderId="10" xfId="0" applyFont="1" applyBorder="1" applyAlignment="1">
      <alignment horizontal="center" vertical="center" wrapText="1"/>
    </xf>
    <xf numFmtId="0" fontId="24"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4" fillId="0" borderId="9" xfId="0" applyFont="1" applyBorder="1" applyAlignment="1">
      <alignment horizontal="right"/>
    </xf>
    <xf numFmtId="0" fontId="24" fillId="0" borderId="10" xfId="0" applyFont="1" applyBorder="1" applyAlignment="1">
      <alignment horizontal="right"/>
    </xf>
    <xf numFmtId="0" fontId="36" fillId="5" borderId="3" xfId="543" applyFont="1" applyFill="1" applyBorder="1" applyAlignment="1">
      <alignment horizontal="center"/>
    </xf>
    <xf numFmtId="0" fontId="36" fillId="5" borderId="4" xfId="543" applyFont="1" applyFill="1" applyBorder="1" applyAlignment="1">
      <alignment horizontal="center"/>
    </xf>
    <xf numFmtId="0" fontId="36" fillId="5" borderId="5" xfId="543" applyFont="1" applyFill="1" applyBorder="1" applyAlignment="1">
      <alignment horizontal="center"/>
    </xf>
    <xf numFmtId="49" fontId="17" fillId="5" borderId="3" xfId="543" applyNumberFormat="1" applyFill="1" applyBorder="1" applyAlignment="1">
      <alignment horizontal="center"/>
    </xf>
    <xf numFmtId="49" fontId="17" fillId="5" borderId="5" xfId="543" applyNumberFormat="1" applyFill="1" applyBorder="1" applyAlignment="1">
      <alignment horizontal="center"/>
    </xf>
    <xf numFmtId="0" fontId="17" fillId="0" borderId="8" xfId="543" applyBorder="1" applyAlignment="1">
      <alignment horizontal="left" vertical="top" wrapText="1"/>
    </xf>
    <xf numFmtId="0" fontId="17" fillId="0" borderId="0" xfId="543" applyAlignment="1">
      <alignment horizontal="left" vertical="top" wrapText="1"/>
    </xf>
    <xf numFmtId="0" fontId="17" fillId="0" borderId="12" xfId="543" applyBorder="1" applyAlignment="1">
      <alignment horizontal="left" vertical="top" wrapText="1"/>
    </xf>
    <xf numFmtId="164" fontId="36" fillId="5" borderId="4" xfId="0" applyNumberFormat="1" applyFont="1" applyFill="1" applyBorder="1" applyAlignment="1" applyProtection="1">
      <alignment horizontal="left"/>
      <protection locked="0"/>
    </xf>
    <xf numFmtId="164" fontId="36" fillId="5" borderId="5" xfId="0" applyNumberFormat="1" applyFont="1" applyFill="1" applyBorder="1" applyAlignment="1" applyProtection="1">
      <alignment horizontal="left"/>
      <protection locked="0"/>
    </xf>
    <xf numFmtId="0" fontId="26" fillId="0" borderId="3" xfId="0" applyFont="1" applyBorder="1" applyAlignment="1">
      <alignment horizontal="left"/>
    </xf>
    <xf numFmtId="0" fontId="24" fillId="0" borderId="1" xfId="0" applyFont="1" applyBorder="1" applyAlignment="1">
      <alignment horizontal="center"/>
    </xf>
    <xf numFmtId="0" fontId="24" fillId="0" borderId="2" xfId="0" applyFont="1" applyBorder="1" applyAlignment="1">
      <alignment horizontal="center"/>
    </xf>
    <xf numFmtId="0" fontId="24" fillId="0" borderId="7" xfId="0" applyFont="1" applyBorder="1" applyAlignment="1">
      <alignment horizontal="center"/>
    </xf>
    <xf numFmtId="168" fontId="0" fillId="5" borderId="11" xfId="0" applyNumberFormat="1" applyFill="1" applyBorder="1" applyProtection="1">
      <protection locked="0"/>
    </xf>
    <xf numFmtId="168" fontId="0" fillId="0" borderId="11" xfId="0" applyNumberFormat="1" applyBorder="1"/>
    <xf numFmtId="168" fontId="17" fillId="5" borderId="3" xfId="0" applyNumberFormat="1" applyFont="1" applyFill="1" applyBorder="1" applyAlignment="1" applyProtection="1">
      <alignment horizontal="left"/>
      <protection locked="0"/>
    </xf>
    <xf numFmtId="168" fontId="17" fillId="5" borderId="4" xfId="0" applyNumberFormat="1" applyFont="1" applyFill="1" applyBorder="1" applyAlignment="1" applyProtection="1">
      <alignment horizontal="left"/>
      <protection locked="0"/>
    </xf>
    <xf numFmtId="168" fontId="17" fillId="5" borderId="5" xfId="0" applyNumberFormat="1" applyFont="1" applyFill="1" applyBorder="1" applyAlignment="1" applyProtection="1">
      <alignment horizontal="left"/>
      <protection locked="0"/>
    </xf>
    <xf numFmtId="168" fontId="17" fillId="5" borderId="3" xfId="0" applyNumberFormat="1" applyFont="1" applyFill="1" applyBorder="1" applyAlignment="1" applyProtection="1">
      <alignment horizontal="right"/>
      <protection locked="0"/>
    </xf>
    <xf numFmtId="168" fontId="17" fillId="5" borderId="4" xfId="0" applyNumberFormat="1" applyFont="1" applyFill="1" applyBorder="1" applyAlignment="1" applyProtection="1">
      <alignment horizontal="right"/>
      <protection locked="0"/>
    </xf>
    <xf numFmtId="168" fontId="17" fillId="5" borderId="5" xfId="0" applyNumberFormat="1" applyFont="1" applyFill="1" applyBorder="1" applyAlignment="1" applyProtection="1">
      <alignment horizontal="right"/>
      <protection locked="0"/>
    </xf>
    <xf numFmtId="0" fontId="24" fillId="0" borderId="2" xfId="0" applyFont="1" applyBorder="1" applyAlignment="1">
      <alignment horizontal="right"/>
    </xf>
    <xf numFmtId="0" fontId="24" fillId="0" borderId="7" xfId="0" applyFont="1" applyBorder="1" applyAlignment="1">
      <alignment horizontal="right"/>
    </xf>
    <xf numFmtId="164" fontId="36" fillId="5" borderId="3" xfId="0" applyNumberFormat="1" applyFont="1" applyFill="1" applyBorder="1" applyAlignment="1" applyProtection="1">
      <alignment horizontal="left"/>
      <protection locked="0"/>
    </xf>
    <xf numFmtId="14" fontId="17" fillId="5" borderId="3" xfId="0" applyNumberFormat="1" applyFont="1" applyFill="1" applyBorder="1" applyAlignment="1" applyProtection="1">
      <alignment horizontal="right"/>
      <protection locked="0"/>
    </xf>
    <xf numFmtId="168" fontId="17" fillId="10" borderId="3" xfId="543" applyNumberFormat="1" applyFill="1" applyBorder="1" applyAlignment="1">
      <alignment horizontal="center"/>
    </xf>
    <xf numFmtId="168" fontId="17" fillId="10" borderId="4" xfId="543" applyNumberFormat="1" applyFill="1" applyBorder="1" applyAlignment="1">
      <alignment horizontal="center"/>
    </xf>
    <xf numFmtId="168" fontId="17" fillId="10" borderId="5" xfId="543" applyNumberFormat="1" applyFill="1" applyBorder="1" applyAlignment="1">
      <alignment horizontal="center"/>
    </xf>
    <xf numFmtId="1" fontId="17" fillId="0" borderId="3" xfId="0" applyNumberFormat="1" applyFont="1" applyBorder="1" applyAlignment="1">
      <alignment horizontal="center"/>
    </xf>
    <xf numFmtId="1" fontId="26" fillId="0" borderId="4" xfId="0" applyNumberFormat="1" applyFont="1" applyBorder="1" applyAlignment="1">
      <alignment horizontal="center"/>
    </xf>
    <xf numFmtId="1" fontId="26" fillId="0" borderId="5" xfId="0" applyNumberFormat="1" applyFont="1" applyBorder="1" applyAlignment="1">
      <alignment horizontal="center"/>
    </xf>
    <xf numFmtId="0" fontId="26" fillId="5" borderId="6" xfId="271" applyFill="1" applyBorder="1" applyProtection="1">
      <protection locked="0"/>
    </xf>
    <xf numFmtId="0" fontId="17" fillId="43" borderId="11" xfId="0" applyFont="1" applyFill="1" applyBorder="1" applyAlignment="1" applyProtection="1">
      <alignment horizontal="center"/>
      <protection locked="0"/>
    </xf>
    <xf numFmtId="0" fontId="24"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7" fillId="0" borderId="1" xfId="543" applyNumberFormat="1" applyBorder="1" applyAlignment="1">
      <alignment horizontal="center" vertical="center"/>
    </xf>
    <xf numFmtId="168" fontId="17" fillId="0" borderId="2" xfId="543" applyNumberFormat="1" applyBorder="1" applyAlignment="1">
      <alignment horizontal="center" vertical="center"/>
    </xf>
    <xf numFmtId="168" fontId="17" fillId="0" borderId="7" xfId="543" applyNumberFormat="1" applyBorder="1" applyAlignment="1">
      <alignment horizontal="center" vertical="center"/>
    </xf>
    <xf numFmtId="168" fontId="17" fillId="0" borderId="8" xfId="543" applyNumberFormat="1" applyBorder="1" applyAlignment="1">
      <alignment horizontal="center" vertical="center"/>
    </xf>
    <xf numFmtId="168" fontId="17" fillId="0" borderId="0" xfId="543" applyNumberFormat="1" applyAlignment="1">
      <alignment horizontal="center" vertical="center"/>
    </xf>
    <xf numFmtId="168" fontId="17" fillId="0" borderId="12" xfId="543" applyNumberFormat="1" applyBorder="1" applyAlignment="1">
      <alignment horizontal="center" vertical="center"/>
    </xf>
    <xf numFmtId="168" fontId="17" fillId="0" borderId="9" xfId="543" applyNumberFormat="1" applyBorder="1" applyAlignment="1">
      <alignment horizontal="center" vertical="center"/>
    </xf>
    <xf numFmtId="168" fontId="17" fillId="0" borderId="6" xfId="543" applyNumberFormat="1" applyBorder="1" applyAlignment="1">
      <alignment horizontal="center" vertical="center"/>
    </xf>
    <xf numFmtId="168" fontId="17" fillId="0" borderId="10" xfId="543" applyNumberFormat="1" applyBorder="1" applyAlignment="1">
      <alignment horizontal="center" vertical="center"/>
    </xf>
    <xf numFmtId="0" fontId="24" fillId="0" borderId="1" xfId="543" applyFont="1" applyBorder="1" applyAlignment="1">
      <alignment horizontal="left" vertical="center" wrapText="1"/>
    </xf>
    <xf numFmtId="0" fontId="24" fillId="0" borderId="2" xfId="543" applyFont="1" applyBorder="1" applyAlignment="1">
      <alignment horizontal="left" vertical="center" wrapText="1"/>
    </xf>
    <xf numFmtId="0" fontId="24" fillId="0" borderId="7" xfId="543" applyFont="1" applyBorder="1" applyAlignment="1">
      <alignment horizontal="left" vertical="center" wrapText="1"/>
    </xf>
    <xf numFmtId="0" fontId="24" fillId="0" borderId="3" xfId="543" applyFont="1" applyBorder="1" applyAlignment="1">
      <alignment horizontal="right"/>
    </xf>
    <xf numFmtId="0" fontId="24" fillId="0" borderId="4" xfId="543" applyFont="1" applyBorder="1" applyAlignment="1">
      <alignment horizontal="right"/>
    </xf>
    <xf numFmtId="0" fontId="24" fillId="0" borderId="5" xfId="543" applyFont="1" applyBorder="1" applyAlignment="1">
      <alignment horizontal="right"/>
    </xf>
    <xf numFmtId="0" fontId="17" fillId="5" borderId="3" xfId="543"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17" fillId="0" borderId="9" xfId="543" applyBorder="1" applyAlignment="1">
      <alignment horizontal="left" vertical="top" wrapText="1"/>
    </xf>
    <xf numFmtId="0" fontId="17" fillId="0" borderId="6" xfId="543" applyBorder="1" applyAlignment="1">
      <alignment horizontal="left" vertical="top" wrapText="1"/>
    </xf>
    <xf numFmtId="0" fontId="17" fillId="0" borderId="10" xfId="543" applyBorder="1" applyAlignment="1">
      <alignment horizontal="left" vertical="top" wrapText="1"/>
    </xf>
    <xf numFmtId="0" fontId="17" fillId="2" borderId="3" xfId="543" applyFill="1" applyBorder="1" applyAlignment="1">
      <alignment horizontal="center"/>
    </xf>
    <xf numFmtId="0" fontId="17" fillId="2" borderId="4" xfId="543" applyFill="1" applyBorder="1" applyAlignment="1">
      <alignment horizontal="center"/>
    </xf>
    <xf numFmtId="0" fontId="17" fillId="2" borderId="5" xfId="543" applyFill="1" applyBorder="1" applyAlignment="1">
      <alignment horizontal="center"/>
    </xf>
    <xf numFmtId="0" fontId="36" fillId="0" borderId="3" xfId="543" applyFont="1" applyBorder="1" applyAlignment="1">
      <alignment horizontal="center"/>
    </xf>
    <xf numFmtId="0" fontId="36" fillId="0" borderId="5" xfId="543" applyFont="1" applyBorder="1" applyAlignment="1">
      <alignment horizontal="center"/>
    </xf>
    <xf numFmtId="0" fontId="36" fillId="5" borderId="3" xfId="543" applyFont="1" applyFill="1" applyBorder="1" applyAlignment="1" applyProtection="1">
      <alignment horizontal="center"/>
      <protection locked="0"/>
    </xf>
    <xf numFmtId="0" fontId="36" fillId="5" borderId="5" xfId="543" applyFont="1" applyFill="1" applyBorder="1" applyAlignment="1" applyProtection="1">
      <alignment horizontal="center"/>
      <protection locked="0"/>
    </xf>
    <xf numFmtId="0" fontId="36" fillId="5" borderId="9" xfId="543" applyFont="1" applyFill="1" applyBorder="1" applyAlignment="1" applyProtection="1">
      <alignment horizontal="center"/>
      <protection locked="0"/>
    </xf>
    <xf numFmtId="0" fontId="36" fillId="5" borderId="10" xfId="543" applyFont="1" applyFill="1" applyBorder="1" applyAlignment="1" applyProtection="1">
      <alignment horizontal="center"/>
      <protection locked="0"/>
    </xf>
    <xf numFmtId="0" fontId="24" fillId="0" borderId="1" xfId="0" applyFont="1" applyBorder="1" applyAlignment="1">
      <alignment horizontal="center" wrapText="1"/>
    </xf>
    <xf numFmtId="0" fontId="24" fillId="0" borderId="8" xfId="0" applyFont="1" applyBorder="1" applyAlignment="1">
      <alignment horizontal="center" wrapText="1"/>
    </xf>
    <xf numFmtId="0" fontId="24" fillId="0" borderId="0" xfId="0" applyFont="1" applyAlignment="1">
      <alignment horizontal="center" wrapText="1"/>
    </xf>
    <xf numFmtId="0" fontId="24" fillId="0" borderId="9" xfId="0" applyFont="1" applyBorder="1" applyAlignment="1">
      <alignment horizontal="center" wrapText="1"/>
    </xf>
    <xf numFmtId="168" fontId="17"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4" fillId="0" borderId="8" xfId="543" applyFont="1" applyBorder="1" applyAlignment="1">
      <alignment horizontal="left" vertical="center" wrapText="1"/>
    </xf>
    <xf numFmtId="0" fontId="24" fillId="0" borderId="0" xfId="543" applyFont="1" applyAlignment="1">
      <alignment horizontal="left" vertical="center" wrapText="1"/>
    </xf>
    <xf numFmtId="0" fontId="24" fillId="0" borderId="12" xfId="543" applyFont="1" applyBorder="1" applyAlignment="1">
      <alignment horizontal="left" vertical="center" wrapText="1"/>
    </xf>
    <xf numFmtId="0" fontId="17" fillId="0" borderId="8" xfId="543" applyBorder="1" applyAlignment="1">
      <alignment horizontal="left" vertical="center" wrapText="1"/>
    </xf>
    <xf numFmtId="0" fontId="17" fillId="0" borderId="0" xfId="543" applyAlignment="1">
      <alignment horizontal="left" vertical="center" wrapText="1"/>
    </xf>
    <xf numFmtId="0" fontId="17" fillId="0" borderId="12" xfId="543" applyBorder="1" applyAlignment="1">
      <alignment horizontal="left" vertical="center" wrapText="1"/>
    </xf>
    <xf numFmtId="0" fontId="17" fillId="0" borderId="9" xfId="543" applyBorder="1" applyAlignment="1">
      <alignment horizontal="left" vertical="center" wrapText="1"/>
    </xf>
    <xf numFmtId="0" fontId="17" fillId="0" borderId="6" xfId="543" applyBorder="1" applyAlignment="1">
      <alignment horizontal="left" vertical="center" wrapText="1"/>
    </xf>
    <xf numFmtId="0" fontId="17" fillId="0" borderId="10" xfId="543" applyBorder="1" applyAlignment="1">
      <alignment horizontal="left" vertical="center" wrapText="1"/>
    </xf>
    <xf numFmtId="182" fontId="25"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4" fillId="0" borderId="12" xfId="0" applyFont="1" applyBorder="1" applyAlignment="1">
      <alignment horizontal="center" wrapText="1"/>
    </xf>
    <xf numFmtId="1" fontId="17" fillId="0" borderId="3" xfId="543" applyNumberFormat="1" applyBorder="1" applyAlignment="1">
      <alignment horizontal="center"/>
    </xf>
    <xf numFmtId="1" fontId="17" fillId="0" borderId="4" xfId="543" applyNumberFormat="1" applyBorder="1" applyAlignment="1">
      <alignment horizontal="center"/>
    </xf>
    <xf numFmtId="1" fontId="17" fillId="0" borderId="5" xfId="543" applyNumberFormat="1" applyBorder="1" applyAlignment="1">
      <alignment horizontal="center"/>
    </xf>
    <xf numFmtId="168" fontId="17" fillId="0" borderId="11" xfId="543" applyNumberFormat="1" applyBorder="1" applyAlignment="1">
      <alignment horizontal="center"/>
    </xf>
    <xf numFmtId="0" fontId="37" fillId="0" borderId="4" xfId="543" applyFont="1" applyBorder="1" applyAlignment="1">
      <alignment horizontal="right" vertical="top" wrapText="1"/>
    </xf>
    <xf numFmtId="0" fontId="37" fillId="0" borderId="5" xfId="543" applyFont="1" applyBorder="1" applyAlignment="1">
      <alignment horizontal="right" vertical="top" wrapText="1"/>
    </xf>
    <xf numFmtId="0" fontId="25" fillId="0" borderId="3" xfId="543" applyFont="1" applyBorder="1" applyAlignment="1">
      <alignment horizontal="center"/>
    </xf>
    <xf numFmtId="0" fontId="25" fillId="0" borderId="5" xfId="543" applyFont="1" applyBorder="1" applyAlignment="1">
      <alignment horizontal="center"/>
    </xf>
    <xf numFmtId="1" fontId="25" fillId="0" borderId="3" xfId="543" applyNumberFormat="1" applyFont="1" applyBorder="1" applyAlignment="1">
      <alignment horizontal="center"/>
    </xf>
    <xf numFmtId="1" fontId="25" fillId="0" borderId="5" xfId="543" applyNumberFormat="1" applyFont="1" applyBorder="1" applyAlignment="1">
      <alignment horizontal="center"/>
    </xf>
    <xf numFmtId="0" fontId="38" fillId="0" borderId="3" xfId="543" applyFont="1" applyBorder="1" applyAlignment="1">
      <alignment horizontal="center"/>
    </xf>
    <xf numFmtId="0" fontId="38" fillId="0" borderId="4" xfId="543" applyFont="1" applyBorder="1" applyAlignment="1">
      <alignment horizontal="center"/>
    </xf>
    <xf numFmtId="0" fontId="38" fillId="0" borderId="5" xfId="543" applyFont="1" applyBorder="1" applyAlignment="1">
      <alignment horizontal="center"/>
    </xf>
    <xf numFmtId="0" fontId="37" fillId="0" borderId="1" xfId="543" applyFont="1" applyBorder="1" applyAlignment="1">
      <alignment horizontal="right"/>
    </xf>
    <xf numFmtId="0" fontId="37" fillId="0" borderId="2" xfId="543" applyFont="1" applyBorder="1" applyAlignment="1">
      <alignment horizontal="right"/>
    </xf>
    <xf numFmtId="0" fontId="37" fillId="0" borderId="7" xfId="543" applyFont="1" applyBorder="1" applyAlignment="1">
      <alignment horizontal="right"/>
    </xf>
    <xf numFmtId="168" fontId="24" fillId="0" borderId="3" xfId="543" applyNumberFormat="1" applyFont="1" applyBorder="1" applyAlignment="1">
      <alignment horizontal="center" vertical="center"/>
    </xf>
    <xf numFmtId="168" fontId="24" fillId="0" borderId="4" xfId="543" applyNumberFormat="1" applyFont="1" applyBorder="1" applyAlignment="1">
      <alignment horizontal="center" vertical="center"/>
    </xf>
    <xf numFmtId="168" fontId="24" fillId="0" borderId="5" xfId="543" applyNumberFormat="1" applyFont="1" applyBorder="1" applyAlignment="1">
      <alignment horizontal="center" vertical="center"/>
    </xf>
    <xf numFmtId="0" fontId="17" fillId="0" borderId="8" xfId="0" applyFont="1" applyBorder="1" applyAlignment="1">
      <alignment horizontal="left" wrapText="1"/>
    </xf>
    <xf numFmtId="0" fontId="17" fillId="0" borderId="12" xfId="0" applyFont="1" applyBorder="1" applyAlignment="1">
      <alignment horizontal="left" wrapText="1"/>
    </xf>
    <xf numFmtId="0" fontId="17" fillId="0" borderId="9" xfId="0" applyFont="1" applyBorder="1" applyAlignment="1">
      <alignment horizontal="left" wrapText="1"/>
    </xf>
    <xf numFmtId="0" fontId="17" fillId="0" borderId="6" xfId="0" applyFont="1" applyBorder="1" applyAlignment="1">
      <alignment horizontal="left" wrapText="1"/>
    </xf>
    <xf numFmtId="0" fontId="17" fillId="0" borderId="10" xfId="0" applyFont="1" applyBorder="1" applyAlignment="1">
      <alignment horizontal="left" wrapText="1"/>
    </xf>
    <xf numFmtId="0" fontId="53" fillId="5" borderId="3" xfId="0" applyFont="1" applyFill="1" applyBorder="1" applyAlignment="1" applyProtection="1">
      <alignment horizontal="right"/>
      <protection locked="0"/>
    </xf>
    <xf numFmtId="0" fontId="53" fillId="5" borderId="4" xfId="0" applyFont="1" applyFill="1" applyBorder="1" applyAlignment="1" applyProtection="1">
      <alignment horizontal="right"/>
      <protection locked="0"/>
    </xf>
    <xf numFmtId="0" fontId="53" fillId="5" borderId="5" xfId="0" applyFont="1" applyFill="1" applyBorder="1" applyAlignment="1" applyProtection="1">
      <alignment horizontal="right"/>
      <protection locked="0"/>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9" fontId="17" fillId="5" borderId="3" xfId="0" applyNumberFormat="1" applyFont="1" applyFill="1" applyBorder="1" applyAlignment="1" applyProtection="1">
      <alignment horizontal="right"/>
      <protection locked="0"/>
    </xf>
    <xf numFmtId="0" fontId="24" fillId="0" borderId="1" xfId="543" applyFont="1" applyBorder="1" applyAlignment="1">
      <alignment horizontal="left" vertical="top" wrapText="1"/>
    </xf>
    <xf numFmtId="0" fontId="24" fillId="0" borderId="2" xfId="543" applyFont="1" applyBorder="1" applyAlignment="1">
      <alignment horizontal="left" vertical="top" wrapText="1"/>
    </xf>
    <xf numFmtId="0" fontId="24" fillId="0" borderId="7" xfId="543" applyFont="1" applyBorder="1" applyAlignment="1">
      <alignment horizontal="left" vertical="top" wrapText="1"/>
    </xf>
    <xf numFmtId="0" fontId="24" fillId="0" borderId="8" xfId="543" applyFont="1" applyBorder="1" applyAlignment="1">
      <alignment horizontal="left" vertical="top" wrapText="1"/>
    </xf>
    <xf numFmtId="0" fontId="24" fillId="0" borderId="0" xfId="543" applyFont="1" applyAlignment="1">
      <alignment horizontal="left" vertical="top" wrapText="1"/>
    </xf>
    <xf numFmtId="0" fontId="24"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0" fontId="25" fillId="5" borderId="3" xfId="543" applyFont="1"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24" fillId="10" borderId="3" xfId="543" applyFont="1" applyFill="1" applyBorder="1" applyAlignment="1">
      <alignment horizontal="center"/>
    </xf>
    <xf numFmtId="0" fontId="24" fillId="10" borderId="4" xfId="543" applyFont="1" applyFill="1" applyBorder="1" applyAlignment="1">
      <alignment horizontal="center"/>
    </xf>
    <xf numFmtId="0" fontId="24" fillId="10" borderId="5" xfId="543" applyFont="1" applyFill="1" applyBorder="1" applyAlignment="1">
      <alignment horizontal="center"/>
    </xf>
    <xf numFmtId="0" fontId="36" fillId="5" borderId="3" xfId="543" applyFont="1" applyFill="1" applyBorder="1" applyAlignment="1" applyProtection="1">
      <alignment horizontal="center" vertical="top"/>
      <protection locked="0"/>
    </xf>
    <xf numFmtId="0" fontId="36" fillId="5" borderId="5" xfId="543" applyFont="1" applyFill="1" applyBorder="1" applyAlignment="1" applyProtection="1">
      <alignment horizontal="center" vertical="top"/>
      <protection locked="0"/>
    </xf>
    <xf numFmtId="0" fontId="44" fillId="0" borderId="8" xfId="543" applyFont="1" applyBorder="1" applyAlignment="1">
      <alignment horizontal="center" vertical="center" wrapText="1"/>
    </xf>
    <xf numFmtId="0" fontId="44" fillId="0" borderId="0" xfId="543" applyFont="1" applyAlignment="1">
      <alignment horizontal="center" vertical="center" wrapText="1"/>
    </xf>
    <xf numFmtId="0" fontId="44" fillId="0" borderId="12" xfId="543" applyFont="1" applyBorder="1" applyAlignment="1">
      <alignment horizontal="center" vertical="center" wrapText="1"/>
    </xf>
    <xf numFmtId="180" fontId="0" fillId="0" borderId="6" xfId="0" applyNumberFormat="1" applyBorder="1" applyAlignment="1">
      <alignment horizontal="center"/>
    </xf>
    <xf numFmtId="0" fontId="50" fillId="0" borderId="0" xfId="0" applyFont="1" applyAlignment="1">
      <alignment horizontal="center"/>
    </xf>
    <xf numFmtId="0" fontId="24" fillId="0" borderId="0" xfId="0" applyFont="1" applyAlignment="1">
      <alignment horizontal="center"/>
    </xf>
    <xf numFmtId="0" fontId="17" fillId="0" borderId="0" xfId="0" applyFont="1" applyAlignment="1">
      <alignment horizontal="center"/>
    </xf>
    <xf numFmtId="0" fontId="32" fillId="0" borderId="0" xfId="0" applyFont="1" applyAlignment="1">
      <alignment horizontal="center"/>
    </xf>
    <xf numFmtId="0" fontId="17" fillId="0" borderId="0" xfId="0" applyFont="1" applyAlignment="1">
      <alignment horizontal="center" vertical="top"/>
    </xf>
    <xf numFmtId="168" fontId="26" fillId="0" borderId="6" xfId="0" applyNumberFormat="1" applyFont="1" applyBorder="1" applyAlignment="1">
      <alignment horizontal="center"/>
    </xf>
    <xf numFmtId="0" fontId="25"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0" fontId="26" fillId="0" borderId="0" xfId="543" applyFont="1" applyAlignment="1">
      <alignment horizontal="center"/>
    </xf>
    <xf numFmtId="0" fontId="17" fillId="0" borderId="0" xfId="0" applyFont="1" applyAlignment="1">
      <alignment vertical="center" wrapText="1"/>
    </xf>
    <xf numFmtId="0" fontId="17" fillId="0" borderId="0" xfId="543" applyAlignment="1">
      <alignment wrapText="1"/>
    </xf>
    <xf numFmtId="0" fontId="26" fillId="0" borderId="2" xfId="0" applyFont="1" applyBorder="1" applyAlignment="1">
      <alignment horizontal="left" vertical="top" wrapText="1"/>
    </xf>
    <xf numFmtId="177" fontId="26" fillId="5" borderId="6" xfId="0" applyNumberFormat="1" applyFont="1" applyFill="1" applyBorder="1" applyAlignment="1" applyProtection="1">
      <alignment horizontal="left" vertical="top" wrapText="1"/>
      <protection locked="0"/>
    </xf>
    <xf numFmtId="0" fontId="54" fillId="0" borderId="0" xfId="0" applyFont="1" applyAlignment="1">
      <alignment vertical="top" wrapText="1"/>
    </xf>
    <xf numFmtId="0" fontId="26" fillId="0" borderId="0" xfId="0" applyFont="1" applyAlignment="1">
      <alignment vertical="top" wrapText="1"/>
    </xf>
    <xf numFmtId="0" fontId="26" fillId="0" borderId="6" xfId="0" applyFont="1" applyBorder="1" applyAlignment="1">
      <alignment horizontal="right" vertical="top" wrapText="1"/>
    </xf>
    <xf numFmtId="0" fontId="26" fillId="0" borderId="6" xfId="0" applyFont="1" applyBorder="1" applyAlignment="1">
      <alignment vertical="top" wrapText="1"/>
    </xf>
    <xf numFmtId="0" fontId="58" fillId="2" borderId="3" xfId="0" applyFont="1" applyFill="1" applyBorder="1" applyAlignment="1">
      <alignment horizontal="center" vertical="top"/>
    </xf>
    <xf numFmtId="0" fontId="58" fillId="2" borderId="4" xfId="0" applyFont="1" applyFill="1" applyBorder="1" applyAlignment="1">
      <alignment horizontal="center" vertical="top"/>
    </xf>
    <xf numFmtId="0" fontId="58" fillId="2" borderId="5" xfId="0" applyFont="1" applyFill="1" applyBorder="1" applyAlignment="1">
      <alignment horizontal="center" vertical="top"/>
    </xf>
    <xf numFmtId="0" fontId="26" fillId="0" borderId="2" xfId="0" applyFont="1" applyBorder="1" applyAlignment="1">
      <alignment vertical="top" wrapText="1"/>
    </xf>
    <xf numFmtId="0" fontId="53" fillId="0" borderId="0" xfId="0" applyFont="1" applyAlignment="1">
      <alignment vertical="top" wrapText="1"/>
    </xf>
    <xf numFmtId="0" fontId="54" fillId="0" borderId="0" xfId="569" applyFont="1" applyAlignment="1">
      <alignment vertical="top" wrapText="1"/>
    </xf>
    <xf numFmtId="0" fontId="17" fillId="0" borderId="0" xfId="569" applyAlignment="1">
      <alignment horizontal="right" vertical="top" wrapText="1"/>
    </xf>
    <xf numFmtId="0" fontId="23" fillId="3" borderId="3" xfId="0" applyFont="1" applyFill="1" applyBorder="1" applyAlignment="1">
      <alignment horizontal="left" vertical="top"/>
    </xf>
    <xf numFmtId="0" fontId="23" fillId="3" borderId="4" xfId="0" applyFont="1" applyFill="1" applyBorder="1" applyAlignment="1">
      <alignment horizontal="left" vertical="top"/>
    </xf>
    <xf numFmtId="0" fontId="23" fillId="3" borderId="5" xfId="0" applyFont="1" applyFill="1" applyBorder="1" applyAlignment="1">
      <alignment horizontal="left" vertical="top"/>
    </xf>
    <xf numFmtId="0" fontId="169" fillId="44" borderId="80" xfId="8733" applyFont="1" applyFill="1" applyBorder="1" applyAlignment="1">
      <alignment horizontal="left"/>
    </xf>
    <xf numFmtId="0" fontId="169" fillId="44" borderId="79" xfId="8733" applyFont="1" applyFill="1" applyBorder="1" applyAlignment="1">
      <alignment horizontal="left"/>
    </xf>
    <xf numFmtId="0" fontId="169" fillId="44" borderId="78" xfId="8733" applyFont="1" applyFill="1" applyBorder="1" applyAlignment="1">
      <alignment horizontal="left"/>
    </xf>
    <xf numFmtId="0" fontId="170" fillId="45" borderId="11" xfId="8733" applyFont="1" applyFill="1" applyBorder="1" applyAlignment="1">
      <alignment horizontal="right"/>
    </xf>
    <xf numFmtId="1" fontId="169" fillId="48" borderId="11" xfId="8733" applyNumberFormat="1" applyFont="1" applyFill="1" applyBorder="1" applyAlignment="1" applyProtection="1">
      <alignment horizontal="center"/>
      <protection locked="0"/>
    </xf>
    <xf numFmtId="0" fontId="2" fillId="44" borderId="80" xfId="8733" applyFill="1" applyBorder="1" applyAlignment="1">
      <alignment horizontal="center"/>
    </xf>
    <xf numFmtId="0" fontId="2" fillId="44" borderId="79" xfId="8733" applyFill="1" applyBorder="1" applyAlignment="1">
      <alignment horizontal="center"/>
    </xf>
    <xf numFmtId="0" fontId="2" fillId="44" borderId="78" xfId="8733" applyFill="1" applyBorder="1" applyAlignment="1">
      <alignment horizontal="center"/>
    </xf>
    <xf numFmtId="0" fontId="181" fillId="51" borderId="65" xfId="8733" applyFont="1" applyFill="1" applyBorder="1" applyAlignment="1">
      <alignment horizontal="center"/>
    </xf>
    <xf numFmtId="0" fontId="181" fillId="51" borderId="29" xfId="8733" applyFont="1" applyFill="1" applyBorder="1" applyAlignment="1">
      <alignment horizontal="center"/>
    </xf>
    <xf numFmtId="0" fontId="181" fillId="51" borderId="31" xfId="8733" applyFont="1" applyFill="1" applyBorder="1" applyAlignment="1">
      <alignment horizontal="center"/>
    </xf>
    <xf numFmtId="0" fontId="166" fillId="48" borderId="66" xfId="8733" applyFont="1" applyFill="1" applyBorder="1" applyAlignment="1">
      <alignment horizontal="center"/>
    </xf>
    <xf numFmtId="0" fontId="166" fillId="48" borderId="0" xfId="8733" applyFont="1" applyFill="1" applyAlignment="1">
      <alignment horizontal="center"/>
    </xf>
    <xf numFmtId="0" fontId="166" fillId="48" borderId="41" xfId="8733" applyFont="1" applyFill="1" applyBorder="1" applyAlignment="1">
      <alignment horizontal="center"/>
    </xf>
    <xf numFmtId="0" fontId="176" fillId="45" borderId="11" xfId="8733" applyFont="1" applyFill="1" applyBorder="1" applyAlignment="1">
      <alignment horizontal="right"/>
    </xf>
    <xf numFmtId="14" fontId="169" fillId="48" borderId="11" xfId="8733" applyNumberFormat="1" applyFont="1" applyFill="1" applyBorder="1" applyAlignment="1" applyProtection="1">
      <alignment horizontal="center"/>
      <protection locked="0"/>
    </xf>
    <xf numFmtId="0" fontId="169" fillId="48" borderId="11" xfId="8733" applyFont="1" applyFill="1" applyBorder="1" applyAlignment="1" applyProtection="1">
      <alignment horizontal="center"/>
      <protection locked="0"/>
    </xf>
    <xf numFmtId="0" fontId="102" fillId="45" borderId="80" xfId="8733" applyFont="1" applyFill="1" applyBorder="1" applyAlignment="1">
      <alignment horizontal="center"/>
    </xf>
    <xf numFmtId="0" fontId="102" fillId="45" borderId="79" xfId="8733" applyFont="1" applyFill="1" applyBorder="1" applyAlignment="1">
      <alignment horizontal="center"/>
    </xf>
    <xf numFmtId="0" fontId="102" fillId="45" borderId="78" xfId="8733" applyFont="1" applyFill="1" applyBorder="1" applyAlignment="1">
      <alignment horizontal="center"/>
    </xf>
    <xf numFmtId="0" fontId="169" fillId="48" borderId="80" xfId="8733" applyFont="1" applyFill="1" applyBorder="1" applyAlignment="1" applyProtection="1">
      <alignment horizontal="center"/>
      <protection locked="0"/>
    </xf>
    <xf numFmtId="0" fontId="169" fillId="48" borderId="79" xfId="8733" applyFont="1" applyFill="1" applyBorder="1" applyAlignment="1" applyProtection="1">
      <alignment horizontal="center"/>
      <protection locked="0"/>
    </xf>
    <xf numFmtId="0" fontId="169" fillId="48" borderId="78" xfId="8733" applyFont="1" applyFill="1" applyBorder="1" applyAlignment="1" applyProtection="1">
      <alignment horizontal="center"/>
      <protection locked="0"/>
    </xf>
    <xf numFmtId="0" fontId="173" fillId="45" borderId="11" xfId="8733" applyFont="1" applyFill="1" applyBorder="1" applyAlignment="1">
      <alignment horizontal="right"/>
    </xf>
    <xf numFmtId="1" fontId="2" fillId="44" borderId="11" xfId="8733" applyNumberFormat="1" applyFill="1" applyBorder="1" applyAlignment="1">
      <alignment horizontal="center"/>
    </xf>
    <xf numFmtId="0" fontId="2" fillId="44" borderId="11" xfId="8733" applyFill="1" applyBorder="1" applyAlignment="1">
      <alignment horizontal="center"/>
    </xf>
    <xf numFmtId="0" fontId="170" fillId="45" borderId="11" xfId="8733" applyFont="1" applyFill="1" applyBorder="1" applyAlignment="1">
      <alignment horizontal="right" wrapText="1"/>
    </xf>
    <xf numFmtId="14" fontId="169" fillId="48" borderId="11" xfId="8733" applyNumberFormat="1" applyFont="1" applyFill="1" applyBorder="1" applyAlignment="1" applyProtection="1">
      <alignment horizontal="center" vertical="center"/>
      <protection locked="0"/>
    </xf>
    <xf numFmtId="0" fontId="169" fillId="48" borderId="11" xfId="8733" applyFont="1" applyFill="1" applyBorder="1" applyAlignment="1" applyProtection="1">
      <alignment horizontal="center" vertical="center"/>
      <protection locked="0"/>
    </xf>
    <xf numFmtId="168" fontId="174" fillId="44" borderId="11" xfId="8734" applyNumberFormat="1" applyFont="1" applyFill="1" applyBorder="1" applyAlignment="1" applyProtection="1">
      <alignment horizontal="left"/>
    </xf>
    <xf numFmtId="0" fontId="102" fillId="45" borderId="80" xfId="8733" applyFont="1" applyFill="1" applyBorder="1" applyAlignment="1">
      <alignment horizontal="right"/>
    </xf>
    <xf numFmtId="0" fontId="102" fillId="45" borderId="79" xfId="8733" applyFont="1" applyFill="1" applyBorder="1" applyAlignment="1">
      <alignment horizontal="right"/>
    </xf>
    <xf numFmtId="0" fontId="102" fillId="45" borderId="103" xfId="8733" applyFont="1" applyFill="1" applyBorder="1" applyAlignment="1">
      <alignment horizontal="right"/>
    </xf>
    <xf numFmtId="0" fontId="2" fillId="44" borderId="84" xfId="8733" applyFill="1" applyBorder="1" applyAlignment="1">
      <alignment horizontal="center"/>
    </xf>
    <xf numFmtId="0" fontId="2" fillId="44" borderId="102" xfId="8733" applyFill="1" applyBorder="1" applyAlignment="1">
      <alignment horizontal="center"/>
    </xf>
    <xf numFmtId="0" fontId="166" fillId="45" borderId="93" xfId="8733" applyFont="1" applyFill="1" applyBorder="1" applyAlignment="1">
      <alignment horizontal="center"/>
    </xf>
    <xf numFmtId="0" fontId="166" fillId="45" borderId="92" xfId="8733" applyFont="1" applyFill="1" applyBorder="1" applyAlignment="1">
      <alignment horizontal="center"/>
    </xf>
    <xf numFmtId="0" fontId="166" fillId="45" borderId="91" xfId="8733" applyFont="1" applyFill="1" applyBorder="1" applyAlignment="1">
      <alignment horizontal="center"/>
    </xf>
    <xf numFmtId="0" fontId="173" fillId="45" borderId="97" xfId="8733" applyFont="1" applyFill="1" applyBorder="1" applyAlignment="1">
      <alignment horizontal="center"/>
    </xf>
    <xf numFmtId="0" fontId="173" fillId="45" borderId="2" xfId="8733" applyFont="1" applyFill="1" applyBorder="1" applyAlignment="1">
      <alignment horizontal="center"/>
    </xf>
    <xf numFmtId="0" fontId="173" fillId="45" borderId="7" xfId="8733" applyFont="1" applyFill="1" applyBorder="1" applyAlignment="1">
      <alignment horizontal="center"/>
    </xf>
    <xf numFmtId="0" fontId="173" fillId="45" borderId="3" xfId="8733" applyFont="1" applyFill="1" applyBorder="1" applyAlignment="1">
      <alignment horizontal="center"/>
    </xf>
    <xf numFmtId="0" fontId="173" fillId="45" borderId="4" xfId="8733" applyFont="1" applyFill="1" applyBorder="1" applyAlignment="1">
      <alignment horizontal="center"/>
    </xf>
    <xf numFmtId="0" fontId="173" fillId="45" borderId="5" xfId="8733" applyFont="1" applyFill="1" applyBorder="1" applyAlignment="1">
      <alignment horizontal="center"/>
    </xf>
    <xf numFmtId="0" fontId="173" fillId="45" borderId="81" xfId="8733" applyFont="1" applyFill="1" applyBorder="1" applyAlignment="1">
      <alignment horizontal="center"/>
    </xf>
    <xf numFmtId="9" fontId="172" fillId="48" borderId="90" xfId="8733" applyNumberFormat="1" applyFont="1" applyFill="1" applyBorder="1" applyAlignment="1" applyProtection="1">
      <alignment horizontal="center"/>
      <protection locked="0"/>
    </xf>
    <xf numFmtId="9" fontId="172" fillId="48" borderId="4" xfId="8733" applyNumberFormat="1" applyFont="1" applyFill="1" applyBorder="1" applyAlignment="1" applyProtection="1">
      <alignment horizontal="center"/>
      <protection locked="0"/>
    </xf>
    <xf numFmtId="9" fontId="172" fillId="48" borderId="5" xfId="8733" applyNumberFormat="1" applyFont="1" applyFill="1" applyBorder="1" applyAlignment="1" applyProtection="1">
      <alignment horizontal="center"/>
      <protection locked="0"/>
    </xf>
    <xf numFmtId="0" fontId="172" fillId="44" borderId="3" xfId="8733" applyFont="1" applyFill="1" applyBorder="1" applyAlignment="1">
      <alignment horizontal="center"/>
    </xf>
    <xf numFmtId="0" fontId="172" fillId="44" borderId="4" xfId="8733" applyFont="1" applyFill="1" applyBorder="1" applyAlignment="1">
      <alignment horizontal="center"/>
    </xf>
    <xf numFmtId="0" fontId="172" fillId="44" borderId="5" xfId="8733" applyFont="1" applyFill="1" applyBorder="1" applyAlignment="1">
      <alignment horizontal="center"/>
    </xf>
    <xf numFmtId="9" fontId="173" fillId="44" borderId="3" xfId="8733" applyNumberFormat="1" applyFont="1" applyFill="1" applyBorder="1" applyAlignment="1">
      <alignment horizontal="center"/>
    </xf>
    <xf numFmtId="9" fontId="173" fillId="44" borderId="4" xfId="8733" applyNumberFormat="1" applyFont="1" applyFill="1" applyBorder="1" applyAlignment="1">
      <alignment horizontal="center"/>
    </xf>
    <xf numFmtId="9" fontId="173" fillId="44" borderId="81" xfId="8733" applyNumberFormat="1" applyFont="1" applyFill="1" applyBorder="1" applyAlignment="1">
      <alignment horizontal="center"/>
    </xf>
    <xf numFmtId="0" fontId="172" fillId="48" borderId="3" xfId="8733" applyFont="1" applyFill="1" applyBorder="1" applyAlignment="1" applyProtection="1">
      <alignment horizontal="center"/>
      <protection locked="0"/>
    </xf>
    <xf numFmtId="0" fontId="172" fillId="48" borderId="4" xfId="8733" applyFont="1" applyFill="1" applyBorder="1" applyAlignment="1" applyProtection="1">
      <alignment horizontal="center"/>
      <protection locked="0"/>
    </xf>
    <xf numFmtId="0" fontId="172" fillId="48" borderId="5" xfId="8733" applyFont="1" applyFill="1" applyBorder="1" applyAlignment="1" applyProtection="1">
      <alignment horizontal="center"/>
      <protection locked="0"/>
    </xf>
    <xf numFmtId="0" fontId="173" fillId="44" borderId="87" xfId="8733" applyFont="1" applyFill="1" applyBorder="1" applyAlignment="1">
      <alignment horizontal="center"/>
    </xf>
    <xf numFmtId="0" fontId="173" fillId="44" borderId="86" xfId="8733" applyFont="1" applyFill="1" applyBorder="1" applyAlignment="1">
      <alignment horizontal="center"/>
    </xf>
    <xf numFmtId="0" fontId="173" fillId="44" borderId="95" xfId="8733" applyFont="1" applyFill="1" applyBorder="1" applyAlignment="1">
      <alignment horizontal="center"/>
    </xf>
    <xf numFmtId="0" fontId="172" fillId="44" borderId="94"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9" fontId="173" fillId="44" borderId="94" xfId="8733" applyNumberFormat="1" applyFont="1" applyFill="1" applyBorder="1" applyAlignment="1">
      <alignment horizontal="center"/>
    </xf>
    <xf numFmtId="9" fontId="173" fillId="44" borderId="86" xfId="8733" applyNumberFormat="1" applyFont="1" applyFill="1" applyBorder="1" applyAlignment="1">
      <alignment horizontal="center"/>
    </xf>
    <xf numFmtId="9" fontId="173" fillId="44" borderId="85" xfId="8733" applyNumberFormat="1" applyFont="1" applyFill="1" applyBorder="1" applyAlignment="1">
      <alignment horizontal="center"/>
    </xf>
    <xf numFmtId="0" fontId="173" fillId="44" borderId="101" xfId="8733" applyFont="1" applyFill="1" applyBorder="1" applyAlignment="1">
      <alignment horizontal="center"/>
    </xf>
    <xf numFmtId="0" fontId="173" fillId="44" borderId="42" xfId="8733" applyFont="1" applyFill="1" applyBorder="1" applyAlignment="1">
      <alignment horizontal="center"/>
    </xf>
    <xf numFmtId="0" fontId="173" fillId="44" borderId="96" xfId="8733"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3" applyFont="1" applyFill="1" applyBorder="1" applyAlignment="1">
      <alignment horizontal="center"/>
    </xf>
    <xf numFmtId="0" fontId="166" fillId="45" borderId="79" xfId="8733" applyFont="1" applyFill="1" applyBorder="1" applyAlignment="1">
      <alignment horizontal="center"/>
    </xf>
    <xf numFmtId="0" fontId="166" fillId="45" borderId="78" xfId="8733" applyFont="1" applyFill="1" applyBorder="1" applyAlignment="1">
      <alignment horizontal="center"/>
    </xf>
    <xf numFmtId="0" fontId="165" fillId="45" borderId="98" xfId="8733" applyFont="1" applyFill="1" applyBorder="1" applyAlignment="1">
      <alignment horizontal="center" vertical="center" wrapText="1"/>
    </xf>
    <xf numFmtId="0" fontId="165" fillId="45" borderId="13" xfId="8733" applyFont="1" applyFill="1" applyBorder="1" applyAlignment="1">
      <alignment horizontal="center" vertical="center"/>
    </xf>
    <xf numFmtId="0" fontId="165" fillId="45" borderId="72" xfId="8733" applyFont="1" applyFill="1" applyBorder="1" applyAlignment="1">
      <alignment horizontal="center" vertical="center"/>
    </xf>
    <xf numFmtId="0" fontId="165" fillId="45" borderId="11" xfId="8733" applyFont="1" applyFill="1" applyBorder="1" applyAlignment="1">
      <alignment horizontal="center" vertical="center"/>
    </xf>
    <xf numFmtId="0" fontId="173" fillId="45" borderId="13" xfId="8733" applyFont="1" applyFill="1" applyBorder="1" applyAlignment="1">
      <alignment horizontal="center" vertical="center" wrapText="1"/>
    </xf>
    <xf numFmtId="0" fontId="173" fillId="45" borderId="13" xfId="8733" applyFont="1" applyFill="1" applyBorder="1" applyAlignment="1">
      <alignment horizontal="center" vertical="center"/>
    </xf>
    <xf numFmtId="0" fontId="173" fillId="45" borderId="11" xfId="8733" applyFont="1" applyFill="1" applyBorder="1" applyAlignment="1">
      <alignment horizontal="center" vertical="center"/>
    </xf>
    <xf numFmtId="0" fontId="173" fillId="45" borderId="9" xfId="8733" applyFont="1" applyFill="1" applyBorder="1" applyAlignment="1">
      <alignment horizontal="center" vertical="center"/>
    </xf>
    <xf numFmtId="0" fontId="173" fillId="45" borderId="3" xfId="8733" applyFont="1" applyFill="1" applyBorder="1" applyAlignment="1">
      <alignment horizontal="center" vertic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5" fillId="45" borderId="65" xfId="8733" applyFont="1" applyFill="1" applyBorder="1" applyAlignment="1">
      <alignment horizontal="center" vertical="center" wrapText="1"/>
    </xf>
    <xf numFmtId="0" fontId="165" fillId="45" borderId="29" xfId="8733" applyFont="1" applyFill="1" applyBorder="1" applyAlignment="1">
      <alignment horizontal="center" vertical="center" wrapText="1"/>
    </xf>
    <xf numFmtId="0" fontId="165" fillId="45" borderId="31" xfId="8733" applyFont="1" applyFill="1" applyBorder="1" applyAlignment="1">
      <alignment horizontal="center" vertical="center" wrapText="1"/>
    </xf>
    <xf numFmtId="0" fontId="165" fillId="45" borderId="73" xfId="8733" applyFont="1" applyFill="1" applyBorder="1" applyAlignment="1">
      <alignment horizontal="center" vertical="center" wrapText="1"/>
    </xf>
    <xf numFmtId="0" fontId="165" fillId="45" borderId="42" xfId="8733" applyFont="1" applyFill="1" applyBorder="1" applyAlignment="1">
      <alignment horizontal="center" vertical="center" wrapText="1"/>
    </xf>
    <xf numFmtId="0" fontId="165" fillId="45" borderId="44" xfId="8733" applyFont="1" applyFill="1" applyBorder="1" applyAlignment="1">
      <alignment horizontal="center" vertical="center" wrapText="1"/>
    </xf>
    <xf numFmtId="9" fontId="173" fillId="48" borderId="13" xfId="8733" applyNumberFormat="1" applyFont="1" applyFill="1" applyBorder="1" applyAlignment="1" applyProtection="1">
      <alignment horizontal="center"/>
      <protection locked="0"/>
    </xf>
    <xf numFmtId="0" fontId="173" fillId="44" borderId="73" xfId="8733" applyFont="1" applyFill="1" applyBorder="1" applyAlignment="1">
      <alignment horizontal="center"/>
    </xf>
    <xf numFmtId="0" fontId="165" fillId="44" borderId="9" xfId="8733" applyFont="1" applyFill="1" applyBorder="1" applyAlignment="1">
      <alignment horizontal="center"/>
    </xf>
    <xf numFmtId="0" fontId="165" fillId="44" borderId="6" xfId="8733" applyFont="1" applyFill="1" applyBorder="1" applyAlignment="1">
      <alignment horizontal="center"/>
    </xf>
    <xf numFmtId="0" fontId="165" fillId="44" borderId="82" xfId="8733" applyFont="1" applyFill="1" applyBorder="1" applyAlignment="1">
      <alignment horizontal="center"/>
    </xf>
    <xf numFmtId="9" fontId="173" fillId="48" borderId="9" xfId="8733" applyNumberFormat="1" applyFont="1" applyFill="1" applyBorder="1" applyAlignment="1" applyProtection="1">
      <alignment horizontal="center"/>
      <protection locked="0"/>
    </xf>
    <xf numFmtId="9" fontId="173" fillId="48" borderId="6" xfId="8733" applyNumberFormat="1" applyFont="1" applyFill="1" applyBorder="1" applyAlignment="1" applyProtection="1">
      <alignment horizontal="center"/>
      <protection locked="0"/>
    </xf>
    <xf numFmtId="9" fontId="173" fillId="48" borderId="10" xfId="8733" applyNumberFormat="1" applyFont="1" applyFill="1" applyBorder="1" applyAlignment="1" applyProtection="1">
      <alignment horizontal="center"/>
      <protection locked="0"/>
    </xf>
    <xf numFmtId="9" fontId="165" fillId="48" borderId="9" xfId="8733" applyNumberFormat="1" applyFont="1" applyFill="1" applyBorder="1" applyAlignment="1" applyProtection="1">
      <alignment horizontal="center"/>
      <protection locked="0"/>
    </xf>
    <xf numFmtId="9" fontId="165" fillId="48" borderId="6" xfId="8733" applyNumberFormat="1" applyFont="1" applyFill="1" applyBorder="1" applyAlignment="1" applyProtection="1">
      <alignment horizontal="center"/>
      <protection locked="0"/>
    </xf>
    <xf numFmtId="9" fontId="165" fillId="48" borderId="10" xfId="8733" applyNumberFormat="1" applyFont="1" applyFill="1" applyBorder="1" applyAlignment="1" applyProtection="1">
      <alignment horizontal="center"/>
      <protection locked="0"/>
    </xf>
    <xf numFmtId="0" fontId="165" fillId="44" borderId="10" xfId="8733" applyFont="1" applyFill="1" applyBorder="1" applyAlignment="1">
      <alignment horizontal="center"/>
    </xf>
    <xf numFmtId="1" fontId="177" fillId="48" borderId="3" xfId="8733" applyNumberFormat="1" applyFont="1" applyFill="1" applyBorder="1" applyAlignment="1" applyProtection="1">
      <alignment horizontal="center"/>
      <protection locked="0"/>
    </xf>
    <xf numFmtId="1" fontId="177" fillId="48" borderId="4" xfId="8733" applyNumberFormat="1" applyFont="1" applyFill="1" applyBorder="1" applyAlignment="1" applyProtection="1">
      <alignment horizontal="center"/>
      <protection locked="0"/>
    </xf>
    <xf numFmtId="1" fontId="177" fillId="48" borderId="5" xfId="8733" applyNumberFormat="1" applyFont="1" applyFill="1" applyBorder="1" applyAlignment="1" applyProtection="1">
      <alignment horizontal="center"/>
      <protection locked="0"/>
    </xf>
    <xf numFmtId="1" fontId="165" fillId="44" borderId="3" xfId="8733" applyNumberFormat="1" applyFont="1" applyFill="1" applyBorder="1" applyAlignment="1">
      <alignment horizontal="center"/>
    </xf>
    <xf numFmtId="1" fontId="165" fillId="44" borderId="4" xfId="8733" applyNumberFormat="1" applyFont="1" applyFill="1" applyBorder="1" applyAlignment="1">
      <alignment horizontal="center"/>
    </xf>
    <xf numFmtId="1" fontId="165" fillId="44" borderId="5" xfId="8733" applyNumberFormat="1" applyFont="1" applyFill="1" applyBorder="1" applyAlignment="1">
      <alignment horizontal="center"/>
    </xf>
    <xf numFmtId="9" fontId="165" fillId="44" borderId="3" xfId="8735" applyFont="1" applyFill="1" applyBorder="1" applyAlignment="1">
      <alignment horizontal="center"/>
    </xf>
    <xf numFmtId="9" fontId="165" fillId="44" borderId="4" xfId="8735" applyFont="1" applyFill="1" applyBorder="1" applyAlignment="1">
      <alignment horizontal="center"/>
    </xf>
    <xf numFmtId="9" fontId="165" fillId="44" borderId="81" xfId="8735" applyFont="1" applyFill="1" applyBorder="1" applyAlignment="1">
      <alignment horizontal="center"/>
    </xf>
    <xf numFmtId="0" fontId="174" fillId="48" borderId="72" xfId="8733" applyFont="1" applyFill="1" applyBorder="1" applyAlignment="1" applyProtection="1">
      <alignment horizontal="right"/>
      <protection locked="0"/>
    </xf>
    <xf numFmtId="0" fontId="174" fillId="48" borderId="11" xfId="8733" applyFont="1" applyFill="1" applyBorder="1" applyAlignment="1" applyProtection="1">
      <alignment horizontal="right"/>
      <protection locked="0"/>
    </xf>
    <xf numFmtId="0" fontId="177" fillId="48" borderId="11" xfId="8733" applyFont="1" applyFill="1" applyBorder="1" applyAlignment="1" applyProtection="1">
      <alignment horizontal="center"/>
      <protection locked="0"/>
    </xf>
    <xf numFmtId="1" fontId="177" fillId="48" borderId="11" xfId="8733" applyNumberFormat="1" applyFont="1" applyFill="1" applyBorder="1" applyAlignment="1" applyProtection="1">
      <alignment horizontal="center"/>
      <protection locked="0"/>
    </xf>
    <xf numFmtId="0" fontId="172" fillId="48" borderId="72" xfId="8733" applyFont="1" applyFill="1" applyBorder="1" applyAlignment="1" applyProtection="1">
      <alignment horizontal="right"/>
      <protection locked="0"/>
    </xf>
    <xf numFmtId="0" fontId="172" fillId="48" borderId="11" xfId="8733" applyFont="1" applyFill="1" applyBorder="1" applyAlignment="1" applyProtection="1">
      <alignment horizontal="right"/>
      <protection locked="0"/>
    </xf>
    <xf numFmtId="0" fontId="172" fillId="48" borderId="69" xfId="8733" applyFont="1" applyFill="1" applyBorder="1" applyAlignment="1" applyProtection="1">
      <alignment horizontal="right"/>
      <protection locked="0"/>
    </xf>
    <xf numFmtId="0" fontId="172" fillId="48" borderId="70" xfId="8733" applyFont="1" applyFill="1" applyBorder="1" applyAlignment="1" applyProtection="1">
      <alignment horizontal="right"/>
      <protection locked="0"/>
    </xf>
    <xf numFmtId="0" fontId="177" fillId="48" borderId="70" xfId="8733" applyFont="1" applyFill="1" applyBorder="1" applyAlignment="1" applyProtection="1">
      <alignment horizontal="center"/>
      <protection locked="0"/>
    </xf>
    <xf numFmtId="1" fontId="177" fillId="48" borderId="70" xfId="8733" applyNumberFormat="1" applyFont="1" applyFill="1" applyBorder="1" applyAlignment="1" applyProtection="1">
      <alignment horizontal="center"/>
      <protection locked="0"/>
    </xf>
    <xf numFmtId="9" fontId="165" fillId="44" borderId="94" xfId="8735" applyFont="1" applyFill="1" applyBorder="1" applyAlignment="1">
      <alignment horizontal="center"/>
    </xf>
    <xf numFmtId="9" fontId="165" fillId="44" borderId="86" xfId="8735" applyFont="1" applyFill="1" applyBorder="1" applyAlignment="1">
      <alignment horizontal="center"/>
    </xf>
    <xf numFmtId="9" fontId="165" fillId="44" borderId="85" xfId="8735" applyFont="1" applyFill="1" applyBorder="1" applyAlignment="1">
      <alignment horizontal="center"/>
    </xf>
    <xf numFmtId="1" fontId="177" fillId="48" borderId="94" xfId="8733" applyNumberFormat="1" applyFont="1" applyFill="1" applyBorder="1" applyAlignment="1" applyProtection="1">
      <alignment horizontal="center"/>
      <protection locked="0"/>
    </xf>
    <xf numFmtId="1" fontId="177" fillId="48" borderId="86" xfId="8733" applyNumberFormat="1" applyFont="1" applyFill="1" applyBorder="1" applyAlignment="1" applyProtection="1">
      <alignment horizontal="center"/>
      <protection locked="0"/>
    </xf>
    <xf numFmtId="1" fontId="177" fillId="48" borderId="95" xfId="8733" applyNumberFormat="1" applyFont="1" applyFill="1" applyBorder="1" applyAlignment="1" applyProtection="1">
      <alignment horizontal="center"/>
      <protection locked="0"/>
    </xf>
    <xf numFmtId="0" fontId="166" fillId="45" borderId="67" xfId="8733" applyFont="1" applyFill="1" applyBorder="1" applyAlignment="1">
      <alignment horizontal="center"/>
    </xf>
    <xf numFmtId="0" fontId="166" fillId="45" borderId="68" xfId="8733" applyFont="1" applyFill="1" applyBorder="1" applyAlignment="1">
      <alignment horizontal="center"/>
    </xf>
    <xf numFmtId="0" fontId="166" fillId="45" borderId="71" xfId="8733" applyFont="1" applyFill="1" applyBorder="1" applyAlignment="1">
      <alignment horizontal="center"/>
    </xf>
    <xf numFmtId="0" fontId="173" fillId="45" borderId="72" xfId="8733" applyFont="1" applyFill="1" applyBorder="1" applyAlignment="1">
      <alignment horizontal="center"/>
    </xf>
    <xf numFmtId="0" fontId="173" fillId="45" borderId="11" xfId="8733" applyFont="1" applyFill="1" applyBorder="1" applyAlignment="1">
      <alignment horizontal="center"/>
    </xf>
    <xf numFmtId="0" fontId="165" fillId="45" borderId="11" xfId="8733" applyFont="1" applyFill="1" applyBorder="1" applyAlignment="1">
      <alignment horizontal="center" vertical="center" wrapText="1"/>
    </xf>
    <xf numFmtId="0" fontId="165" fillId="45" borderId="76" xfId="8733" applyFont="1" applyFill="1" applyBorder="1" applyAlignment="1">
      <alignment horizontal="center" vertical="center" wrapText="1"/>
    </xf>
    <xf numFmtId="0" fontId="172" fillId="48" borderId="11" xfId="8733" applyFont="1" applyFill="1" applyBorder="1" applyAlignment="1" applyProtection="1">
      <alignment horizontal="center"/>
      <protection locked="0"/>
    </xf>
    <xf numFmtId="168" fontId="172" fillId="48" borderId="11" xfId="8734" applyNumberFormat="1" applyFont="1" applyFill="1" applyBorder="1" applyAlignment="1" applyProtection="1">
      <alignment horizontal="center"/>
      <protection locked="0"/>
    </xf>
    <xf numFmtId="1" fontId="172" fillId="48" borderId="11" xfId="8733"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0" fontId="166" fillId="45" borderId="65" xfId="8733" applyFont="1" applyFill="1" applyBorder="1" applyAlignment="1">
      <alignment horizontal="center"/>
    </xf>
    <xf numFmtId="0" fontId="166" fillId="45" borderId="29" xfId="8733" applyFont="1" applyFill="1" applyBorder="1" applyAlignment="1">
      <alignment horizontal="center"/>
    </xf>
    <xf numFmtId="0" fontId="166" fillId="45" borderId="31" xfId="8733" applyFont="1" applyFill="1" applyBorder="1" applyAlignment="1">
      <alignment horizontal="center"/>
    </xf>
    <xf numFmtId="0" fontId="172" fillId="44" borderId="72" xfId="8733" applyFont="1" applyFill="1" applyBorder="1" applyAlignment="1" applyProtection="1">
      <alignment horizontal="right"/>
      <protection locked="0"/>
    </xf>
    <xf numFmtId="0" fontId="172" fillId="44" borderId="11" xfId="8733" applyFont="1" applyFill="1" applyBorder="1" applyAlignment="1" applyProtection="1">
      <alignment horizontal="right"/>
      <protection locked="0"/>
    </xf>
    <xf numFmtId="0" fontId="172" fillId="44" borderId="76" xfId="8733" applyFont="1" applyFill="1" applyBorder="1" applyAlignment="1" applyProtection="1">
      <alignment horizontal="right"/>
      <protection locked="0"/>
    </xf>
    <xf numFmtId="0" fontId="172" fillId="48" borderId="5" xfId="8733" applyFont="1" applyFill="1" applyBorder="1" applyAlignment="1" applyProtection="1">
      <alignment horizontal="left"/>
      <protection locked="0"/>
    </xf>
    <xf numFmtId="0" fontId="172" fillId="48" borderId="11" xfId="8733" applyFont="1" applyFill="1" applyBorder="1" applyAlignment="1" applyProtection="1">
      <alignment horizontal="left"/>
      <protection locked="0"/>
    </xf>
    <xf numFmtId="0" fontId="172" fillId="48" borderId="76" xfId="8733" applyFont="1" applyFill="1" applyBorder="1" applyAlignment="1" applyProtection="1">
      <alignment horizontal="left"/>
      <protection locked="0"/>
    </xf>
    <xf numFmtId="0" fontId="173" fillId="45" borderId="69" xfId="8733" applyFont="1" applyFill="1" applyBorder="1" applyAlignment="1">
      <alignment horizontal="center"/>
    </xf>
    <xf numFmtId="0" fontId="173" fillId="45" borderId="70" xfId="8733" applyFont="1" applyFill="1" applyBorder="1" applyAlignment="1">
      <alignment horizontal="center"/>
    </xf>
    <xf numFmtId="168" fontId="173" fillId="45" borderId="70" xfId="8734" applyNumberFormat="1" applyFont="1" applyFill="1" applyBorder="1" applyAlignment="1">
      <alignment horizontal="center"/>
    </xf>
    <xf numFmtId="1" fontId="173" fillId="45" borderId="70" xfId="8734" applyNumberFormat="1" applyFont="1" applyFill="1" applyBorder="1" applyAlignment="1">
      <alignment horizontal="center"/>
    </xf>
    <xf numFmtId="0" fontId="173" fillId="45" borderId="70" xfId="8734" applyNumberFormat="1" applyFont="1" applyFill="1" applyBorder="1" applyAlignment="1">
      <alignment horizontal="center"/>
    </xf>
    <xf numFmtId="0" fontId="173" fillId="45" borderId="77" xfId="8734" applyNumberFormat="1" applyFont="1" applyFill="1" applyBorder="1" applyAlignment="1">
      <alignment horizontal="center"/>
    </xf>
    <xf numFmtId="0" fontId="169" fillId="48" borderId="74" xfId="8733" applyFont="1" applyFill="1" applyBorder="1" applyAlignment="1" applyProtection="1">
      <alignment horizontal="left"/>
      <protection locked="0"/>
    </xf>
    <xf numFmtId="0" fontId="169" fillId="48" borderId="68" xfId="8733" applyFont="1" applyFill="1" applyBorder="1" applyAlignment="1" applyProtection="1">
      <alignment horizontal="left"/>
      <protection locked="0"/>
    </xf>
    <xf numFmtId="0" fontId="169" fillId="48" borderId="71" xfId="8733" applyFont="1" applyFill="1" applyBorder="1" applyAlignment="1" applyProtection="1">
      <alignment horizontal="left"/>
      <protection locked="0"/>
    </xf>
    <xf numFmtId="0" fontId="166" fillId="45" borderId="72" xfId="8733" applyFont="1" applyFill="1" applyBorder="1" applyAlignment="1">
      <alignment horizontal="center"/>
    </xf>
    <xf numFmtId="0" fontId="166" fillId="45" borderId="11" xfId="8733" applyFont="1" applyFill="1" applyBorder="1" applyAlignment="1">
      <alignment horizontal="center"/>
    </xf>
    <xf numFmtId="0" fontId="166" fillId="45" borderId="3" xfId="8733" applyFont="1" applyFill="1" applyBorder="1" applyAlignment="1">
      <alignment horizontal="center"/>
    </xf>
    <xf numFmtId="0" fontId="166" fillId="45" borderId="4" xfId="8733" applyFont="1" applyFill="1" applyBorder="1" applyAlignment="1">
      <alignment horizontal="center"/>
    </xf>
    <xf numFmtId="0" fontId="166" fillId="45" borderId="81" xfId="8733" applyFont="1" applyFill="1" applyBorder="1" applyAlignment="1">
      <alignment horizontal="center"/>
    </xf>
    <xf numFmtId="0" fontId="102" fillId="45" borderId="69" xfId="8733" applyFont="1" applyFill="1" applyBorder="1" applyAlignment="1">
      <alignment horizontal="center"/>
    </xf>
    <xf numFmtId="0" fontId="102" fillId="45" borderId="70" xfId="8733" applyFont="1" applyFill="1" applyBorder="1" applyAlignment="1">
      <alignment horizontal="center"/>
    </xf>
    <xf numFmtId="0" fontId="172" fillId="44" borderId="69" xfId="8733" applyFont="1" applyFill="1" applyBorder="1" applyAlignment="1" applyProtection="1">
      <alignment horizontal="right"/>
      <protection locked="0"/>
    </xf>
    <xf numFmtId="0" fontId="172" fillId="44" borderId="70" xfId="8733" applyFont="1" applyFill="1" applyBorder="1" applyAlignment="1" applyProtection="1">
      <alignment horizontal="right"/>
      <protection locked="0"/>
    </xf>
    <xf numFmtId="0" fontId="172" fillId="44" borderId="77" xfId="8733" applyFont="1" applyFill="1" applyBorder="1" applyAlignment="1" applyProtection="1">
      <alignment horizontal="right"/>
      <protection locked="0"/>
    </xf>
    <xf numFmtId="0" fontId="172" fillId="48" borderId="95" xfId="8733" applyFont="1" applyFill="1" applyBorder="1" applyAlignment="1" applyProtection="1">
      <alignment horizontal="left"/>
      <protection locked="0"/>
    </xf>
    <xf numFmtId="0" fontId="172" fillId="48" borderId="70" xfId="8733" applyFont="1" applyFill="1" applyBorder="1" applyAlignment="1" applyProtection="1">
      <alignment horizontal="left"/>
      <protection locked="0"/>
    </xf>
    <xf numFmtId="0" fontId="172" fillId="48" borderId="77" xfId="8733" applyFont="1" applyFill="1" applyBorder="1" applyAlignment="1" applyProtection="1">
      <alignment horizontal="left"/>
      <protection locked="0"/>
    </xf>
    <xf numFmtId="168" fontId="174" fillId="48" borderId="11" xfId="700" applyNumberFormat="1" applyFont="1" applyFill="1" applyBorder="1" applyAlignment="1" applyProtection="1">
      <alignment horizontal="left"/>
      <protection locked="0"/>
    </xf>
    <xf numFmtId="168" fontId="174" fillId="48" borderId="76" xfId="700" applyNumberFormat="1" applyFont="1" applyFill="1" applyBorder="1" applyAlignment="1" applyProtection="1">
      <alignment horizontal="left"/>
      <protection locked="0"/>
    </xf>
    <xf numFmtId="0" fontId="172" fillId="48" borderId="68" xfId="8733" applyFont="1" applyFill="1" applyBorder="1" applyAlignment="1" applyProtection="1">
      <alignment horizontal="left"/>
      <protection locked="0"/>
    </xf>
    <xf numFmtId="0" fontId="172" fillId="48" borderId="71" xfId="8733" applyFont="1" applyFill="1" applyBorder="1" applyAlignment="1" applyProtection="1">
      <alignment horizontal="left"/>
      <protection locked="0"/>
    </xf>
    <xf numFmtId="0" fontId="166" fillId="45" borderId="69" xfId="8733" applyFont="1" applyFill="1" applyBorder="1" applyAlignment="1">
      <alignment horizontal="center"/>
    </xf>
    <xf numFmtId="0" fontId="166" fillId="45" borderId="70" xfId="8733" applyFont="1" applyFill="1" applyBorder="1" applyAlignment="1">
      <alignment horizontal="center"/>
    </xf>
    <xf numFmtId="0" fontId="102" fillId="45" borderId="67" xfId="8733" applyFont="1" applyFill="1" applyBorder="1" applyAlignment="1">
      <alignment horizontal="center"/>
    </xf>
    <xf numFmtId="0" fontId="102" fillId="45" borderId="68" xfId="8733" applyFont="1" applyFill="1" applyBorder="1" applyAlignment="1">
      <alignment horizontal="center"/>
    </xf>
    <xf numFmtId="0" fontId="2" fillId="48" borderId="9" xfId="8733" applyFill="1" applyBorder="1" applyAlignment="1" applyProtection="1">
      <alignment horizontal="center"/>
      <protection locked="0"/>
    </xf>
    <xf numFmtId="0" fontId="2" fillId="48" borderId="6" xfId="8733" applyFill="1" applyBorder="1" applyAlignment="1" applyProtection="1">
      <alignment horizontal="center"/>
      <protection locked="0"/>
    </xf>
    <xf numFmtId="0" fontId="2" fillId="48" borderId="82" xfId="8733" applyFill="1" applyBorder="1" applyAlignment="1" applyProtection="1">
      <alignment horizontal="center"/>
      <protection locked="0"/>
    </xf>
    <xf numFmtId="0" fontId="173" fillId="45" borderId="97" xfId="8733" applyFont="1" applyFill="1" applyBorder="1" applyAlignment="1">
      <alignment horizontal="left"/>
    </xf>
    <xf numFmtId="0" fontId="173" fillId="45" borderId="2" xfId="8733" applyFont="1" applyFill="1" applyBorder="1" applyAlignment="1">
      <alignment horizontal="left"/>
    </xf>
    <xf numFmtId="10" fontId="2" fillId="0" borderId="94" xfId="8733" applyNumberFormat="1" applyBorder="1" applyAlignment="1">
      <alignment horizontal="center"/>
    </xf>
    <xf numFmtId="10" fontId="2" fillId="0" borderId="86" xfId="8733" applyNumberFormat="1" applyBorder="1" applyAlignment="1">
      <alignment horizontal="center"/>
    </xf>
    <xf numFmtId="10" fontId="2" fillId="0" borderId="85" xfId="8733" applyNumberFormat="1" applyBorder="1" applyAlignment="1">
      <alignment horizontal="center"/>
    </xf>
    <xf numFmtId="0" fontId="173" fillId="45" borderId="73" xfId="8733" applyFont="1" applyFill="1" applyBorder="1" applyAlignment="1">
      <alignment horizontal="left"/>
    </xf>
    <xf numFmtId="0" fontId="173" fillId="45" borderId="42" xfId="8733" applyFont="1" applyFill="1" applyBorder="1" applyAlignment="1">
      <alignment horizontal="left"/>
    </xf>
    <xf numFmtId="10" fontId="2" fillId="48" borderId="94" xfId="8733" applyNumberFormat="1" applyFill="1" applyBorder="1" applyAlignment="1" applyProtection="1">
      <alignment horizontal="center"/>
      <protection locked="0"/>
    </xf>
    <xf numFmtId="10" fontId="2" fillId="48" borderId="86" xfId="8733" applyNumberFormat="1" applyFill="1" applyBorder="1" applyAlignment="1" applyProtection="1">
      <alignment horizontal="center"/>
      <protection locked="0"/>
    </xf>
    <xf numFmtId="10" fontId="2" fillId="48" borderId="85" xfId="8733" applyNumberFormat="1" applyFill="1" applyBorder="1" applyAlignment="1" applyProtection="1">
      <alignment horizontal="center"/>
      <protection locked="0"/>
    </xf>
    <xf numFmtId="0" fontId="102" fillId="45" borderId="67" xfId="8733" applyFont="1" applyFill="1" applyBorder="1" applyAlignment="1">
      <alignment horizontal="center" wrapText="1"/>
    </xf>
    <xf numFmtId="0" fontId="102" fillId="45" borderId="68" xfId="8733" applyFont="1" applyFill="1" applyBorder="1" applyAlignment="1">
      <alignment horizontal="center" wrapText="1"/>
    </xf>
    <xf numFmtId="0" fontId="102" fillId="45" borderId="71" xfId="8733" applyFont="1" applyFill="1" applyBorder="1" applyAlignment="1">
      <alignment horizontal="center" wrapText="1"/>
    </xf>
    <xf numFmtId="0" fontId="166" fillId="45" borderId="98" xfId="8733" applyFont="1" applyFill="1" applyBorder="1" applyAlignment="1">
      <alignment horizontal="center"/>
    </xf>
    <xf numFmtId="0" fontId="166" fillId="45" borderId="13" xfId="8733" applyFont="1" applyFill="1" applyBorder="1" applyAlignment="1">
      <alignment horizontal="center"/>
    </xf>
    <xf numFmtId="0" fontId="172" fillId="48" borderId="72" xfId="8733" applyFont="1" applyFill="1" applyBorder="1" applyAlignment="1" applyProtection="1">
      <alignment horizontal="left" vertical="top"/>
      <protection locked="0"/>
    </xf>
    <xf numFmtId="0" fontId="172" fillId="48" borderId="11" xfId="8733" applyFont="1" applyFill="1" applyBorder="1" applyAlignment="1" applyProtection="1">
      <alignment horizontal="left" vertical="top"/>
      <protection locked="0"/>
    </xf>
    <xf numFmtId="0" fontId="172" fillId="48" borderId="76" xfId="8733" applyFont="1" applyFill="1" applyBorder="1" applyAlignment="1" applyProtection="1">
      <alignment horizontal="left" vertical="top"/>
      <protection locked="0"/>
    </xf>
    <xf numFmtId="0" fontId="172" fillId="48" borderId="69" xfId="8733" applyFont="1" applyFill="1" applyBorder="1" applyAlignment="1" applyProtection="1">
      <alignment horizontal="left" vertical="top"/>
      <protection locked="0"/>
    </xf>
    <xf numFmtId="0" fontId="172" fillId="48" borderId="70" xfId="8733" applyFont="1" applyFill="1" applyBorder="1" applyAlignment="1" applyProtection="1">
      <alignment horizontal="left" vertical="top"/>
      <protection locked="0"/>
    </xf>
    <xf numFmtId="0" fontId="172" fillId="48" borderId="77" xfId="8733" applyFont="1" applyFill="1" applyBorder="1" applyAlignment="1" applyProtection="1">
      <alignment horizontal="left" vertical="top"/>
      <protection locked="0"/>
    </xf>
    <xf numFmtId="0" fontId="172" fillId="48" borderId="72" xfId="8733" applyFont="1" applyFill="1" applyBorder="1" applyAlignment="1" applyProtection="1">
      <alignment horizontal="center"/>
      <protection locked="0"/>
    </xf>
    <xf numFmtId="0" fontId="166" fillId="45" borderId="89" xfId="8733" applyFont="1" applyFill="1" applyBorder="1" applyAlignment="1">
      <alignment horizontal="right"/>
    </xf>
    <xf numFmtId="0" fontId="166" fillId="45" borderId="43" xfId="8733" applyFont="1" applyFill="1" applyBorder="1" applyAlignment="1">
      <alignment horizontal="right"/>
    </xf>
    <xf numFmtId="168" fontId="166" fillId="45" borderId="43" xfId="8733" applyNumberFormat="1" applyFont="1" applyFill="1" applyBorder="1" applyAlignment="1">
      <alignment horizontal="left"/>
    </xf>
    <xf numFmtId="168" fontId="166" fillId="45" borderId="88" xfId="8733" applyNumberFormat="1" applyFont="1" applyFill="1" applyBorder="1" applyAlignment="1">
      <alignment horizontal="left"/>
    </xf>
    <xf numFmtId="0" fontId="2" fillId="48" borderId="11" xfId="8733" applyFill="1" applyBorder="1" applyAlignment="1" applyProtection="1">
      <alignment horizontal="center"/>
      <protection locked="0"/>
    </xf>
    <xf numFmtId="0" fontId="2" fillId="48" borderId="76" xfId="8733" applyFill="1" applyBorder="1" applyAlignment="1" applyProtection="1">
      <alignment horizontal="center"/>
      <protection locked="0"/>
    </xf>
    <xf numFmtId="0" fontId="102" fillId="45" borderId="67" xfId="8733" applyFont="1" applyFill="1" applyBorder="1" applyAlignment="1">
      <alignment horizontal="left" wrapText="1"/>
    </xf>
    <xf numFmtId="0" fontId="102" fillId="45" borderId="68" xfId="8733" applyFont="1" applyFill="1" applyBorder="1" applyAlignment="1">
      <alignment horizontal="left" wrapText="1"/>
    </xf>
    <xf numFmtId="0" fontId="102" fillId="45" borderId="72" xfId="8733" applyFont="1" applyFill="1" applyBorder="1" applyAlignment="1">
      <alignment horizontal="left" wrapText="1"/>
    </xf>
    <xf numFmtId="0" fontId="102" fillId="45" borderId="11" xfId="8733" applyFont="1" applyFill="1" applyBorder="1" applyAlignment="1">
      <alignment horizontal="left" wrapText="1"/>
    </xf>
    <xf numFmtId="0" fontId="169" fillId="48" borderId="68" xfId="8733" applyFont="1" applyFill="1" applyBorder="1" applyAlignment="1" applyProtection="1">
      <alignment horizontal="left" wrapText="1"/>
      <protection locked="0"/>
    </xf>
    <xf numFmtId="0" fontId="169" fillId="48" borderId="71" xfId="8733" applyFont="1" applyFill="1" applyBorder="1" applyAlignment="1" applyProtection="1">
      <alignment horizontal="left" wrapText="1"/>
      <protection locked="0"/>
    </xf>
    <xf numFmtId="0" fontId="169" fillId="48" borderId="11" xfId="8733" applyFont="1" applyFill="1" applyBorder="1" applyAlignment="1" applyProtection="1">
      <alignment horizontal="left" wrapText="1"/>
      <protection locked="0"/>
    </xf>
    <xf numFmtId="0" fontId="169" fillId="48" borderId="76" xfId="8733" applyFont="1" applyFill="1" applyBorder="1" applyAlignment="1" applyProtection="1">
      <alignment horizontal="left" wrapText="1"/>
      <protection locked="0"/>
    </xf>
    <xf numFmtId="0" fontId="173" fillId="45" borderId="11" xfId="8733" applyFont="1" applyFill="1" applyBorder="1" applyAlignment="1">
      <alignment horizontal="center" wrapText="1"/>
    </xf>
    <xf numFmtId="0" fontId="165" fillId="45" borderId="11" xfId="8733" applyFont="1" applyFill="1" applyBorder="1" applyAlignment="1">
      <alignment horizontal="center"/>
    </xf>
    <xf numFmtId="0" fontId="165" fillId="45" borderId="76" xfId="8733" applyFont="1" applyFill="1" applyBorder="1" applyAlignment="1">
      <alignment horizontal="center"/>
    </xf>
    <xf numFmtId="0" fontId="173" fillId="45" borderId="7" xfId="8733" applyFont="1" applyFill="1" applyBorder="1" applyAlignment="1">
      <alignment horizontal="left"/>
    </xf>
    <xf numFmtId="0" fontId="173" fillId="45" borderId="96" xfId="8733" applyFont="1" applyFill="1" applyBorder="1" applyAlignment="1">
      <alignment horizontal="left"/>
    </xf>
    <xf numFmtId="0" fontId="2" fillId="48" borderId="70" xfId="8733" applyFill="1" applyBorder="1" applyAlignment="1" applyProtection="1">
      <alignment horizontal="center"/>
      <protection locked="0"/>
    </xf>
    <xf numFmtId="0" fontId="2" fillId="48" borderId="77" xfId="8733" applyFill="1" applyBorder="1" applyAlignment="1" applyProtection="1">
      <alignment horizontal="center"/>
      <protection locked="0"/>
    </xf>
    <xf numFmtId="0" fontId="169" fillId="48" borderId="3" xfId="8733" applyFont="1" applyFill="1" applyBorder="1" applyAlignment="1" applyProtection="1">
      <alignment horizontal="center"/>
      <protection locked="0"/>
    </xf>
    <xf numFmtId="0" fontId="169" fillId="48" borderId="4" xfId="8733" applyFont="1" applyFill="1" applyBorder="1" applyAlignment="1" applyProtection="1">
      <alignment horizontal="center"/>
      <protection locked="0"/>
    </xf>
    <xf numFmtId="0" fontId="169" fillId="48" borderId="81" xfId="8733" applyFont="1" applyFill="1" applyBorder="1" applyAlignment="1" applyProtection="1">
      <alignment horizontal="center"/>
      <protection locked="0"/>
    </xf>
    <xf numFmtId="0" fontId="102" fillId="45" borderId="71" xfId="8733" applyFont="1" applyFill="1" applyBorder="1" applyAlignment="1">
      <alignment horizontal="center"/>
    </xf>
    <xf numFmtId="0" fontId="169" fillId="48" borderId="3" xfId="8733" applyFont="1" applyFill="1" applyBorder="1" applyAlignment="1">
      <alignment horizontal="center"/>
    </xf>
    <xf numFmtId="0" fontId="169" fillId="48" borderId="4" xfId="8733" applyFont="1" applyFill="1" applyBorder="1" applyAlignment="1">
      <alignment horizontal="center"/>
    </xf>
    <xf numFmtId="0" fontId="169" fillId="48" borderId="81" xfId="8733" applyFont="1" applyFill="1" applyBorder="1" applyAlignment="1">
      <alignment horizontal="center"/>
    </xf>
    <xf numFmtId="0" fontId="179" fillId="45" borderId="11" xfId="8733" applyFont="1" applyFill="1" applyBorder="1" applyAlignment="1">
      <alignment horizontal="left"/>
    </xf>
    <xf numFmtId="0" fontId="179" fillId="45" borderId="76" xfId="8733" applyFont="1" applyFill="1" applyBorder="1" applyAlignment="1">
      <alignment horizontal="left"/>
    </xf>
    <xf numFmtId="0" fontId="176" fillId="45" borderId="72" xfId="8733" applyFont="1" applyFill="1" applyBorder="1" applyAlignment="1">
      <alignment horizontal="left"/>
    </xf>
    <xf numFmtId="0" fontId="176" fillId="45" borderId="11" xfId="8733" applyFont="1" applyFill="1" applyBorder="1" applyAlignment="1">
      <alignment horizontal="left"/>
    </xf>
    <xf numFmtId="0" fontId="176" fillId="45" borderId="69" xfId="8733" applyFont="1" applyFill="1" applyBorder="1" applyAlignment="1">
      <alignment horizontal="left"/>
    </xf>
    <xf numFmtId="0" fontId="176" fillId="45" borderId="70" xfId="8733" applyFont="1" applyFill="1" applyBorder="1" applyAlignment="1">
      <alignment horizontal="left"/>
    </xf>
    <xf numFmtId="0" fontId="2" fillId="51" borderId="70" xfId="8733" applyFill="1" applyBorder="1" applyAlignment="1" applyProtection="1">
      <alignment horizontal="center"/>
      <protection locked="0"/>
    </xf>
    <xf numFmtId="0" fontId="2" fillId="51" borderId="77" xfId="8733" applyFill="1" applyBorder="1" applyAlignment="1" applyProtection="1">
      <alignment horizontal="center"/>
      <protection locked="0"/>
    </xf>
    <xf numFmtId="0" fontId="102" fillId="45" borderId="67" xfId="8733" applyFont="1" applyFill="1" applyBorder="1" applyAlignment="1" applyProtection="1">
      <alignment horizontal="left" vertical="center" wrapText="1"/>
      <protection locked="0"/>
    </xf>
    <xf numFmtId="0" fontId="102" fillId="45" borderId="68" xfId="8733" applyFont="1" applyFill="1" applyBorder="1" applyAlignment="1" applyProtection="1">
      <alignment horizontal="left" vertical="center" wrapText="1"/>
      <protection locked="0"/>
    </xf>
    <xf numFmtId="0" fontId="102" fillId="45" borderId="72" xfId="8733" applyFont="1" applyFill="1" applyBorder="1" applyAlignment="1" applyProtection="1">
      <alignment horizontal="left" vertical="center" wrapText="1"/>
      <protection locked="0"/>
    </xf>
    <xf numFmtId="0" fontId="102" fillId="45" borderId="11" xfId="8733" applyFont="1" applyFill="1" applyBorder="1" applyAlignment="1" applyProtection="1">
      <alignment horizontal="left" vertical="center" wrapText="1"/>
      <protection locked="0"/>
    </xf>
    <xf numFmtId="0" fontId="169" fillId="48" borderId="68" xfId="8733" applyFont="1" applyFill="1" applyBorder="1" applyAlignment="1" applyProtection="1">
      <alignment horizontal="left" vertical="center" wrapText="1"/>
      <protection locked="0"/>
    </xf>
    <xf numFmtId="0" fontId="169" fillId="48" borderId="71" xfId="8733" applyFont="1" applyFill="1" applyBorder="1" applyAlignment="1" applyProtection="1">
      <alignment horizontal="left" vertical="center" wrapText="1"/>
      <protection locked="0"/>
    </xf>
    <xf numFmtId="0" fontId="169" fillId="48" borderId="11" xfId="8733" applyFont="1" applyFill="1" applyBorder="1" applyAlignment="1" applyProtection="1">
      <alignment horizontal="left" vertical="center" wrapText="1"/>
      <protection locked="0"/>
    </xf>
    <xf numFmtId="0" fontId="169" fillId="48" borderId="76" xfId="8733" applyFont="1" applyFill="1" applyBorder="1" applyAlignment="1" applyProtection="1">
      <alignment horizontal="left" vertical="center" wrapText="1"/>
      <protection locked="0"/>
    </xf>
    <xf numFmtId="0" fontId="172" fillId="48" borderId="72" xfId="8733" applyFont="1" applyFill="1" applyBorder="1" applyAlignment="1" applyProtection="1">
      <alignment horizontal="left" vertical="top" wrapText="1"/>
      <protection locked="0"/>
    </xf>
    <xf numFmtId="0" fontId="172" fillId="48" borderId="11" xfId="8733" applyFont="1" applyFill="1" applyBorder="1" applyAlignment="1" applyProtection="1">
      <alignment horizontal="left" vertical="top" wrapText="1"/>
      <protection locked="0"/>
    </xf>
    <xf numFmtId="0" fontId="172" fillId="48" borderId="69" xfId="8733" applyFont="1" applyFill="1" applyBorder="1" applyAlignment="1" applyProtection="1">
      <alignment horizontal="left" vertical="top" wrapText="1"/>
      <protection locked="0"/>
    </xf>
    <xf numFmtId="0" fontId="172" fillId="48" borderId="70" xfId="8733" applyFont="1" applyFill="1" applyBorder="1" applyAlignment="1" applyProtection="1">
      <alignment horizontal="left" vertical="top" wrapText="1"/>
      <protection locked="0"/>
    </xf>
    <xf numFmtId="0" fontId="169" fillId="48" borderId="11" xfId="8733" applyFont="1" applyFill="1" applyBorder="1" applyAlignment="1" applyProtection="1">
      <alignment horizontal="center" vertical="center" wrapText="1"/>
      <protection locked="0"/>
    </xf>
    <xf numFmtId="0" fontId="169" fillId="48" borderId="76" xfId="8733" applyFont="1" applyFill="1" applyBorder="1" applyAlignment="1" applyProtection="1">
      <alignment horizontal="center" vertical="center" wrapText="1"/>
      <protection locked="0"/>
    </xf>
    <xf numFmtId="0" fontId="169" fillId="48" borderId="70" xfId="8733" applyFont="1" applyFill="1" applyBorder="1" applyAlignment="1" applyProtection="1">
      <alignment horizontal="center" vertical="center" wrapText="1"/>
      <protection locked="0"/>
    </xf>
    <xf numFmtId="0" fontId="169" fillId="48" borderId="77" xfId="8733" applyFont="1" applyFill="1" applyBorder="1" applyAlignment="1" applyProtection="1">
      <alignment horizontal="center" vertical="center" wrapText="1"/>
      <protection locked="0"/>
    </xf>
    <xf numFmtId="0" fontId="102" fillId="45" borderId="71" xfId="8733" applyFont="1" applyFill="1" applyBorder="1" applyAlignment="1">
      <alignment horizontal="left" wrapText="1"/>
    </xf>
    <xf numFmtId="0" fontId="102" fillId="45" borderId="76" xfId="8733" applyFont="1" applyFill="1" applyBorder="1" applyAlignment="1">
      <alignment horizontal="left" wrapText="1"/>
    </xf>
    <xf numFmtId="0" fontId="102" fillId="45" borderId="65" xfId="8733" applyFont="1" applyFill="1" applyBorder="1" applyAlignment="1">
      <alignment horizontal="center"/>
    </xf>
    <xf numFmtId="0" fontId="102" fillId="45" borderId="29" xfId="8733" applyFont="1" applyFill="1" applyBorder="1" applyAlignment="1">
      <alignment horizontal="center"/>
    </xf>
    <xf numFmtId="0" fontId="102" fillId="45" borderId="31" xfId="8733" applyFont="1" applyFill="1" applyBorder="1" applyAlignment="1">
      <alignment horizontal="center"/>
    </xf>
    <xf numFmtId="0" fontId="165" fillId="48" borderId="90" xfId="8733" applyFont="1" applyFill="1" applyBorder="1" applyAlignment="1">
      <alignment horizontal="left"/>
    </xf>
    <xf numFmtId="0" fontId="165" fillId="48" borderId="4" xfId="8733" applyFont="1" applyFill="1" applyBorder="1" applyAlignment="1">
      <alignment horizontal="left"/>
    </xf>
    <xf numFmtId="0" fontId="165" fillId="48" borderId="5" xfId="8733" applyFont="1" applyFill="1" applyBorder="1" applyAlignment="1">
      <alignment horizontal="left"/>
    </xf>
    <xf numFmtId="0" fontId="165" fillId="45" borderId="72" xfId="8733" applyFont="1" applyFill="1" applyBorder="1" applyAlignment="1">
      <alignment horizontal="left"/>
    </xf>
    <xf numFmtId="0" fontId="165" fillId="45" borderId="11" xfId="8733" applyFont="1" applyFill="1" applyBorder="1" applyAlignment="1">
      <alignment horizontal="left"/>
    </xf>
    <xf numFmtId="0" fontId="177" fillId="48" borderId="11" xfId="8733" applyFont="1" applyFill="1" applyBorder="1" applyAlignment="1" applyProtection="1">
      <alignment horizontal="left"/>
      <protection locked="0"/>
    </xf>
    <xf numFmtId="0" fontId="177" fillId="48" borderId="76" xfId="8733" applyFont="1" applyFill="1" applyBorder="1" applyAlignment="1" applyProtection="1">
      <alignment horizontal="left"/>
      <protection locked="0"/>
    </xf>
    <xf numFmtId="0" fontId="174" fillId="48" borderId="72" xfId="8733" applyFont="1" applyFill="1" applyBorder="1" applyAlignment="1" applyProtection="1">
      <alignment horizontal="left" vertical="top"/>
      <protection locked="0"/>
    </xf>
    <xf numFmtId="0" fontId="174" fillId="48" borderId="11" xfId="8733" applyFont="1" applyFill="1" applyBorder="1" applyAlignment="1" applyProtection="1">
      <alignment horizontal="left" vertical="top"/>
      <protection locked="0"/>
    </xf>
    <xf numFmtId="0" fontId="174" fillId="48" borderId="76" xfId="8733" applyFont="1" applyFill="1" applyBorder="1" applyAlignment="1" applyProtection="1">
      <alignment horizontal="left" vertical="top"/>
      <protection locked="0"/>
    </xf>
    <xf numFmtId="0" fontId="174" fillId="48" borderId="69" xfId="8733" applyFont="1" applyFill="1" applyBorder="1" applyAlignment="1" applyProtection="1">
      <alignment horizontal="left" vertical="top"/>
      <protection locked="0"/>
    </xf>
    <xf numFmtId="0" fontId="174" fillId="48" borderId="70" xfId="8733" applyFont="1" applyFill="1" applyBorder="1" applyAlignment="1" applyProtection="1">
      <alignment horizontal="left" vertical="top"/>
      <protection locked="0"/>
    </xf>
    <xf numFmtId="0" fontId="174" fillId="48" borderId="77" xfId="8733" applyFont="1" applyFill="1" applyBorder="1" applyAlignment="1" applyProtection="1">
      <alignment horizontal="left" vertical="top"/>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02" fillId="45" borderId="72" xfId="8733" applyFont="1" applyFill="1" applyBorder="1" applyAlignment="1">
      <alignment horizontal="center"/>
    </xf>
    <xf numFmtId="0" fontId="102" fillId="45" borderId="11" xfId="8733" applyFont="1" applyFill="1" applyBorder="1" applyAlignment="1">
      <alignment horizontal="center"/>
    </xf>
    <xf numFmtId="0" fontId="165" fillId="45" borderId="11" xfId="8733" applyFont="1" applyFill="1" applyBorder="1" applyAlignment="1">
      <alignment horizontal="center" wrapText="1"/>
    </xf>
    <xf numFmtId="0" fontId="165" fillId="45" borderId="76" xfId="8733" applyFont="1" applyFill="1" applyBorder="1" applyAlignment="1">
      <alignment horizontal="center" wrapText="1"/>
    </xf>
    <xf numFmtId="0" fontId="171" fillId="45" borderId="72" xfId="8733" applyFont="1" applyFill="1" applyBorder="1" applyAlignment="1">
      <alignment horizontal="center"/>
    </xf>
    <xf numFmtId="0" fontId="171" fillId="45" borderId="11" xfId="8733" applyFont="1" applyFill="1" applyBorder="1" applyAlignment="1">
      <alignment horizontal="center"/>
    </xf>
    <xf numFmtId="0" fontId="174" fillId="48" borderId="11" xfId="8733" applyFont="1" applyFill="1" applyBorder="1" applyAlignment="1" applyProtection="1">
      <alignment horizontal="center"/>
      <protection locked="0"/>
    </xf>
    <xf numFmtId="14" fontId="172" fillId="48" borderId="11" xfId="8733" applyNumberFormat="1" applyFont="1" applyFill="1" applyBorder="1" applyAlignment="1" applyProtection="1">
      <alignment horizontal="center"/>
      <protection locked="0"/>
    </xf>
    <xf numFmtId="14" fontId="174" fillId="48" borderId="11" xfId="8733" applyNumberFormat="1" applyFont="1" applyFill="1" applyBorder="1" applyAlignment="1" applyProtection="1">
      <alignment horizontal="center"/>
      <protection locked="0"/>
    </xf>
    <xf numFmtId="0" fontId="102" fillId="45" borderId="76" xfId="8733" applyFont="1" applyFill="1" applyBorder="1" applyAlignment="1">
      <alignment horizontal="center"/>
    </xf>
    <xf numFmtId="168" fontId="174" fillId="48" borderId="11" xfId="8734" applyNumberFormat="1" applyFont="1" applyFill="1" applyBorder="1" applyAlignment="1" applyProtection="1">
      <alignment horizontal="center"/>
      <protection locked="0"/>
    </xf>
    <xf numFmtId="168" fontId="174" fillId="48" borderId="76" xfId="8734" applyNumberFormat="1" applyFont="1" applyFill="1" applyBorder="1" applyAlignment="1" applyProtection="1">
      <alignment horizontal="center"/>
      <protection locked="0"/>
    </xf>
    <xf numFmtId="0" fontId="175" fillId="48" borderId="11" xfId="8733" applyFont="1" applyFill="1" applyBorder="1" applyAlignment="1" applyProtection="1">
      <alignment horizontal="left"/>
      <protection locked="0"/>
    </xf>
    <xf numFmtId="0" fontId="171" fillId="45" borderId="69" xfId="8733" applyFont="1" applyFill="1" applyBorder="1" applyAlignment="1">
      <alignment horizontal="center"/>
    </xf>
    <xf numFmtId="0" fontId="171" fillId="45" borderId="70" xfId="8733" applyFont="1" applyFill="1" applyBorder="1" applyAlignment="1">
      <alignment horizontal="center"/>
    </xf>
    <xf numFmtId="0" fontId="175" fillId="48" borderId="70" xfId="8733" applyFont="1" applyFill="1" applyBorder="1" applyAlignment="1" applyProtection="1">
      <alignment horizontal="left"/>
      <protection locked="0"/>
    </xf>
    <xf numFmtId="0" fontId="174" fillId="48" borderId="70" xfId="8733" applyFont="1" applyFill="1" applyBorder="1" applyAlignment="1" applyProtection="1">
      <alignment horizontal="center"/>
      <protection locked="0"/>
    </xf>
    <xf numFmtId="14" fontId="174" fillId="48" borderId="70" xfId="8733" applyNumberFormat="1" applyFont="1" applyFill="1" applyBorder="1" applyAlignment="1" applyProtection="1">
      <alignment horizontal="center"/>
      <protection locked="0"/>
    </xf>
    <xf numFmtId="168" fontId="174" fillId="48" borderId="70" xfId="8734" applyNumberFormat="1" applyFont="1" applyFill="1" applyBorder="1" applyAlignment="1" applyProtection="1">
      <alignment horizontal="center"/>
      <protection locked="0"/>
    </xf>
    <xf numFmtId="168" fontId="174" fillId="48" borderId="77" xfId="8734" applyNumberFormat="1" applyFont="1" applyFill="1" applyBorder="1" applyAlignment="1" applyProtection="1">
      <alignment horizontal="center"/>
      <protection locked="0"/>
    </xf>
    <xf numFmtId="0" fontId="166" fillId="45" borderId="67" xfId="8733" applyFont="1" applyFill="1" applyBorder="1" applyAlignment="1">
      <alignment horizontal="left"/>
    </xf>
    <xf numFmtId="0" fontId="166" fillId="45" borderId="68" xfId="8733" applyFont="1" applyFill="1" applyBorder="1" applyAlignment="1">
      <alignment horizontal="left"/>
    </xf>
    <xf numFmtId="0" fontId="166" fillId="45" borderId="71" xfId="8733" applyFont="1" applyFill="1" applyBorder="1" applyAlignment="1">
      <alignment horizontal="left"/>
    </xf>
    <xf numFmtId="14" fontId="172" fillId="48" borderId="76" xfId="8733" applyNumberFormat="1" applyFont="1" applyFill="1" applyBorder="1" applyAlignment="1" applyProtection="1">
      <alignment horizontal="center"/>
      <protection locked="0"/>
    </xf>
    <xf numFmtId="0" fontId="172" fillId="48" borderId="69" xfId="8733" applyFont="1" applyFill="1" applyBorder="1" applyAlignment="1" applyProtection="1">
      <alignment horizontal="center"/>
      <protection locked="0"/>
    </xf>
    <xf numFmtId="0" fontId="172" fillId="48" borderId="70" xfId="8733" applyFont="1" applyFill="1" applyBorder="1" applyAlignment="1" applyProtection="1">
      <alignment horizontal="center"/>
      <protection locked="0"/>
    </xf>
    <xf numFmtId="14" fontId="172" fillId="48" borderId="70" xfId="8733" applyNumberFormat="1" applyFont="1" applyFill="1" applyBorder="1" applyAlignment="1" applyProtection="1">
      <alignment horizontal="center"/>
      <protection locked="0"/>
    </xf>
    <xf numFmtId="14" fontId="172" fillId="48" borderId="77" xfId="8733" applyNumberFormat="1" applyFont="1" applyFill="1" applyBorder="1" applyAlignment="1" applyProtection="1">
      <alignment horizontal="center"/>
      <protection locked="0"/>
    </xf>
    <xf numFmtId="0" fontId="172" fillId="45" borderId="72" xfId="8733" applyFont="1" applyFill="1" applyBorder="1" applyAlignment="1">
      <alignment horizontal="right"/>
    </xf>
    <xf numFmtId="0" fontId="172" fillId="45" borderId="11" xfId="8733" applyFont="1" applyFill="1" applyBorder="1" applyAlignment="1">
      <alignment horizontal="right"/>
    </xf>
    <xf numFmtId="168" fontId="174" fillId="44" borderId="11" xfId="700" applyNumberFormat="1" applyFont="1" applyFill="1" applyBorder="1" applyAlignment="1">
      <alignment horizontal="left"/>
    </xf>
    <xf numFmtId="0" fontId="102" fillId="45" borderId="65" xfId="8733" applyFont="1" applyFill="1" applyBorder="1" applyAlignment="1">
      <alignment horizontal="left" wrapText="1"/>
    </xf>
    <xf numFmtId="0" fontId="102" fillId="45" borderId="29" xfId="8733" applyFont="1" applyFill="1" applyBorder="1" applyAlignment="1">
      <alignment horizontal="left" wrapText="1"/>
    </xf>
    <xf numFmtId="0" fontId="102" fillId="45" borderId="31" xfId="8733" applyFont="1" applyFill="1" applyBorder="1" applyAlignment="1">
      <alignment horizontal="left" wrapText="1"/>
    </xf>
    <xf numFmtId="0" fontId="102" fillId="45" borderId="73" xfId="8733" applyFont="1" applyFill="1" applyBorder="1" applyAlignment="1">
      <alignment horizontal="left" wrapText="1"/>
    </xf>
    <xf numFmtId="0" fontId="102" fillId="45" borderId="42" xfId="8733" applyFont="1" applyFill="1" applyBorder="1" applyAlignment="1">
      <alignment horizontal="left" wrapText="1"/>
    </xf>
    <xf numFmtId="0" fontId="102" fillId="45" borderId="44" xfId="8733" applyFont="1" applyFill="1" applyBorder="1" applyAlignment="1">
      <alignment horizontal="left" wrapText="1"/>
    </xf>
    <xf numFmtId="168" fontId="172" fillId="48" borderId="11" xfId="700" applyNumberFormat="1" applyFont="1" applyFill="1" applyBorder="1" applyAlignment="1" applyProtection="1">
      <alignment horizontal="left"/>
      <protection locked="0"/>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2" fillId="47" borderId="0" xfId="8733" applyFont="1" applyFill="1" applyAlignment="1">
      <alignment horizontal="center"/>
    </xf>
    <xf numFmtId="0" fontId="173" fillId="51" borderId="11" xfId="8733" applyFont="1" applyFill="1" applyBorder="1" applyAlignment="1">
      <alignment horizontal="center"/>
    </xf>
    <xf numFmtId="0" fontId="173" fillId="51" borderId="76" xfId="8733" applyFont="1" applyFill="1" applyBorder="1" applyAlignment="1">
      <alignment horizontal="center"/>
    </xf>
    <xf numFmtId="0" fontId="174" fillId="45" borderId="72" xfId="8733" applyFont="1" applyFill="1" applyBorder="1" applyAlignment="1">
      <alignment horizontal="right"/>
    </xf>
    <xf numFmtId="0" fontId="174" fillId="45" borderId="11" xfId="8733" applyFont="1" applyFill="1" applyBorder="1" applyAlignment="1">
      <alignment horizontal="right"/>
    </xf>
    <xf numFmtId="168" fontId="172" fillId="44" borderId="11" xfId="700" applyNumberFormat="1" applyFont="1" applyFill="1" applyBorder="1" applyAlignment="1" applyProtection="1">
      <alignment horizontal="left"/>
      <protection locked="0"/>
    </xf>
    <xf numFmtId="0" fontId="2" fillId="48" borderId="3" xfId="8733" applyFill="1" applyBorder="1" applyAlignment="1">
      <alignment horizontal="center"/>
    </xf>
    <xf numFmtId="0" fontId="2" fillId="48" borderId="4" xfId="8733" applyFill="1" applyBorder="1" applyAlignment="1">
      <alignment horizontal="center"/>
    </xf>
    <xf numFmtId="0" fontId="2" fillId="48" borderId="81" xfId="8733" applyFill="1" applyBorder="1" applyAlignment="1">
      <alignment horizontal="center"/>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3" applyFont="1" applyFill="1" applyBorder="1" applyAlignment="1">
      <alignment horizontal="center"/>
    </xf>
    <xf numFmtId="0" fontId="172" fillId="48" borderId="6" xfId="8733" applyFont="1" applyFill="1" applyBorder="1" applyAlignment="1">
      <alignment horizontal="center"/>
    </xf>
    <xf numFmtId="0" fontId="172" fillId="48" borderId="82" xfId="8733" applyFont="1" applyFill="1" applyBorder="1" applyAlignment="1">
      <alignment horizontal="center"/>
    </xf>
    <xf numFmtId="0" fontId="174" fillId="48" borderId="11" xfId="8733" applyFont="1" applyFill="1" applyBorder="1" applyAlignment="1" applyProtection="1">
      <alignment horizontal="left"/>
      <protection locked="0"/>
    </xf>
    <xf numFmtId="0" fontId="2" fillId="48" borderId="1" xfId="8733" applyFill="1" applyBorder="1" applyAlignment="1">
      <alignment horizontal="center"/>
    </xf>
    <xf numFmtId="0" fontId="2" fillId="48" borderId="2" xfId="8733" applyFill="1" applyBorder="1" applyAlignment="1">
      <alignment horizontal="center"/>
    </xf>
    <xf numFmtId="0" fontId="2" fillId="48" borderId="112" xfId="8733" applyFill="1" applyBorder="1" applyAlignment="1">
      <alignment horizontal="center"/>
    </xf>
    <xf numFmtId="0" fontId="174" fillId="48" borderId="72" xfId="8733"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0" fontId="174" fillId="45" borderId="67" xfId="8733" applyFont="1" applyFill="1" applyBorder="1" applyAlignment="1">
      <alignment horizontal="right"/>
    </xf>
    <xf numFmtId="0" fontId="174" fillId="45" borderId="68" xfId="8733"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3" applyFont="1" applyFill="1" applyBorder="1" applyAlignment="1">
      <alignment horizontal="left" wrapText="1"/>
    </xf>
    <xf numFmtId="0" fontId="171" fillId="48" borderId="0" xfId="8733" applyFont="1" applyFill="1" applyAlignment="1">
      <alignment horizontal="left" wrapText="1"/>
    </xf>
    <xf numFmtId="0" fontId="171" fillId="48" borderId="41" xfId="8733" applyFont="1" applyFill="1" applyBorder="1" applyAlignment="1">
      <alignment horizontal="left" wrapText="1"/>
    </xf>
    <xf numFmtId="0" fontId="171" fillId="48" borderId="73" xfId="8733" applyFont="1" applyFill="1" applyBorder="1" applyAlignment="1">
      <alignment horizontal="left" wrapText="1"/>
    </xf>
    <xf numFmtId="0" fontId="171" fillId="48" borderId="42" xfId="8733" applyFont="1" applyFill="1" applyBorder="1" applyAlignment="1">
      <alignment horizontal="left" wrapText="1"/>
    </xf>
    <xf numFmtId="0" fontId="171" fillId="48" borderId="44" xfId="8733" applyFont="1" applyFill="1" applyBorder="1" applyAlignment="1">
      <alignment horizontal="left" wrapText="1"/>
    </xf>
    <xf numFmtId="0" fontId="173" fillId="45" borderId="69" xfId="8733" applyFont="1" applyFill="1" applyBorder="1" applyAlignment="1">
      <alignment horizontal="right"/>
    </xf>
    <xf numFmtId="0" fontId="173" fillId="45" borderId="70" xfId="8733"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3"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3" applyFont="1" applyFill="1" applyBorder="1" applyAlignment="1" applyProtection="1">
      <alignment horizontal="center"/>
      <protection locked="0"/>
    </xf>
    <xf numFmtId="0" fontId="172" fillId="48" borderId="86" xfId="8733" applyFont="1" applyFill="1" applyBorder="1" applyAlignment="1" applyProtection="1">
      <alignment horizontal="center"/>
      <protection locked="0"/>
    </xf>
    <xf numFmtId="0" fontId="174" fillId="48" borderId="70" xfId="8733" applyFont="1" applyFill="1" applyBorder="1" applyAlignment="1" applyProtection="1">
      <alignment horizontal="left"/>
      <protection locked="0"/>
    </xf>
    <xf numFmtId="0" fontId="174" fillId="48" borderId="77" xfId="8733"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3" applyFont="1" applyFill="1" applyBorder="1" applyAlignment="1" applyProtection="1">
      <alignment horizontal="left"/>
      <protection locked="0"/>
    </xf>
    <xf numFmtId="0" fontId="172" fillId="48" borderId="86" xfId="8733" applyFont="1" applyFill="1" applyBorder="1" applyAlignment="1" applyProtection="1">
      <alignment horizontal="left"/>
      <protection locked="0"/>
    </xf>
    <xf numFmtId="0" fontId="172" fillId="48" borderId="85" xfId="8733" applyFont="1" applyFill="1" applyBorder="1" applyAlignment="1" applyProtection="1">
      <alignment horizontal="left"/>
      <protection locked="0"/>
    </xf>
    <xf numFmtId="0" fontId="102" fillId="48" borderId="80" xfId="8733" applyFont="1" applyFill="1" applyBorder="1" applyAlignment="1">
      <alignment horizontal="left"/>
    </xf>
    <xf numFmtId="0" fontId="102" fillId="48" borderId="79" xfId="8733" applyFont="1" applyFill="1" applyBorder="1" applyAlignment="1">
      <alignment horizontal="left"/>
    </xf>
    <xf numFmtId="44" fontId="2" fillId="48" borderId="84" xfId="700" applyFont="1" applyFill="1" applyBorder="1" applyAlignment="1" applyProtection="1">
      <alignment horizontal="center"/>
      <protection locked="0"/>
    </xf>
    <xf numFmtId="0" fontId="172" fillId="45" borderId="11" xfId="8733"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3" applyNumberFormat="1" applyBorder="1" applyAlignment="1">
      <alignment horizontal="center"/>
    </xf>
    <xf numFmtId="0" fontId="2" fillId="0" borderId="13" xfId="8733" applyBorder="1" applyAlignment="1">
      <alignment horizontal="center"/>
    </xf>
    <xf numFmtId="0" fontId="165" fillId="45" borderId="80" xfId="0" applyFont="1" applyFill="1" applyBorder="1" applyAlignment="1" applyProtection="1">
      <alignment horizontal="center" wrapText="1"/>
      <protection hidden="1"/>
    </xf>
    <xf numFmtId="0" fontId="165" fillId="45" borderId="79" xfId="0" applyFont="1" applyFill="1" applyBorder="1" applyAlignment="1" applyProtection="1">
      <alignment horizontal="center" wrapText="1"/>
      <protection hidden="1"/>
    </xf>
    <xf numFmtId="0" fontId="165" fillId="45" borderId="78" xfId="0" applyFont="1" applyFill="1" applyBorder="1" applyAlignment="1" applyProtection="1">
      <alignment horizontal="center" wrapText="1"/>
      <protection hidden="1"/>
    </xf>
    <xf numFmtId="0" fontId="165" fillId="45" borderId="13" xfId="0" applyFont="1" applyFill="1" applyBorder="1" applyAlignment="1" applyProtection="1">
      <alignment horizontal="left" wrapText="1"/>
      <protection hidden="1"/>
    </xf>
    <xf numFmtId="0" fontId="165" fillId="45" borderId="13" xfId="0" applyFont="1" applyFill="1" applyBorder="1" applyAlignment="1" applyProtection="1">
      <alignment horizontal="center" wrapText="1"/>
      <protection hidden="1"/>
    </xf>
    <xf numFmtId="0" fontId="171" fillId="45" borderId="11" xfId="8733"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0"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4"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67" fillId="47" borderId="65" xfId="8733" applyFont="1" applyFill="1" applyBorder="1" applyAlignment="1">
      <alignment horizontal="center"/>
    </xf>
    <xf numFmtId="0" fontId="167" fillId="47" borderId="29" xfId="8733" applyFont="1" applyFill="1" applyBorder="1" applyAlignment="1">
      <alignment horizontal="center"/>
    </xf>
    <xf numFmtId="0" fontId="167" fillId="47" borderId="31" xfId="8733" applyFont="1" applyFill="1" applyBorder="1" applyAlignment="1">
      <alignment horizontal="center"/>
    </xf>
    <xf numFmtId="0" fontId="2" fillId="47" borderId="66" xfId="8733" applyFill="1" applyBorder="1" applyAlignment="1">
      <alignment horizontal="center"/>
    </xf>
    <xf numFmtId="0" fontId="2" fillId="47" borderId="0" xfId="8733" applyFill="1" applyAlignment="1">
      <alignment horizontal="center"/>
    </xf>
    <xf numFmtId="0" fontId="2" fillId="47" borderId="41" xfId="8733" applyFill="1" applyBorder="1" applyAlignment="1">
      <alignment horizontal="center"/>
    </xf>
    <xf numFmtId="0" fontId="166" fillId="47" borderId="66" xfId="8733" applyFont="1" applyFill="1" applyBorder="1" applyAlignment="1">
      <alignment horizontal="center"/>
    </xf>
    <xf numFmtId="0" fontId="166" fillId="47" borderId="0" xfId="8733" applyFont="1" applyFill="1" applyAlignment="1">
      <alignment horizontal="center"/>
    </xf>
    <xf numFmtId="0" fontId="166" fillId="47" borderId="41" xfId="8733" applyFont="1" applyFill="1" applyBorder="1" applyAlignment="1">
      <alignment horizontal="center"/>
    </xf>
    <xf numFmtId="0" fontId="102" fillId="47" borderId="66" xfId="8733" applyFont="1" applyFill="1" applyBorder="1" applyAlignment="1">
      <alignment horizontal="center"/>
    </xf>
    <xf numFmtId="0" fontId="102" fillId="47" borderId="41" xfId="8733" applyFont="1" applyFill="1" applyBorder="1" applyAlignment="1">
      <alignment horizontal="center"/>
    </xf>
    <xf numFmtId="0" fontId="102" fillId="47" borderId="0" xfId="8733" applyFont="1" applyFill="1" applyAlignment="1">
      <alignment horizontal="left"/>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4"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02" fillId="44" borderId="0" xfId="8733" applyFont="1" applyFill="1" applyAlignment="1">
      <alignment horizontal="left"/>
    </xf>
    <xf numFmtId="0" fontId="2" fillId="48" borderId="80" xfId="8733" applyFill="1" applyBorder="1" applyAlignment="1" applyProtection="1">
      <alignment horizontal="left"/>
      <protection locked="0"/>
    </xf>
    <xf numFmtId="0" fontId="2" fillId="48" borderId="79" xfId="8733" applyFill="1" applyBorder="1" applyAlignment="1" applyProtection="1">
      <alignment horizontal="left"/>
      <protection locked="0"/>
    </xf>
    <xf numFmtId="0" fontId="2" fillId="48" borderId="78" xfId="8733" applyFill="1" applyBorder="1" applyAlignment="1" applyProtection="1">
      <alignment horizontal="left"/>
      <protection locked="0"/>
    </xf>
    <xf numFmtId="0" fontId="165" fillId="44" borderId="0" xfId="8733" applyFont="1" applyFill="1" applyAlignment="1">
      <alignment horizontal="left" vertical="top"/>
    </xf>
    <xf numFmtId="0" fontId="102" fillId="44" borderId="0" xfId="8730" applyFont="1" applyFill="1" applyBorder="1" applyAlignment="1">
      <alignment horizontal="left" vertical="top"/>
    </xf>
    <xf numFmtId="14" fontId="2" fillId="48" borderId="80" xfId="8733" applyNumberFormat="1" applyFill="1" applyBorder="1" applyAlignment="1" applyProtection="1">
      <alignment horizontal="center"/>
      <protection locked="0"/>
    </xf>
    <xf numFmtId="14" fontId="2" fillId="48" borderId="79" xfId="8733" applyNumberFormat="1" applyFill="1" applyBorder="1" applyAlignment="1" applyProtection="1">
      <alignment horizontal="center"/>
      <protection locked="0"/>
    </xf>
    <xf numFmtId="14" fontId="2" fillId="48" borderId="78" xfId="8733" applyNumberFormat="1" applyFill="1" applyBorder="1" applyAlignment="1" applyProtection="1">
      <alignment horizontal="center"/>
      <protection locked="0"/>
    </xf>
    <xf numFmtId="0" fontId="166" fillId="47" borderId="0" xfId="8733" applyFont="1" applyFill="1" applyAlignment="1">
      <alignment horizontal="left" vertical="top" wrapText="1"/>
    </xf>
    <xf numFmtId="0" fontId="102" fillId="47" borderId="42" xfId="8733" applyFont="1" applyFill="1" applyBorder="1" applyAlignment="1">
      <alignment horizontal="center"/>
    </xf>
    <xf numFmtId="0" fontId="2" fillId="48" borderId="80" xfId="8733" applyFill="1" applyBorder="1" applyAlignment="1" applyProtection="1">
      <alignment horizontal="center"/>
      <protection locked="0"/>
    </xf>
    <xf numFmtId="0" fontId="2" fillId="48" borderId="79" xfId="8733" applyFill="1" applyBorder="1" applyAlignment="1" applyProtection="1">
      <alignment horizontal="center"/>
      <protection locked="0"/>
    </xf>
    <xf numFmtId="0" fontId="2" fillId="48" borderId="78" xfId="8733" applyFill="1" applyBorder="1" applyAlignment="1" applyProtection="1">
      <alignment horizontal="center"/>
      <protection locked="0"/>
    </xf>
    <xf numFmtId="168" fontId="17" fillId="2" borderId="3" xfId="569" applyNumberFormat="1" applyFill="1" applyBorder="1" applyAlignment="1">
      <alignment horizontal="center"/>
    </xf>
    <xf numFmtId="168" fontId="17" fillId="2" borderId="4" xfId="569" applyNumberFormat="1" applyFill="1" applyBorder="1" applyAlignment="1">
      <alignment horizontal="center"/>
    </xf>
    <xf numFmtId="168" fontId="17" fillId="2" borderId="5" xfId="569" applyNumberFormat="1" applyFill="1" applyBorder="1" applyAlignment="1">
      <alignment horizontal="center"/>
    </xf>
    <xf numFmtId="168" fontId="17" fillId="5" borderId="5" xfId="569" applyNumberFormat="1" applyFill="1" applyBorder="1" applyAlignment="1" applyProtection="1">
      <alignment horizontal="center"/>
      <protection locked="0"/>
    </xf>
    <xf numFmtId="168" fontId="17" fillId="5" borderId="11" xfId="569" applyNumberFormat="1" applyFill="1" applyBorder="1" applyAlignment="1" applyProtection="1">
      <alignment horizontal="center"/>
      <protection locked="0"/>
    </xf>
    <xf numFmtId="168" fontId="17" fillId="0" borderId="5" xfId="569" applyNumberFormat="1" applyBorder="1" applyAlignment="1">
      <alignment horizontal="center"/>
    </xf>
    <xf numFmtId="168" fontId="17" fillId="0" borderId="11" xfId="569" applyNumberFormat="1" applyBorder="1" applyAlignment="1">
      <alignment horizontal="center"/>
    </xf>
    <xf numFmtId="168" fontId="17" fillId="0" borderId="3" xfId="569" applyNumberFormat="1" applyBorder="1" applyAlignment="1">
      <alignment horizontal="center"/>
    </xf>
    <xf numFmtId="168" fontId="17" fillId="0" borderId="4" xfId="569" applyNumberFormat="1" applyBorder="1" applyAlignment="1">
      <alignment horizontal="center"/>
    </xf>
    <xf numFmtId="179" fontId="24" fillId="0" borderId="0" xfId="569" applyNumberFormat="1" applyFont="1" applyAlignment="1">
      <alignment horizontal="center" wrapText="1"/>
    </xf>
    <xf numFmtId="0" fontId="24" fillId="0" borderId="16" xfId="271" applyFont="1" applyBorder="1" applyAlignment="1">
      <alignment horizontal="center"/>
    </xf>
    <xf numFmtId="164" fontId="24" fillId="0" borderId="0" xfId="569" applyNumberFormat="1" applyFont="1" applyAlignment="1">
      <alignment horizontal="center" wrapText="1"/>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0" fontId="53" fillId="0" borderId="0" xfId="569" applyFont="1" applyAlignment="1">
      <alignment horizontal="left"/>
    </xf>
    <xf numFmtId="0" fontId="17" fillId="0" borderId="3" xfId="569" applyBorder="1" applyAlignment="1">
      <alignment horizontal="right"/>
    </xf>
    <xf numFmtId="0" fontId="17" fillId="0" borderId="4" xfId="569" applyBorder="1" applyAlignment="1">
      <alignment horizontal="right"/>
    </xf>
    <xf numFmtId="0" fontId="17" fillId="0" borderId="5" xfId="569" applyBorder="1" applyAlignment="1">
      <alignment horizontal="right"/>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168" fontId="17" fillId="0" borderId="3" xfId="569" applyNumberFormat="1" applyBorder="1" applyAlignment="1">
      <alignment horizontal="right"/>
    </xf>
    <xf numFmtId="168" fontId="17" fillId="0" borderId="4" xfId="569" applyNumberFormat="1" applyBorder="1" applyAlignment="1">
      <alignment horizontal="right"/>
    </xf>
    <xf numFmtId="168" fontId="17" fillId="0" borderId="5" xfId="569" applyNumberFormat="1" applyBorder="1" applyAlignment="1">
      <alignment horizontal="right"/>
    </xf>
    <xf numFmtId="9" fontId="17" fillId="0" borderId="5" xfId="569" applyNumberFormat="1" applyBorder="1" applyAlignment="1">
      <alignment horizontal="center"/>
    </xf>
    <xf numFmtId="9" fontId="17" fillId="0" borderId="11" xfId="569" applyNumberFormat="1" applyBorder="1" applyAlignment="1">
      <alignment horizontal="center"/>
    </xf>
    <xf numFmtId="0" fontId="24" fillId="0" borderId="3" xfId="569" applyFont="1" applyBorder="1" applyAlignment="1">
      <alignment horizontal="left"/>
    </xf>
    <xf numFmtId="0" fontId="24" fillId="0" borderId="5" xfId="569" applyFont="1" applyBorder="1" applyAlignment="1">
      <alignment horizontal="left"/>
    </xf>
    <xf numFmtId="0" fontId="25" fillId="0" borderId="4" xfId="569" applyFont="1" applyBorder="1" applyAlignment="1">
      <alignment horizontal="left"/>
    </xf>
    <xf numFmtId="0" fontId="25" fillId="0" borderId="5" xfId="569" applyFont="1" applyBorder="1" applyAlignment="1">
      <alignment horizontal="left"/>
    </xf>
    <xf numFmtId="0" fontId="23" fillId="3" borderId="2" xfId="569" applyFont="1" applyFill="1" applyBorder="1" applyAlignment="1">
      <alignment horizontal="center" vertical="center"/>
    </xf>
    <xf numFmtId="0" fontId="23" fillId="3" borderId="16" xfId="569" applyFont="1" applyFill="1" applyBorder="1" applyAlignment="1">
      <alignment horizontal="center" vertical="center"/>
    </xf>
    <xf numFmtId="0" fontId="24" fillId="0" borderId="11" xfId="569" applyFont="1" applyBorder="1" applyAlignment="1">
      <alignment horizontal="center" wrapText="1"/>
    </xf>
    <xf numFmtId="168" fontId="17" fillId="0" borderId="7" xfId="569" applyNumberFormat="1" applyBorder="1" applyAlignment="1">
      <alignment horizontal="center"/>
    </xf>
    <xf numFmtId="168" fontId="17" fillId="0" borderId="15" xfId="569" applyNumberFormat="1" applyBorder="1" applyAlignment="1">
      <alignment horizontal="center"/>
    </xf>
    <xf numFmtId="168" fontId="17" fillId="5" borderId="10" xfId="569" applyNumberFormat="1" applyFill="1" applyBorder="1" applyAlignment="1" applyProtection="1">
      <alignment horizontal="center"/>
      <protection locked="0"/>
    </xf>
    <xf numFmtId="168" fontId="17" fillId="5" borderId="13" xfId="569" applyNumberFormat="1" applyFill="1" applyBorder="1" applyAlignment="1" applyProtection="1">
      <alignment horizontal="center"/>
      <protection locked="0"/>
    </xf>
    <xf numFmtId="5" fontId="17" fillId="0" borderId="5" xfId="569" applyNumberFormat="1" applyBorder="1" applyAlignment="1">
      <alignment horizontal="center"/>
    </xf>
    <xf numFmtId="5" fontId="17" fillId="0" borderId="11" xfId="569" applyNumberFormat="1" applyBorder="1" applyAlignment="1">
      <alignment horizontal="center"/>
    </xf>
    <xf numFmtId="5" fontId="17" fillId="0" borderId="3" xfId="569" applyNumberFormat="1" applyBorder="1" applyAlignment="1">
      <alignment horizontal="center"/>
    </xf>
    <xf numFmtId="5" fontId="17" fillId="0" borderId="4" xfId="569" applyNumberFormat="1" applyBorder="1" applyAlignment="1">
      <alignment horizontal="center"/>
    </xf>
    <xf numFmtId="9" fontId="17" fillId="0" borderId="9" xfId="569" applyNumberFormat="1" applyBorder="1" applyAlignment="1">
      <alignment horizontal="center" vertical="center"/>
    </xf>
    <xf numFmtId="9" fontId="17" fillId="0" borderId="6" xfId="569" applyNumberFormat="1" applyBorder="1" applyAlignment="1">
      <alignment horizontal="center" vertical="center"/>
    </xf>
    <xf numFmtId="9" fontId="17" fillId="0" borderId="10" xfId="569" applyNumberFormat="1" applyBorder="1" applyAlignment="1">
      <alignment horizontal="center" vertical="center"/>
    </xf>
    <xf numFmtId="168" fontId="17" fillId="0" borderId="11" xfId="569" applyNumberFormat="1" applyBorder="1" applyAlignment="1">
      <alignment horizontal="right"/>
    </xf>
    <xf numFmtId="0" fontId="24" fillId="0" borderId="6" xfId="569" applyFont="1" applyBorder="1" applyAlignment="1">
      <alignment horizontal="center"/>
    </xf>
    <xf numFmtId="0" fontId="17" fillId="0" borderId="4" xfId="569" applyBorder="1" applyAlignment="1">
      <alignment horizontal="center"/>
    </xf>
    <xf numFmtId="0" fontId="17" fillId="0" borderId="5" xfId="569" applyBorder="1" applyAlignment="1">
      <alignment horizontal="center"/>
    </xf>
    <xf numFmtId="176" fontId="17" fillId="5" borderId="3" xfId="569" applyNumberFormat="1" applyFill="1" applyBorder="1" applyAlignment="1" applyProtection="1">
      <alignment horizontal="right"/>
      <protection locked="0"/>
    </xf>
    <xf numFmtId="176" fontId="17" fillId="5" borderId="4" xfId="569" applyNumberFormat="1" applyFill="1" applyBorder="1" applyAlignment="1" applyProtection="1">
      <alignment horizontal="right"/>
      <protection locked="0"/>
    </xf>
    <xf numFmtId="176" fontId="17" fillId="5" borderId="5" xfId="569" applyNumberFormat="1" applyFill="1" applyBorder="1" applyAlignment="1" applyProtection="1">
      <alignment horizontal="right"/>
      <protection locked="0"/>
    </xf>
    <xf numFmtId="0" fontId="107" fillId="0" borderId="0" xfId="569" applyFont="1" applyAlignment="1">
      <alignment horizontal="left" wrapText="1"/>
    </xf>
    <xf numFmtId="0" fontId="24" fillId="0" borderId="11" xfId="569" applyFont="1" applyBorder="1" applyAlignment="1">
      <alignment horizontal="center"/>
    </xf>
    <xf numFmtId="165" fontId="17" fillId="0" borderId="11" xfId="569" applyNumberFormat="1" applyBorder="1" applyAlignment="1" applyProtection="1">
      <alignment horizontal="center"/>
      <protection locked="0"/>
    </xf>
    <xf numFmtId="168" fontId="17" fillId="0" borderId="11" xfId="569" applyNumberFormat="1" applyBorder="1"/>
    <xf numFmtId="168" fontId="17" fillId="0" borderId="3" xfId="569" applyNumberFormat="1" applyBorder="1"/>
    <xf numFmtId="168" fontId="17" fillId="0" borderId="4" xfId="569" applyNumberFormat="1" applyBorder="1"/>
    <xf numFmtId="168" fontId="17" fillId="0" borderId="5" xfId="569" applyNumberFormat="1" applyBorder="1"/>
    <xf numFmtId="168" fontId="17" fillId="0" borderId="11" xfId="569" applyNumberFormat="1" applyBorder="1" applyAlignment="1">
      <alignment wrapText="1"/>
    </xf>
    <xf numFmtId="9" fontId="17" fillId="0" borderId="15" xfId="569" applyNumberFormat="1" applyBorder="1" applyAlignment="1">
      <alignment horizontal="center"/>
    </xf>
    <xf numFmtId="0" fontId="17" fillId="0" borderId="11" xfId="569" applyBorder="1" applyAlignment="1">
      <alignment horizontal="center"/>
    </xf>
    <xf numFmtId="0" fontId="107" fillId="0" borderId="0" xfId="0" applyFont="1" applyAlignment="1">
      <alignment horizontal="left" vertical="top" wrapText="1"/>
    </xf>
    <xf numFmtId="0" fontId="24" fillId="0" borderId="0" xfId="4495" applyFont="1" applyAlignment="1">
      <alignment horizontal="left" wrapText="1"/>
    </xf>
    <xf numFmtId="0" fontId="17" fillId="0" borderId="0" xfId="4495" applyFont="1" applyAlignment="1">
      <alignment wrapText="1"/>
    </xf>
    <xf numFmtId="0" fontId="17" fillId="0" borderId="0" xfId="4495" applyFont="1" applyAlignment="1">
      <alignment horizontal="left"/>
    </xf>
    <xf numFmtId="0" fontId="17" fillId="5" borderId="6" xfId="4495" applyFont="1" applyFill="1" applyBorder="1" applyAlignment="1" applyProtection="1">
      <alignment horizontal="center"/>
      <protection locked="0"/>
    </xf>
    <xf numFmtId="164" fontId="17" fillId="0" borderId="50" xfId="4495" applyNumberFormat="1" applyFont="1" applyBorder="1" applyAlignment="1">
      <alignment horizontal="left" vertical="top" wrapText="1"/>
    </xf>
    <xf numFmtId="164" fontId="17" fillId="0" borderId="51" xfId="4495" applyNumberFormat="1" applyFont="1" applyBorder="1" applyAlignment="1">
      <alignment horizontal="left" vertical="top" wrapText="1"/>
    </xf>
    <xf numFmtId="164" fontId="17" fillId="0" borderId="52" xfId="4495" applyNumberFormat="1" applyFont="1" applyBorder="1" applyAlignment="1">
      <alignment horizontal="left" vertical="top" wrapText="1"/>
    </xf>
    <xf numFmtId="164" fontId="17" fillId="0" borderId="53" xfId="4495" applyNumberFormat="1" applyFont="1" applyBorder="1" applyAlignment="1">
      <alignment horizontal="left" vertical="top" wrapText="1"/>
    </xf>
    <xf numFmtId="164" fontId="17" fillId="0" borderId="0" xfId="4495" applyNumberFormat="1" applyFont="1" applyAlignment="1">
      <alignment horizontal="left" vertical="top" wrapText="1"/>
    </xf>
    <xf numFmtId="164" fontId="17" fillId="0" borderId="54" xfId="4495" applyNumberFormat="1" applyFont="1" applyBorder="1" applyAlignment="1">
      <alignment horizontal="left" vertical="top" wrapText="1"/>
    </xf>
    <xf numFmtId="164" fontId="17" fillId="0" borderId="57" xfId="4495" applyNumberFormat="1" applyFont="1" applyBorder="1" applyAlignment="1">
      <alignment horizontal="left" vertical="top" wrapText="1"/>
    </xf>
    <xf numFmtId="164" fontId="17" fillId="0" borderId="58" xfId="4495" applyNumberFormat="1" applyFont="1" applyBorder="1" applyAlignment="1">
      <alignment horizontal="left" vertical="top" wrapText="1"/>
    </xf>
    <xf numFmtId="164" fontId="17" fillId="0" borderId="59" xfId="4495" applyNumberFormat="1" applyFont="1" applyBorder="1" applyAlignment="1">
      <alignment horizontal="left" vertical="top" wrapText="1"/>
    </xf>
    <xf numFmtId="0" fontId="17" fillId="45" borderId="11" xfId="4495" applyFont="1" applyFill="1" applyBorder="1" applyAlignment="1">
      <alignment horizontal="center"/>
    </xf>
    <xf numFmtId="4" fontId="25" fillId="0" borderId="3" xfId="4495" applyNumberFormat="1" applyFont="1" applyBorder="1" applyAlignment="1">
      <alignment horizontal="center"/>
    </xf>
    <xf numFmtId="4" fontId="25" fillId="0" borderId="4" xfId="4495" applyNumberFormat="1" applyFont="1" applyBorder="1" applyAlignment="1">
      <alignment horizontal="center"/>
    </xf>
    <xf numFmtId="4" fontId="25" fillId="0" borderId="5" xfId="4495" applyNumberFormat="1" applyFont="1" applyBorder="1" applyAlignment="1">
      <alignment horizontal="center"/>
    </xf>
    <xf numFmtId="165" fontId="122" fillId="0" borderId="3" xfId="4496" applyNumberFormat="1" applyFont="1" applyBorder="1" applyAlignment="1">
      <alignment horizontal="center" vertical="top" wrapText="1"/>
    </xf>
    <xf numFmtId="165" fontId="122" fillId="0" borderId="4" xfId="4496" applyNumberFormat="1" applyFont="1" applyBorder="1" applyAlignment="1">
      <alignment horizontal="center" vertical="top" wrapText="1"/>
    </xf>
    <xf numFmtId="165" fontId="122" fillId="0" borderId="5" xfId="4496" applyNumberFormat="1" applyFont="1" applyBorder="1" applyAlignment="1">
      <alignment horizontal="center" vertical="top" wrapText="1"/>
    </xf>
    <xf numFmtId="3" fontId="17" fillId="43" borderId="6" xfId="1192" applyNumberFormat="1" applyFill="1" applyBorder="1" applyAlignment="1" applyProtection="1">
      <alignment horizontal="right"/>
      <protection locked="0"/>
    </xf>
    <xf numFmtId="168" fontId="17" fillId="0" borderId="0" xfId="1192" applyNumberFormat="1" applyAlignment="1">
      <alignment horizontal="right"/>
    </xf>
    <xf numFmtId="0" fontId="142" fillId="0" borderId="0" xfId="1192" applyFont="1" applyAlignment="1">
      <alignment horizontal="center"/>
    </xf>
    <xf numFmtId="168" fontId="17" fillId="43" borderId="6" xfId="543" applyNumberFormat="1" applyFill="1" applyBorder="1" applyAlignment="1" applyProtection="1">
      <alignment horizontal="center"/>
      <protection locked="0"/>
    </xf>
    <xf numFmtId="168" fontId="17" fillId="5" borderId="4" xfId="1192" applyNumberFormat="1" applyFill="1" applyBorder="1" applyAlignment="1" applyProtection="1">
      <alignment horizontal="center"/>
      <protection locked="0"/>
    </xf>
    <xf numFmtId="4" fontId="25" fillId="0" borderId="6" xfId="4495" applyNumberFormat="1" applyFont="1" applyBorder="1" applyAlignment="1">
      <alignment horizontal="center"/>
    </xf>
    <xf numFmtId="1" fontId="17" fillId="5" borderId="2" xfId="1192" applyNumberFormat="1" applyFill="1" applyBorder="1" applyAlignment="1" applyProtection="1">
      <alignment horizontal="center"/>
      <protection locked="0"/>
    </xf>
    <xf numFmtId="168" fontId="17" fillId="0" borderId="6" xfId="1192" applyNumberFormat="1" applyBorder="1" applyAlignment="1">
      <alignment horizontal="right"/>
    </xf>
    <xf numFmtId="168" fontId="17" fillId="0" borderId="4" xfId="1192" applyNumberFormat="1" applyBorder="1" applyAlignment="1">
      <alignment horizontal="right"/>
    </xf>
    <xf numFmtId="4" fontId="25" fillId="0" borderId="0" xfId="4495" applyNumberFormat="1" applyFont="1" applyAlignment="1">
      <alignment horizontal="center"/>
    </xf>
    <xf numFmtId="0" fontId="17" fillId="0" borderId="53" xfId="4495" applyFont="1" applyBorder="1" applyAlignment="1">
      <alignment horizontal="left" vertical="top" wrapText="1"/>
    </xf>
    <xf numFmtId="0" fontId="17" fillId="0" borderId="0" xfId="4495" applyFont="1" applyAlignment="1">
      <alignment horizontal="left" vertical="top" wrapText="1"/>
    </xf>
    <xf numFmtId="0" fontId="17" fillId="0" borderId="54" xfId="4495" applyFont="1" applyBorder="1" applyAlignment="1">
      <alignment horizontal="left" vertical="top" wrapText="1"/>
    </xf>
    <xf numFmtId="0" fontId="17" fillId="0" borderId="57" xfId="4495" applyFont="1" applyBorder="1" applyAlignment="1">
      <alignment horizontal="left" vertical="top" wrapText="1"/>
    </xf>
    <xf numFmtId="0" fontId="17" fillId="0" borderId="58" xfId="4495" applyFont="1" applyBorder="1" applyAlignment="1">
      <alignment horizontal="left" vertical="top" wrapText="1"/>
    </xf>
    <xf numFmtId="168" fontId="17" fillId="0" borderId="6" xfId="4496" applyNumberFormat="1" applyFont="1" applyBorder="1" applyAlignment="1">
      <alignment horizontal="center"/>
    </xf>
    <xf numFmtId="168" fontId="17" fillId="0" borderId="4" xfId="4496" applyNumberFormat="1" applyFont="1" applyBorder="1" applyAlignment="1">
      <alignment horizontal="center"/>
    </xf>
    <xf numFmtId="9" fontId="17" fillId="0" borderId="4" xfId="4496" applyNumberFormat="1" applyFont="1" applyBorder="1" applyAlignment="1">
      <alignment horizontal="center"/>
    </xf>
    <xf numFmtId="0" fontId="17" fillId="0" borderId="3" xfId="4495" applyFont="1" applyBorder="1" applyAlignment="1">
      <alignment horizontal="center"/>
    </xf>
    <xf numFmtId="0" fontId="17" fillId="0" borderId="4" xfId="4495" applyFont="1" applyBorder="1" applyAlignment="1">
      <alignment horizontal="center"/>
    </xf>
    <xf numFmtId="0" fontId="17" fillId="0" borderId="5" xfId="4495" applyFont="1" applyBorder="1" applyAlignment="1">
      <alignment horizontal="center"/>
    </xf>
    <xf numFmtId="0" fontId="25" fillId="0" borderId="51" xfId="4495" applyFont="1" applyBorder="1" applyAlignment="1">
      <alignment horizontal="left" vertical="top" wrapText="1"/>
    </xf>
    <xf numFmtId="0" fontId="25" fillId="0" borderId="0" xfId="4495" applyFont="1" applyAlignment="1">
      <alignment horizontal="left" vertical="top" wrapText="1"/>
    </xf>
    <xf numFmtId="0" fontId="25" fillId="0" borderId="58" xfId="4495" applyFont="1" applyBorder="1" applyAlignment="1">
      <alignment horizontal="left" vertical="top" wrapText="1"/>
    </xf>
    <xf numFmtId="10" fontId="25" fillId="0" borderId="2" xfId="4495" applyNumberFormat="1" applyFont="1" applyBorder="1" applyAlignment="1">
      <alignment horizontal="center"/>
    </xf>
    <xf numFmtId="0" fontId="25" fillId="0" borderId="0" xfId="4495" applyFont="1" applyAlignment="1">
      <alignment horizontal="center"/>
    </xf>
    <xf numFmtId="9" fontId="25" fillId="5" borderId="6" xfId="4495" applyNumberFormat="1" applyFont="1" applyFill="1" applyBorder="1" applyAlignment="1">
      <alignment horizontal="left"/>
    </xf>
    <xf numFmtId="0" fontId="130" fillId="0" borderId="0" xfId="4495" applyFont="1" applyAlignment="1">
      <alignment horizontal="left" vertical="top" wrapText="1"/>
    </xf>
    <xf numFmtId="0" fontId="33" fillId="42" borderId="2" xfId="4495" applyFont="1" applyFill="1" applyBorder="1" applyAlignment="1">
      <alignment horizontal="center"/>
    </xf>
    <xf numFmtId="0" fontId="33" fillId="42" borderId="6" xfId="4495" applyFont="1" applyFill="1" applyBorder="1" applyAlignment="1">
      <alignment horizontal="center"/>
    </xf>
    <xf numFmtId="0" fontId="24" fillId="0" borderId="11" xfId="4495" applyFont="1" applyBorder="1" applyAlignment="1">
      <alignment horizontal="center"/>
    </xf>
    <xf numFmtId="0" fontId="120" fillId="5" borderId="55" xfId="4495" applyFill="1" applyBorder="1" applyAlignment="1" applyProtection="1">
      <alignment horizontal="center"/>
      <protection locked="0"/>
    </xf>
    <xf numFmtId="0" fontId="120" fillId="5" borderId="6" xfId="4495" applyFill="1" applyBorder="1" applyAlignment="1" applyProtection="1">
      <alignment horizontal="center"/>
      <protection locked="0"/>
    </xf>
    <xf numFmtId="0" fontId="24" fillId="0" borderId="0" xfId="4495" applyFont="1" applyAlignment="1">
      <alignment horizontal="center"/>
    </xf>
    <xf numFmtId="0" fontId="24" fillId="0" borderId="54" xfId="4495" applyFont="1" applyBorder="1" applyAlignment="1">
      <alignment horizontal="center"/>
    </xf>
    <xf numFmtId="0" fontId="17" fillId="5" borderId="6" xfId="4495" applyFont="1" applyFill="1" applyBorder="1" applyAlignment="1" applyProtection="1">
      <alignment horizontal="center" vertical="center" wrapText="1" shrinkToFit="1"/>
      <protection locked="0"/>
    </xf>
    <xf numFmtId="0" fontId="118" fillId="0" borderId="4" xfId="1192" applyFont="1" applyBorder="1" applyAlignment="1">
      <alignment horizontal="left"/>
    </xf>
    <xf numFmtId="0" fontId="142" fillId="0" borderId="6" xfId="1192" applyFont="1" applyBorder="1" applyAlignment="1">
      <alignment horizontal="center"/>
    </xf>
    <xf numFmtId="168" fontId="17" fillId="43" borderId="6" xfId="1192" applyNumberFormat="1" applyFill="1" applyBorder="1" applyAlignment="1" applyProtection="1">
      <alignment horizontal="right"/>
      <protection locked="0"/>
    </xf>
    <xf numFmtId="0" fontId="25" fillId="5" borderId="58" xfId="4495" applyFont="1" applyFill="1" applyBorder="1" applyAlignment="1">
      <alignment horizontal="left"/>
    </xf>
    <xf numFmtId="0" fontId="120" fillId="5" borderId="50" xfId="4495" applyFill="1" applyBorder="1" applyAlignment="1">
      <alignment horizontal="center"/>
    </xf>
    <xf numFmtId="0" fontId="120" fillId="5" borderId="51" xfId="4495" applyFill="1" applyBorder="1" applyAlignment="1">
      <alignment horizontal="center"/>
    </xf>
    <xf numFmtId="0" fontId="53" fillId="0" borderId="51" xfId="4495" applyFont="1" applyBorder="1" applyAlignment="1">
      <alignment horizontal="left" vertical="top" wrapText="1"/>
    </xf>
    <xf numFmtId="0" fontId="53" fillId="0" borderId="0" xfId="4495" applyFont="1" applyAlignment="1">
      <alignment horizontal="left" vertical="top" wrapText="1"/>
    </xf>
    <xf numFmtId="9" fontId="25" fillId="5" borderId="58" xfId="4495" applyNumberFormat="1" applyFont="1" applyFill="1" applyBorder="1" applyAlignment="1">
      <alignment horizontal="left"/>
    </xf>
    <xf numFmtId="0" fontId="120" fillId="0" borderId="0" xfId="4495" applyAlignment="1">
      <alignment horizontal="center"/>
    </xf>
    <xf numFmtId="0" fontId="25" fillId="5" borderId="6" xfId="4495" applyFont="1" applyFill="1" applyBorder="1" applyAlignment="1">
      <alignment horizontal="left"/>
    </xf>
    <xf numFmtId="0" fontId="120" fillId="5" borderId="62" xfId="4495" applyFill="1" applyBorder="1" applyAlignment="1">
      <alignment horizontal="center"/>
    </xf>
    <xf numFmtId="0" fontId="120" fillId="5" borderId="63" xfId="4495" applyFill="1" applyBorder="1" applyAlignment="1">
      <alignment horizontal="center"/>
    </xf>
    <xf numFmtId="0" fontId="24" fillId="0" borderId="51" xfId="4495" applyFont="1" applyBorder="1" applyAlignment="1">
      <alignment horizontal="center" vertical="top"/>
    </xf>
    <xf numFmtId="0" fontId="24" fillId="0" borderId="52" xfId="4495" applyFont="1" applyBorder="1" applyAlignment="1">
      <alignment horizontal="center" vertical="top"/>
    </xf>
    <xf numFmtId="0" fontId="24" fillId="0" borderId="0" xfId="4495" applyFont="1" applyAlignment="1">
      <alignment horizontal="right"/>
    </xf>
    <xf numFmtId="0" fontId="17" fillId="0" borderId="6" xfId="1192" applyBorder="1" applyAlignment="1">
      <alignment horizontal="right"/>
    </xf>
    <xf numFmtId="9" fontId="17" fillId="5" borderId="4" xfId="1192" applyNumberFormat="1" applyFill="1" applyBorder="1" applyAlignment="1" applyProtection="1">
      <alignment horizontal="left"/>
      <protection locked="0"/>
    </xf>
    <xf numFmtId="0" fontId="122" fillId="0" borderId="50" xfId="4496" applyFont="1" applyBorder="1" applyAlignment="1">
      <alignment horizontal="left" wrapText="1"/>
    </xf>
    <xf numFmtId="0" fontId="122" fillId="0" borderId="51" xfId="4496" applyFont="1" applyBorder="1" applyAlignment="1">
      <alignment horizontal="left" wrapText="1"/>
    </xf>
    <xf numFmtId="0" fontId="122" fillId="0" borderId="52" xfId="4496" applyFont="1" applyBorder="1" applyAlignment="1">
      <alignment horizontal="left" wrapText="1"/>
    </xf>
    <xf numFmtId="0" fontId="122" fillId="0" borderId="57" xfId="4496" applyFont="1" applyBorder="1" applyAlignment="1">
      <alignment horizontal="left" wrapText="1"/>
    </xf>
    <xf numFmtId="0" fontId="122" fillId="0" borderId="58" xfId="4496" applyFont="1" applyBorder="1" applyAlignment="1">
      <alignment horizontal="left" wrapText="1"/>
    </xf>
    <xf numFmtId="0" fontId="122" fillId="0" borderId="59" xfId="4496" applyFont="1" applyBorder="1" applyAlignment="1">
      <alignment horizontal="left" wrapText="1"/>
    </xf>
    <xf numFmtId="0" fontId="120" fillId="0" borderId="53" xfId="4495" applyBorder="1" applyAlignment="1">
      <alignment horizontal="center"/>
    </xf>
    <xf numFmtId="0" fontId="25" fillId="5" borderId="0" xfId="4495" applyFont="1" applyFill="1" applyAlignment="1">
      <alignment horizontal="left" vertical="top"/>
    </xf>
    <xf numFmtId="0" fontId="24" fillId="0" borderId="4" xfId="4495" applyFont="1" applyBorder="1" applyAlignment="1">
      <alignment horizontal="left"/>
    </xf>
    <xf numFmtId="0" fontId="24" fillId="0" borderId="5" xfId="4495" applyFont="1" applyBorder="1" applyAlignment="1">
      <alignment horizontal="left"/>
    </xf>
    <xf numFmtId="1" fontId="24" fillId="0" borderId="11" xfId="4495" applyNumberFormat="1" applyFont="1" applyBorder="1" applyAlignment="1">
      <alignment horizontal="center"/>
    </xf>
    <xf numFmtId="0" fontId="24" fillId="0" borderId="3" xfId="4495" applyFont="1" applyBorder="1" applyAlignment="1">
      <alignment horizontal="center" wrapText="1"/>
    </xf>
    <xf numFmtId="0" fontId="24" fillId="0" borderId="4" xfId="4495" applyFont="1" applyBorder="1" applyAlignment="1">
      <alignment horizontal="center" wrapText="1"/>
    </xf>
    <xf numFmtId="0" fontId="24" fillId="0" borderId="5" xfId="4495" applyFont="1" applyBorder="1" applyAlignment="1">
      <alignment horizontal="center" wrapText="1"/>
    </xf>
    <xf numFmtId="0" fontId="17" fillId="0" borderId="4" xfId="4495" applyFont="1" applyBorder="1" applyAlignment="1">
      <alignment horizontal="left"/>
    </xf>
    <xf numFmtId="0" fontId="17" fillId="0" borderId="5" xfId="4495" applyFont="1" applyBorder="1" applyAlignment="1">
      <alignment horizontal="left"/>
    </xf>
    <xf numFmtId="1" fontId="17" fillId="0" borderId="11" xfId="4495" applyNumberFormat="1" applyFont="1" applyBorder="1" applyAlignment="1">
      <alignment horizontal="center"/>
    </xf>
    <xf numFmtId="0" fontId="17" fillId="0" borderId="11" xfId="4495" applyFont="1" applyBorder="1" applyAlignment="1">
      <alignment horizontal="center"/>
    </xf>
    <xf numFmtId="1" fontId="17" fillId="46" borderId="11" xfId="4495" applyNumberFormat="1" applyFont="1" applyFill="1" applyBorder="1" applyAlignment="1">
      <alignment horizontal="center"/>
    </xf>
    <xf numFmtId="0" fontId="24" fillId="0" borderId="3" xfId="4495" applyFont="1" applyBorder="1" applyAlignment="1">
      <alignment horizontal="center"/>
    </xf>
    <xf numFmtId="0" fontId="24" fillId="0" borderId="4" xfId="4495" applyFont="1" applyBorder="1" applyAlignment="1">
      <alignment horizontal="center"/>
    </xf>
    <xf numFmtId="0" fontId="24" fillId="0" borderId="5" xfId="4495" applyFont="1" applyBorder="1" applyAlignment="1">
      <alignment horizontal="center"/>
    </xf>
    <xf numFmtId="0" fontId="24" fillId="0" borderId="3" xfId="4495" applyFont="1" applyBorder="1" applyAlignment="1">
      <alignment horizontal="left"/>
    </xf>
    <xf numFmtId="0" fontId="17" fillId="5" borderId="11" xfId="4495" applyFont="1" applyFill="1" applyBorder="1" applyAlignment="1" applyProtection="1">
      <alignment horizontal="center"/>
      <protection locked="0"/>
    </xf>
    <xf numFmtId="164" fontId="64" fillId="0" borderId="1" xfId="4495" applyNumberFormat="1" applyFont="1" applyBorder="1" applyAlignment="1">
      <alignment horizontal="right" vertical="center"/>
    </xf>
    <xf numFmtId="164" fontId="64" fillId="0" borderId="2" xfId="4495" applyNumberFormat="1" applyFont="1" applyBorder="1" applyAlignment="1">
      <alignment horizontal="right" vertical="center"/>
    </xf>
    <xf numFmtId="164" fontId="64" fillId="0" borderId="7" xfId="4495" applyNumberFormat="1" applyFont="1" applyBorder="1" applyAlignment="1">
      <alignment horizontal="right" vertical="center"/>
    </xf>
    <xf numFmtId="164" fontId="64" fillId="0" borderId="9" xfId="4495" applyNumberFormat="1" applyFont="1" applyBorder="1" applyAlignment="1">
      <alignment horizontal="right" vertical="center"/>
    </xf>
    <xf numFmtId="164" fontId="64" fillId="0" borderId="6" xfId="4495" applyNumberFormat="1" applyFont="1" applyBorder="1" applyAlignment="1">
      <alignment horizontal="right" vertical="center"/>
    </xf>
    <xf numFmtId="164" fontId="64" fillId="0" borderId="10" xfId="4495" applyNumberFormat="1" applyFont="1" applyBorder="1" applyAlignment="1">
      <alignment horizontal="right" vertical="center"/>
    </xf>
    <xf numFmtId="180" fontId="64" fillId="0" borderId="1" xfId="4495" applyNumberFormat="1" applyFont="1" applyBorder="1" applyAlignment="1">
      <alignment horizontal="center" vertical="center"/>
    </xf>
    <xf numFmtId="180" fontId="64" fillId="0" borderId="2" xfId="4495" applyNumberFormat="1" applyFont="1" applyBorder="1" applyAlignment="1">
      <alignment horizontal="center" vertical="center"/>
    </xf>
    <xf numFmtId="180" fontId="64" fillId="0" borderId="7" xfId="4495" applyNumberFormat="1" applyFont="1" applyBorder="1" applyAlignment="1">
      <alignment horizontal="center" vertical="center"/>
    </xf>
    <xf numFmtId="180" fontId="64" fillId="0" borderId="9" xfId="4495" applyNumberFormat="1" applyFont="1" applyBorder="1" applyAlignment="1">
      <alignment horizontal="center" vertical="center"/>
    </xf>
    <xf numFmtId="180" fontId="64" fillId="0" borderId="6" xfId="4495" applyNumberFormat="1" applyFont="1" applyBorder="1" applyAlignment="1">
      <alignment horizontal="center" vertical="center"/>
    </xf>
    <xf numFmtId="180" fontId="64" fillId="0" borderId="10" xfId="4495" applyNumberFormat="1" applyFont="1" applyBorder="1" applyAlignment="1">
      <alignment horizontal="center" vertical="center"/>
    </xf>
    <xf numFmtId="1" fontId="24" fillId="0" borderId="4" xfId="4495" applyNumberFormat="1" applyFont="1" applyBorder="1" applyAlignment="1">
      <alignment horizontal="center" wrapText="1"/>
    </xf>
    <xf numFmtId="0" fontId="17" fillId="0" borderId="50" xfId="4496" applyFont="1" applyBorder="1" applyAlignment="1">
      <alignment horizontal="left" wrapText="1"/>
    </xf>
    <xf numFmtId="0" fontId="17" fillId="0" borderId="51" xfId="4496" applyFont="1" applyBorder="1" applyAlignment="1">
      <alignment horizontal="left" wrapText="1"/>
    </xf>
    <xf numFmtId="0" fontId="17" fillId="0" borderId="52" xfId="4496" applyFont="1" applyBorder="1" applyAlignment="1">
      <alignment horizontal="left" wrapText="1"/>
    </xf>
    <xf numFmtId="0" fontId="17" fillId="0" borderId="53" xfId="4496" applyFont="1" applyBorder="1" applyAlignment="1">
      <alignment horizontal="left" wrapText="1"/>
    </xf>
    <xf numFmtId="0" fontId="17" fillId="0" borderId="0" xfId="4496" applyFont="1" applyAlignment="1">
      <alignment horizontal="left" wrapText="1"/>
    </xf>
    <xf numFmtId="0" fontId="17" fillId="0" borderId="54" xfId="4496" applyFont="1" applyBorder="1" applyAlignment="1">
      <alignment horizontal="left" wrapText="1"/>
    </xf>
    <xf numFmtId="0" fontId="17" fillId="0" borderId="57" xfId="4496" applyFont="1" applyBorder="1" applyAlignment="1">
      <alignment horizontal="left" wrapText="1"/>
    </xf>
    <xf numFmtId="0" fontId="17" fillId="0" borderId="58" xfId="4496" applyFont="1" applyBorder="1" applyAlignment="1">
      <alignment horizontal="left" wrapText="1"/>
    </xf>
    <xf numFmtId="0" fontId="17" fillId="0" borderId="59" xfId="4496" applyFont="1" applyBorder="1" applyAlignment="1">
      <alignment horizontal="left" wrapText="1"/>
    </xf>
    <xf numFmtId="1" fontId="17" fillId="0" borderId="4" xfId="4496" applyNumberFormat="1" applyFont="1" applyBorder="1" applyAlignment="1">
      <alignment horizontal="center"/>
    </xf>
    <xf numFmtId="1" fontId="17" fillId="0" borderId="5" xfId="4496" applyNumberFormat="1" applyFont="1" applyBorder="1" applyAlignment="1">
      <alignment horizontal="center"/>
    </xf>
    <xf numFmtId="49" fontId="23" fillId="3" borderId="2" xfId="4495" applyNumberFormat="1" applyFont="1" applyFill="1" applyBorder="1" applyAlignment="1">
      <alignment horizontal="center" vertical="center" wrapText="1"/>
    </xf>
    <xf numFmtId="49" fontId="23" fillId="3" borderId="2" xfId="4495" applyNumberFormat="1" applyFont="1" applyFill="1" applyBorder="1" applyAlignment="1">
      <alignment horizontal="center" vertical="center"/>
    </xf>
    <xf numFmtId="49" fontId="23" fillId="3" borderId="0" xfId="4495" applyNumberFormat="1" applyFont="1" applyFill="1" applyAlignment="1">
      <alignment horizontal="center" vertical="center"/>
    </xf>
    <xf numFmtId="0" fontId="24" fillId="0" borderId="1" xfId="4495" applyFont="1" applyBorder="1" applyAlignment="1">
      <alignment horizontal="center" wrapText="1"/>
    </xf>
    <xf numFmtId="0" fontId="24" fillId="0" borderId="2" xfId="4495" applyFont="1" applyBorder="1" applyAlignment="1">
      <alignment horizontal="center" wrapText="1"/>
    </xf>
    <xf numFmtId="0" fontId="24" fillId="0" borderId="7" xfId="4495" applyFont="1" applyBorder="1" applyAlignment="1">
      <alignment horizontal="center" wrapText="1"/>
    </xf>
    <xf numFmtId="0" fontId="24" fillId="0" borderId="9" xfId="4495" applyFont="1" applyBorder="1" applyAlignment="1">
      <alignment horizontal="center" wrapText="1"/>
    </xf>
    <xf numFmtId="0" fontId="24" fillId="0" borderId="6" xfId="4495" applyFont="1" applyBorder="1" applyAlignment="1">
      <alignment horizontal="center" wrapText="1"/>
    </xf>
    <xf numFmtId="0" fontId="24" fillId="0" borderId="10" xfId="4495" applyFont="1" applyBorder="1" applyAlignment="1">
      <alignment horizontal="center" wrapText="1"/>
    </xf>
    <xf numFmtId="0" fontId="24" fillId="0" borderId="0" xfId="4495" applyFont="1" applyAlignment="1">
      <alignment horizontal="center" vertical="top"/>
    </xf>
    <xf numFmtId="0" fontId="120" fillId="5" borderId="53" xfId="4495" applyFill="1" applyBorder="1" applyAlignment="1">
      <alignment horizontal="center"/>
    </xf>
    <xf numFmtId="0" fontId="120" fillId="5" borderId="0" xfId="4495" applyFill="1" applyAlignment="1">
      <alignment horizontal="center"/>
    </xf>
    <xf numFmtId="0" fontId="120" fillId="5" borderId="55" xfId="4495" applyFill="1" applyBorder="1" applyAlignment="1">
      <alignment horizontal="center"/>
    </xf>
    <xf numFmtId="0" fontId="120" fillId="5" borderId="6" xfId="4495" applyFill="1" applyBorder="1" applyAlignment="1">
      <alignment horizontal="center"/>
    </xf>
    <xf numFmtId="0" fontId="25" fillId="5" borderId="0" xfId="4495" applyFont="1" applyFill="1" applyAlignment="1">
      <alignment horizontal="left" vertical="top" wrapText="1"/>
    </xf>
    <xf numFmtId="0" fontId="25" fillId="5" borderId="58" xfId="4495" applyFont="1" applyFill="1" applyBorder="1" applyAlignment="1">
      <alignment horizontal="left" vertical="top" wrapText="1"/>
    </xf>
    <xf numFmtId="0" fontId="53" fillId="0" borderId="51" xfId="4495" applyFont="1" applyBorder="1" applyAlignment="1">
      <alignment horizontal="left" wrapText="1"/>
    </xf>
    <xf numFmtId="0" fontId="53" fillId="0" borderId="0" xfId="4495" applyFont="1" applyAlignment="1">
      <alignment horizontal="left" wrapText="1"/>
    </xf>
    <xf numFmtId="0" fontId="24" fillId="0" borderId="54" xfId="4495" applyFont="1" applyBorder="1" applyAlignment="1">
      <alignment horizontal="center" vertical="top"/>
    </xf>
    <xf numFmtId="0" fontId="130" fillId="0" borderId="0" xfId="4495" applyFont="1" applyAlignment="1">
      <alignment horizontal="left" vertical="center" wrapText="1"/>
    </xf>
    <xf numFmtId="0" fontId="24" fillId="0" borderId="0" xfId="4495" applyFont="1" applyAlignment="1">
      <alignment horizontal="left" vertical="top" wrapText="1"/>
    </xf>
    <xf numFmtId="0" fontId="17" fillId="0" borderId="0" xfId="4495" applyFont="1" applyAlignment="1">
      <alignment horizontal="left" vertical="top" wrapText="1" shrinkToFit="1"/>
    </xf>
    <xf numFmtId="44" fontId="17" fillId="0" borderId="0" xfId="707" applyFont="1" applyFill="1" applyBorder="1" applyAlignment="1" applyProtection="1">
      <alignment horizontal="left" vertical="top" wrapText="1"/>
    </xf>
    <xf numFmtId="0" fontId="17" fillId="0" borderId="0" xfId="4495" applyFont="1" applyAlignment="1">
      <alignment horizontal="left" vertical="center" wrapText="1" shrinkToFit="1"/>
    </xf>
    <xf numFmtId="0" fontId="17" fillId="5" borderId="6" xfId="4495" applyFont="1" applyFill="1" applyBorder="1" applyAlignment="1" applyProtection="1">
      <alignment horizontal="left" wrapText="1" shrinkToFit="1"/>
      <protection locked="0"/>
    </xf>
    <xf numFmtId="0" fontId="17"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17" fillId="0" borderId="50" xfId="4495" applyFont="1" applyBorder="1" applyAlignment="1">
      <alignment horizontal="left" vertical="center" wrapText="1"/>
    </xf>
    <xf numFmtId="0" fontId="17" fillId="0" borderId="51" xfId="4495" applyFont="1" applyBorder="1" applyAlignment="1">
      <alignment horizontal="left" vertical="center" wrapText="1"/>
    </xf>
    <xf numFmtId="0" fontId="17" fillId="0" borderId="52" xfId="4495" applyFont="1" applyBorder="1" applyAlignment="1">
      <alignment horizontal="left" vertical="center" wrapText="1"/>
    </xf>
    <xf numFmtId="0" fontId="17" fillId="0" borderId="53" xfId="4495" applyFont="1" applyBorder="1" applyAlignment="1">
      <alignment horizontal="left" vertical="center" wrapText="1"/>
    </xf>
    <xf numFmtId="0" fontId="17" fillId="0" borderId="0" xfId="4495" applyFont="1" applyAlignment="1">
      <alignment horizontal="left" vertical="center" wrapText="1"/>
    </xf>
    <xf numFmtId="0" fontId="17" fillId="0" borderId="54" xfId="4495" applyFont="1" applyBorder="1" applyAlignment="1">
      <alignment horizontal="left" vertical="center" wrapText="1"/>
    </xf>
    <xf numFmtId="0" fontId="17" fillId="43" borderId="53" xfId="4495" applyFont="1" applyFill="1" applyBorder="1" applyAlignment="1" applyProtection="1">
      <alignment vertical="top" wrapText="1"/>
      <protection locked="0"/>
    </xf>
    <xf numFmtId="0" fontId="17" fillId="43" borderId="0" xfId="4495" applyFont="1" applyFill="1" applyAlignment="1" applyProtection="1">
      <alignment vertical="top" wrapText="1"/>
      <protection locked="0"/>
    </xf>
    <xf numFmtId="0" fontId="17" fillId="43" borderId="54" xfId="4495" applyFont="1" applyFill="1" applyBorder="1" applyAlignment="1" applyProtection="1">
      <alignment vertical="top" wrapText="1"/>
      <protection locked="0"/>
    </xf>
    <xf numFmtId="0" fontId="17" fillId="43" borderId="55" xfId="4495" applyFont="1" applyFill="1" applyBorder="1" applyAlignment="1" applyProtection="1">
      <alignment vertical="top" wrapText="1"/>
      <protection locked="0"/>
    </xf>
    <xf numFmtId="0" fontId="17" fillId="43" borderId="6" xfId="4495" applyFont="1" applyFill="1" applyBorder="1" applyAlignment="1" applyProtection="1">
      <alignment vertical="top" wrapText="1"/>
      <protection locked="0"/>
    </xf>
    <xf numFmtId="0" fontId="17" fillId="43" borderId="56" xfId="4495" applyFont="1" applyFill="1" applyBorder="1" applyAlignment="1" applyProtection="1">
      <alignment vertical="top" wrapText="1"/>
      <protection locked="0"/>
    </xf>
    <xf numFmtId="0" fontId="17" fillId="43" borderId="0" xfId="4495" applyFont="1" applyFill="1" applyAlignment="1" applyProtection="1">
      <alignment horizontal="left" vertical="center" wrapText="1"/>
      <protection locked="0"/>
    </xf>
    <xf numFmtId="0" fontId="17" fillId="43" borderId="54" xfId="4495" applyFont="1" applyFill="1" applyBorder="1" applyAlignment="1" applyProtection="1">
      <alignment horizontal="left" vertical="center" wrapText="1"/>
      <protection locked="0"/>
    </xf>
    <xf numFmtId="0" fontId="17" fillId="43" borderId="6" xfId="4495" applyFont="1" applyFill="1" applyBorder="1" applyAlignment="1" applyProtection="1">
      <alignment horizontal="left" vertical="center" wrapText="1"/>
      <protection locked="0"/>
    </xf>
    <xf numFmtId="0" fontId="17" fillId="43" borderId="56" xfId="4495" applyFont="1" applyFill="1" applyBorder="1" applyAlignment="1" applyProtection="1">
      <alignment horizontal="left" vertical="center" wrapText="1"/>
      <protection locked="0"/>
    </xf>
    <xf numFmtId="0" fontId="120" fillId="5" borderId="62" xfId="4495" applyFill="1" applyBorder="1" applyAlignment="1" applyProtection="1">
      <alignment horizontal="center"/>
      <protection locked="0"/>
    </xf>
    <xf numFmtId="0" fontId="120" fillId="5" borderId="63" xfId="4495" applyFill="1" applyBorder="1" applyAlignment="1" applyProtection="1">
      <alignment horizontal="center"/>
      <protection locked="0"/>
    </xf>
    <xf numFmtId="0" fontId="17" fillId="0" borderId="59" xfId="4495" applyFont="1" applyBorder="1" applyAlignment="1">
      <alignment horizontal="left" vertical="top" wrapText="1"/>
    </xf>
    <xf numFmtId="0" fontId="17" fillId="0" borderId="4" xfId="4496" applyFont="1" applyBorder="1" applyAlignment="1">
      <alignment horizontal="center"/>
    </xf>
    <xf numFmtId="0" fontId="17" fillId="0" borderId="5" xfId="4496" applyFont="1" applyBorder="1" applyAlignment="1">
      <alignment horizontal="center"/>
    </xf>
    <xf numFmtId="0" fontId="17" fillId="0" borderId="50" xfId="4495" applyFont="1" applyBorder="1" applyAlignment="1">
      <alignment horizontal="left" vertical="top" wrapText="1"/>
    </xf>
    <xf numFmtId="0" fontId="17" fillId="0" borderId="51" xfId="4495" applyFont="1" applyBorder="1" applyAlignment="1">
      <alignment horizontal="left" vertical="top" wrapText="1"/>
    </xf>
    <xf numFmtId="0" fontId="17" fillId="0" borderId="52" xfId="4495" applyFont="1" applyBorder="1" applyAlignment="1">
      <alignment horizontal="left" vertical="top" wrapText="1"/>
    </xf>
    <xf numFmtId="0" fontId="24" fillId="0" borderId="0" xfId="4495" applyFont="1"/>
    <xf numFmtId="0" fontId="17" fillId="0" borderId="57" xfId="4495" applyFont="1" applyBorder="1" applyAlignment="1">
      <alignment horizontal="left" vertical="center" wrapText="1"/>
    </xf>
    <xf numFmtId="0" fontId="17" fillId="0" borderId="58" xfId="4495" applyFont="1" applyBorder="1" applyAlignment="1">
      <alignment horizontal="left" vertical="center" wrapText="1"/>
    </xf>
    <xf numFmtId="0" fontId="17" fillId="0" borderId="59" xfId="4495" applyFont="1" applyBorder="1" applyAlignment="1">
      <alignment horizontal="left" vertical="center" wrapText="1"/>
    </xf>
    <xf numFmtId="0" fontId="24" fillId="0" borderId="0" xfId="4495" applyFont="1" applyAlignment="1">
      <alignment horizontal="left" vertical="top"/>
    </xf>
    <xf numFmtId="0" fontId="120" fillId="0" borderId="0" xfId="4495" applyAlignment="1" applyProtection="1">
      <alignment horizontal="center"/>
      <protection locked="0"/>
    </xf>
    <xf numFmtId="9" fontId="17" fillId="0" borderId="4" xfId="543" applyNumberFormat="1" applyBorder="1" applyAlignment="1">
      <alignment horizontal="center"/>
    </xf>
    <xf numFmtId="168" fontId="17" fillId="0" borderId="6" xfId="4495" applyNumberFormat="1" applyFont="1" applyBorder="1" applyAlignment="1">
      <alignment horizontal="right"/>
    </xf>
    <xf numFmtId="168" fontId="118" fillId="0" borderId="6" xfId="4495" applyNumberFormat="1" applyFont="1" applyBorder="1" applyAlignment="1">
      <alignment horizontal="right"/>
    </xf>
    <xf numFmtId="168" fontId="17" fillId="43" borderId="6" xfId="4495" applyNumberFormat="1" applyFont="1" applyFill="1" applyBorder="1" applyAlignment="1" applyProtection="1">
      <alignment horizontal="right"/>
      <protection locked="0"/>
    </xf>
    <xf numFmtId="6" fontId="17" fillId="0" borderId="3" xfId="1192" applyNumberFormat="1" applyBorder="1" applyAlignment="1">
      <alignment horizontal="right"/>
    </xf>
    <xf numFmtId="6" fontId="17" fillId="0" borderId="4" xfId="1192" applyNumberFormat="1" applyBorder="1" applyAlignment="1">
      <alignment horizontal="right"/>
    </xf>
    <xf numFmtId="6" fontId="17" fillId="0" borderId="5" xfId="1192" applyNumberFormat="1" applyBorder="1" applyAlignment="1">
      <alignment horizontal="right"/>
    </xf>
    <xf numFmtId="168" fontId="17" fillId="0" borderId="4" xfId="4495" applyNumberFormat="1" applyFont="1" applyBorder="1" applyAlignment="1">
      <alignment horizontal="right"/>
    </xf>
    <xf numFmtId="165" fontId="17" fillId="43" borderId="3" xfId="4495" applyNumberFormat="1" applyFont="1" applyFill="1" applyBorder="1" applyAlignment="1" applyProtection="1">
      <alignment horizontal="center"/>
      <protection locked="0"/>
    </xf>
    <xf numFmtId="165" fontId="17" fillId="43" borderId="4" xfId="4495" applyNumberFormat="1" applyFont="1" applyFill="1" applyBorder="1" applyAlignment="1" applyProtection="1">
      <alignment horizontal="center"/>
      <protection locked="0"/>
    </xf>
    <xf numFmtId="165" fontId="17" fillId="43" borderId="5" xfId="4495" applyNumberFormat="1" applyFont="1" applyFill="1" applyBorder="1" applyAlignment="1" applyProtection="1">
      <alignment horizontal="center"/>
      <protection locked="0"/>
    </xf>
    <xf numFmtId="165" fontId="17" fillId="0" borderId="6" xfId="1192" applyNumberFormat="1" applyBorder="1" applyAlignment="1">
      <alignment horizontal="right"/>
    </xf>
    <xf numFmtId="168" fontId="17" fillId="0" borderId="2" xfId="1192" applyNumberFormat="1" applyBorder="1" applyAlignment="1">
      <alignment horizontal="right"/>
    </xf>
    <xf numFmtId="0" fontId="17" fillId="5" borderId="6" xfId="1192" applyFill="1" applyBorder="1" applyAlignment="1" applyProtection="1">
      <alignment horizontal="left"/>
      <protection locked="0"/>
    </xf>
    <xf numFmtId="165" fontId="17" fillId="0" borderId="0" xfId="1192" applyNumberFormat="1" applyAlignment="1">
      <alignment horizontal="right"/>
    </xf>
    <xf numFmtId="2" fontId="17" fillId="0" borderId="0" xfId="1192" applyNumberFormat="1" applyAlignment="1">
      <alignment horizontal="right"/>
    </xf>
    <xf numFmtId="1" fontId="17" fillId="0" borderId="3" xfId="4495" applyNumberFormat="1" applyFont="1" applyBorder="1" applyAlignment="1">
      <alignment horizontal="center"/>
    </xf>
    <xf numFmtId="1" fontId="17" fillId="0" borderId="4" xfId="4495" applyNumberFormat="1" applyFont="1" applyBorder="1" applyAlignment="1">
      <alignment horizontal="center"/>
    </xf>
    <xf numFmtId="1" fontId="17" fillId="0" borderId="5" xfId="4495" applyNumberFormat="1" applyFont="1" applyBorder="1" applyAlignment="1">
      <alignment horizontal="center"/>
    </xf>
    <xf numFmtId="0" fontId="25" fillId="5" borderId="6" xfId="4495" applyFont="1" applyFill="1" applyBorder="1" applyAlignment="1" applyProtection="1">
      <alignment horizontal="left"/>
      <protection locked="0"/>
    </xf>
    <xf numFmtId="0" fontId="17" fillId="5" borderId="6" xfId="4495" applyFont="1" applyFill="1" applyBorder="1" applyAlignment="1" applyProtection="1">
      <alignment horizontal="left"/>
      <protection locked="0"/>
    </xf>
    <xf numFmtId="0" fontId="53" fillId="5" borderId="6" xfId="4495" applyFont="1" applyFill="1" applyBorder="1" applyAlignment="1" applyProtection="1">
      <alignment horizontal="left"/>
      <protection locked="0"/>
    </xf>
    <xf numFmtId="0" fontId="17" fillId="44" borderId="6" xfId="4495" applyFont="1" applyFill="1" applyBorder="1" applyAlignment="1">
      <alignment horizontal="left"/>
    </xf>
    <xf numFmtId="0" fontId="17" fillId="0" borderId="0" xfId="1192" applyAlignment="1">
      <alignment horizontal="right"/>
    </xf>
    <xf numFmtId="9" fontId="17" fillId="0" borderId="6" xfId="1192" applyNumberFormat="1" applyBorder="1" applyAlignment="1">
      <alignment horizontal="center"/>
    </xf>
    <xf numFmtId="9" fontId="17" fillId="0" borderId="6" xfId="1192" quotePrefix="1" applyNumberFormat="1" applyBorder="1" applyAlignment="1">
      <alignment horizontal="center"/>
    </xf>
    <xf numFmtId="9" fontId="17" fillId="0" borderId="0" xfId="1192" quotePrefix="1" applyNumberFormat="1" applyAlignment="1">
      <alignment horizontal="center"/>
    </xf>
    <xf numFmtId="1" fontId="17" fillId="5" borderId="4" xfId="1192" applyNumberFormat="1" applyFill="1" applyBorder="1" applyAlignment="1" applyProtection="1">
      <alignment horizontal="center"/>
      <protection locked="0"/>
    </xf>
    <xf numFmtId="0" fontId="17" fillId="0" borderId="6" xfId="1192" applyBorder="1" applyAlignment="1">
      <alignment horizontal="left"/>
    </xf>
    <xf numFmtId="1" fontId="122" fillId="0" borderId="55" xfId="4496" applyNumberFormat="1" applyFont="1" applyBorder="1" applyAlignment="1">
      <alignment horizontal="center" vertical="top" wrapText="1"/>
    </xf>
    <xf numFmtId="1" fontId="122" fillId="0" borderId="6" xfId="4496" applyNumberFormat="1" applyFont="1" applyBorder="1" applyAlignment="1">
      <alignment horizontal="center" vertical="top" wrapText="1"/>
    </xf>
    <xf numFmtId="165" fontId="122" fillId="0" borderId="55" xfId="4496" applyNumberFormat="1" applyFont="1" applyBorder="1" applyAlignment="1">
      <alignment horizontal="center" vertical="top" wrapText="1"/>
    </xf>
    <xf numFmtId="165" fontId="122" fillId="0" borderId="6" xfId="4496" applyNumberFormat="1" applyFont="1" applyBorder="1" applyAlignment="1">
      <alignment horizontal="center" vertical="top" wrapText="1"/>
    </xf>
    <xf numFmtId="168" fontId="122" fillId="43" borderId="55" xfId="4496" applyNumberFormat="1" applyFont="1" applyFill="1" applyBorder="1" applyAlignment="1" applyProtection="1">
      <alignment horizontal="center" vertical="top" wrapText="1"/>
      <protection locked="0"/>
    </xf>
    <xf numFmtId="168" fontId="122" fillId="43" borderId="6" xfId="4496" applyNumberFormat="1" applyFont="1" applyFill="1" applyBorder="1" applyAlignment="1" applyProtection="1">
      <alignment horizontal="center" vertical="top" wrapText="1"/>
      <protection locked="0"/>
    </xf>
    <xf numFmtId="0" fontId="122" fillId="0" borderId="50" xfId="4496" applyFont="1" applyBorder="1" applyAlignment="1">
      <alignment horizontal="left" vertical="top" wrapText="1"/>
    </xf>
    <xf numFmtId="0" fontId="122" fillId="0" borderId="51" xfId="4496" applyFont="1" applyBorder="1" applyAlignment="1">
      <alignment horizontal="left" vertical="top" wrapText="1"/>
    </xf>
    <xf numFmtId="0" fontId="122" fillId="0" borderId="52" xfId="4496" applyFont="1" applyBorder="1" applyAlignment="1">
      <alignment horizontal="left" vertical="top" wrapText="1"/>
    </xf>
    <xf numFmtId="0" fontId="122" fillId="0" borderId="53" xfId="4496" applyFont="1" applyBorder="1" applyAlignment="1">
      <alignment horizontal="left" vertical="top" wrapText="1"/>
    </xf>
    <xf numFmtId="0" fontId="122" fillId="0" borderId="0" xfId="4496" applyFont="1" applyAlignment="1">
      <alignment horizontal="left" vertical="top" wrapText="1"/>
    </xf>
    <xf numFmtId="0" fontId="122" fillId="0" borderId="54" xfId="4496" applyFont="1" applyBorder="1" applyAlignment="1">
      <alignment horizontal="left" vertical="top" wrapText="1"/>
    </xf>
    <xf numFmtId="168" fontId="122" fillId="0" borderId="55" xfId="4496" applyNumberFormat="1" applyFont="1" applyBorder="1" applyAlignment="1">
      <alignment horizontal="center" vertical="top"/>
    </xf>
    <xf numFmtId="168" fontId="122" fillId="0" borderId="6" xfId="4496" applyNumberFormat="1" applyFont="1" applyBorder="1" applyAlignment="1">
      <alignment horizontal="center" vertical="top"/>
    </xf>
    <xf numFmtId="0" fontId="122" fillId="5" borderId="6" xfId="4496" applyFont="1" applyFill="1" applyBorder="1" applyAlignment="1" applyProtection="1">
      <alignment horizontal="center"/>
      <protection locked="0"/>
    </xf>
    <xf numFmtId="10" fontId="122" fillId="0" borderId="3" xfId="4496" applyNumberFormat="1" applyFont="1" applyBorder="1" applyAlignment="1">
      <alignment horizontal="center" vertical="top" wrapText="1"/>
    </xf>
    <xf numFmtId="10" fontId="122" fillId="0" borderId="4" xfId="4496" applyNumberFormat="1" applyFont="1" applyBorder="1" applyAlignment="1">
      <alignment horizontal="center" vertical="top" wrapText="1"/>
    </xf>
    <xf numFmtId="10" fontId="122" fillId="0" borderId="5" xfId="4496" applyNumberFormat="1" applyFont="1" applyBorder="1" applyAlignment="1">
      <alignment horizontal="center" vertical="top" wrapText="1"/>
    </xf>
    <xf numFmtId="0" fontId="122" fillId="0" borderId="55" xfId="4496" applyFont="1" applyBorder="1" applyAlignment="1">
      <alignment horizontal="center" vertical="top" wrapText="1"/>
    </xf>
    <xf numFmtId="0" fontId="122" fillId="0" borderId="6" xfId="4496" applyFont="1" applyBorder="1" applyAlignment="1">
      <alignment horizontal="center" vertical="top" wrapText="1"/>
    </xf>
    <xf numFmtId="0" fontId="23" fillId="3" borderId="2" xfId="4495" applyFont="1" applyFill="1" applyBorder="1" applyAlignment="1">
      <alignment horizontal="center" vertical="center"/>
    </xf>
    <xf numFmtId="0" fontId="23" fillId="3" borderId="16" xfId="4495" applyFont="1" applyFill="1" applyBorder="1" applyAlignment="1">
      <alignment horizontal="center" vertical="center"/>
    </xf>
    <xf numFmtId="0" fontId="24" fillId="0" borderId="48" xfId="4495" applyFont="1" applyBorder="1" applyAlignment="1">
      <alignment horizontal="left" vertical="top"/>
    </xf>
    <xf numFmtId="0" fontId="24" fillId="0" borderId="49" xfId="4495" applyFont="1" applyBorder="1" applyAlignment="1">
      <alignment horizontal="left" vertical="top"/>
    </xf>
    <xf numFmtId="0" fontId="17" fillId="0" borderId="50" xfId="4495" applyFont="1" applyBorder="1" applyAlignment="1">
      <alignment vertical="center" wrapText="1"/>
    </xf>
    <xf numFmtId="0" fontId="17" fillId="0" borderId="51" xfId="4495" applyFont="1" applyBorder="1" applyAlignment="1">
      <alignment vertical="center" wrapText="1"/>
    </xf>
    <xf numFmtId="0" fontId="17" fillId="0" borderId="52" xfId="4495" applyFont="1" applyBorder="1" applyAlignment="1">
      <alignment vertical="center" wrapText="1"/>
    </xf>
    <xf numFmtId="0" fontId="17" fillId="0" borderId="57" xfId="4495" applyFont="1" applyBorder="1" applyAlignment="1">
      <alignment vertical="center" wrapText="1"/>
    </xf>
    <xf numFmtId="0" fontId="17" fillId="0" borderId="58" xfId="4495" applyFont="1" applyBorder="1" applyAlignment="1">
      <alignment vertical="center" wrapText="1"/>
    </xf>
    <xf numFmtId="0" fontId="17" fillId="0" borderId="59" xfId="4495" applyFont="1" applyBorder="1" applyAlignment="1">
      <alignment vertical="center" wrapText="1"/>
    </xf>
    <xf numFmtId="0" fontId="122" fillId="43" borderId="55" xfId="4496" applyFont="1" applyFill="1" applyBorder="1" applyAlignment="1" applyProtection="1">
      <alignment horizontal="left" vertical="top" wrapText="1"/>
      <protection locked="0"/>
    </xf>
    <xf numFmtId="0" fontId="122" fillId="43" borderId="6" xfId="4496" applyFont="1" applyFill="1" applyBorder="1" applyAlignment="1" applyProtection="1">
      <alignment horizontal="left" vertical="top" wrapText="1"/>
      <protection locked="0"/>
    </xf>
    <xf numFmtId="0" fontId="122" fillId="43" borderId="56" xfId="4496" applyFont="1" applyFill="1" applyBorder="1" applyAlignment="1" applyProtection="1">
      <alignment horizontal="left" vertical="top" wrapText="1"/>
      <protection locked="0"/>
    </xf>
    <xf numFmtId="165" fontId="122" fillId="0" borderId="60" xfId="4496" applyNumberFormat="1" applyFont="1" applyBorder="1" applyAlignment="1">
      <alignment horizontal="center" vertical="top" wrapText="1"/>
    </xf>
    <xf numFmtId="0" fontId="122" fillId="5" borderId="60" xfId="4496" applyFont="1" applyFill="1" applyBorder="1" applyAlignment="1" applyProtection="1">
      <alignment horizontal="center"/>
      <protection locked="0"/>
    </xf>
    <xf numFmtId="0" fontId="122" fillId="5" borderId="4" xfId="4496" applyFont="1" applyFill="1" applyBorder="1" applyAlignment="1" applyProtection="1">
      <alignment horizontal="center"/>
      <protection locked="0"/>
    </xf>
    <xf numFmtId="0" fontId="122" fillId="0" borderId="57" xfId="4496" applyFont="1" applyBorder="1" applyAlignment="1">
      <alignment horizontal="left" vertical="top" wrapText="1"/>
    </xf>
    <xf numFmtId="0" fontId="122" fillId="0" borderId="58" xfId="4496" applyFont="1" applyBorder="1" applyAlignment="1">
      <alignment horizontal="left" vertical="top" wrapText="1"/>
    </xf>
    <xf numFmtId="0" fontId="122" fillId="0" borderId="59" xfId="4496" applyFont="1" applyBorder="1" applyAlignment="1">
      <alignment horizontal="left" vertical="top" wrapText="1"/>
    </xf>
    <xf numFmtId="0" fontId="122" fillId="5" borderId="55" xfId="4496" applyFont="1" applyFill="1" applyBorder="1" applyAlignment="1" applyProtection="1">
      <alignment horizontal="center"/>
      <protection locked="0"/>
    </xf>
    <xf numFmtId="0" fontId="122" fillId="0" borderId="47" xfId="4496" applyFont="1" applyBorder="1"/>
    <xf numFmtId="0" fontId="122" fillId="0" borderId="48" xfId="4496" applyFont="1" applyBorder="1"/>
    <xf numFmtId="0" fontId="122" fillId="0" borderId="49" xfId="4496" applyFont="1" applyBorder="1"/>
    <xf numFmtId="0" fontId="17" fillId="0" borderId="47" xfId="4495" applyFont="1" applyBorder="1" applyAlignment="1">
      <alignment horizontal="left" vertical="center" wrapText="1"/>
    </xf>
    <xf numFmtId="0" fontId="17" fillId="0" borderId="48" xfId="4495" applyFont="1" applyBorder="1" applyAlignment="1">
      <alignment horizontal="left" vertical="center" wrapText="1"/>
    </xf>
    <xf numFmtId="0" fontId="17" fillId="0" borderId="49" xfId="4495" applyFont="1" applyBorder="1" applyAlignment="1">
      <alignment horizontal="left" vertical="center" wrapText="1"/>
    </xf>
    <xf numFmtId="0" fontId="98" fillId="0" borderId="3" xfId="4496" applyFont="1" applyBorder="1" applyAlignment="1">
      <alignment horizontal="left" indent="2"/>
    </xf>
    <xf numFmtId="0" fontId="98" fillId="0" borderId="4" xfId="4496" applyFont="1" applyBorder="1" applyAlignment="1">
      <alignment horizontal="left" indent="2"/>
    </xf>
    <xf numFmtId="0" fontId="98" fillId="0" borderId="5" xfId="4496" applyFont="1" applyBorder="1" applyAlignment="1">
      <alignment horizontal="left" indent="2"/>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0" fontId="98" fillId="0" borderId="0" xfId="4496" applyFont="1" applyAlignment="1">
      <alignment wrapText="1"/>
    </xf>
    <xf numFmtId="49" fontId="98" fillId="45" borderId="15" xfId="4496" applyNumberFormat="1" applyFont="1" applyFill="1" applyBorder="1" applyAlignment="1">
      <alignment horizontal="center" vertical="center" wrapText="1"/>
    </xf>
    <xf numFmtId="49" fontId="98" fillId="45" borderId="13" xfId="4496" applyNumberFormat="1" applyFont="1" applyFill="1" applyBorder="1" applyAlignment="1">
      <alignment horizontal="center" vertical="center"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8" fillId="0" borderId="0" xfId="4496" applyFont="1" applyAlignment="1">
      <alignment horizontal="left" wrapText="1"/>
    </xf>
    <xf numFmtId="0" fontId="98" fillId="0" borderId="0" xfId="4496" applyFont="1" applyAlignment="1">
      <alignment horizontal="center" vertical="center" wrapText="1"/>
    </xf>
    <xf numFmtId="0" fontId="98" fillId="43" borderId="0" xfId="4496" applyFont="1" applyFill="1" applyAlignment="1" applyProtection="1">
      <alignment horizontal="left" vertical="top" wrapText="1"/>
      <protection locked="0"/>
    </xf>
    <xf numFmtId="0" fontId="98" fillId="43" borderId="6" xfId="4496" applyFont="1" applyFill="1" applyBorder="1" applyAlignment="1" applyProtection="1">
      <alignment horizontal="left" vertical="top" wrapText="1"/>
      <protection locked="0"/>
    </xf>
    <xf numFmtId="168" fontId="98" fillId="0" borderId="13" xfId="4499" applyNumberFormat="1" applyFont="1" applyFill="1" applyBorder="1" applyAlignment="1" applyProtection="1">
      <alignment horizontal="left" vertical="center" indent="1"/>
    </xf>
    <xf numFmtId="168" fontId="98" fillId="0" borderId="11" xfId="4499" applyNumberFormat="1" applyFont="1" applyFill="1" applyBorder="1" applyAlignment="1" applyProtection="1">
      <alignment horizontal="left" vertical="center" indent="1"/>
    </xf>
    <xf numFmtId="0" fontId="98" fillId="0" borderId="3" xfId="4496" applyFont="1" applyBorder="1" applyAlignment="1">
      <alignment horizontal="left" indent="1"/>
    </xf>
    <xf numFmtId="0" fontId="98" fillId="0" borderId="4" xfId="4496" applyFont="1" applyBorder="1" applyAlignment="1">
      <alignment horizontal="left" indent="1"/>
    </xf>
    <xf numFmtId="0" fontId="98" fillId="0" borderId="5" xfId="4496" applyFont="1" applyBorder="1" applyAlignment="1">
      <alignment horizontal="left" indent="1"/>
    </xf>
    <xf numFmtId="0" fontId="98" fillId="0" borderId="67" xfId="4496" applyFont="1" applyBorder="1" applyAlignment="1">
      <alignment horizontal="right"/>
    </xf>
    <xf numFmtId="0" fontId="98" fillId="0" borderId="68" xfId="4496" applyFont="1" applyBorder="1" applyAlignment="1">
      <alignment horizontal="right"/>
    </xf>
    <xf numFmtId="0" fontId="98" fillId="0" borderId="0" xfId="4496" applyFont="1" applyAlignment="1">
      <alignment horizontal="left" wrapText="1" indent="1"/>
    </xf>
    <xf numFmtId="49" fontId="136" fillId="3" borderId="0" xfId="1192" applyNumberFormat="1" applyFont="1" applyFill="1" applyAlignment="1">
      <alignment horizontal="center" vertical="center"/>
    </xf>
    <xf numFmtId="0" fontId="98" fillId="0" borderId="11" xfId="4496" applyFont="1" applyBorder="1" applyAlignment="1">
      <alignment horizontal="left" indent="1"/>
    </xf>
    <xf numFmtId="0" fontId="98"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0" fontId="137" fillId="0" borderId="68" xfId="4496" applyFont="1" applyBorder="1" applyAlignment="1">
      <alignment horizontal="left" indent="1"/>
    </xf>
    <xf numFmtId="168" fontId="98" fillId="0" borderId="70" xfId="4499" applyNumberFormat="1" applyFont="1" applyFill="1" applyBorder="1" applyAlignment="1" applyProtection="1">
      <alignment horizontal="left" vertical="center" indent="1"/>
    </xf>
    <xf numFmtId="0" fontId="98" fillId="0" borderId="72" xfId="4496" applyFont="1" applyBorder="1" applyAlignment="1">
      <alignment horizontal="right"/>
    </xf>
    <xf numFmtId="0" fontId="98" fillId="0" borderId="11" xfId="4496" applyFont="1" applyBorder="1" applyAlignment="1">
      <alignment horizontal="right"/>
    </xf>
    <xf numFmtId="0" fontId="98" fillId="0" borderId="69" xfId="4496" applyFont="1" applyBorder="1" applyAlignment="1">
      <alignment horizontal="right"/>
    </xf>
    <xf numFmtId="0" fontId="98" fillId="0" borderId="70" xfId="4496" applyFont="1" applyBorder="1" applyAlignment="1">
      <alignment horizontal="right"/>
    </xf>
    <xf numFmtId="0" fontId="98" fillId="0" borderId="11" xfId="4496" applyFont="1" applyBorder="1"/>
    <xf numFmtId="0" fontId="98" fillId="0" borderId="76" xfId="4496" applyFont="1" applyBorder="1"/>
    <xf numFmtId="0" fontId="98" fillId="0" borderId="70" xfId="4496" applyFont="1" applyBorder="1"/>
    <xf numFmtId="0" fontId="98" fillId="0" borderId="77" xfId="4496" applyFont="1" applyBorder="1"/>
    <xf numFmtId="0" fontId="98" fillId="0" borderId="68" xfId="4496" applyFont="1" applyBorder="1"/>
    <xf numFmtId="0" fontId="98" fillId="0" borderId="71" xfId="4496" applyFont="1" applyBorder="1"/>
    <xf numFmtId="0" fontId="22" fillId="0" borderId="6" xfId="271" applyFont="1" applyBorder="1" applyAlignment="1">
      <alignment horizontal="center"/>
    </xf>
    <xf numFmtId="0" fontId="22" fillId="0" borderId="0" xfId="0" applyFont="1" applyAlignment="1" applyProtection="1">
      <alignment wrapText="1"/>
      <protection locked="0"/>
    </xf>
    <xf numFmtId="3" fontId="17" fillId="0" borderId="0" xfId="0" applyNumberFormat="1" applyFont="1" applyAlignment="1">
      <alignment horizontal="left" vertical="top" wrapText="1"/>
    </xf>
    <xf numFmtId="3" fontId="26" fillId="0" borderId="0" xfId="0" applyNumberFormat="1" applyFont="1" applyAlignment="1">
      <alignment horizontal="left" vertical="top" wrapText="1"/>
    </xf>
    <xf numFmtId="0" fontId="17" fillId="43" borderId="0" xfId="0" applyFont="1" applyFill="1" applyAlignment="1">
      <alignment horizontal="left"/>
    </xf>
  </cellXfs>
  <cellStyles count="34059">
    <cellStyle name="20% - Accent1" xfId="1" builtinId="30" customBuiltin="1"/>
    <cellStyle name="20% - Accent1 10" xfId="4504" xr:uid="{00000000-0005-0000-0000-000001000000}"/>
    <cellStyle name="20% - Accent1 10 2" xfId="29836" xr:uid="{A317293A-6E76-48A5-A1B0-BB93023CCF84}"/>
    <cellStyle name="20% - Accent1 10 3" xfId="21395" xr:uid="{6A4CC6B9-7F53-4985-A95C-3256DE235418}"/>
    <cellStyle name="20% - Accent1 10 4" xfId="12954" xr:uid="{DA49172B-2B60-45EA-AE06-8E5B74D5B8E5}"/>
    <cellStyle name="20% - Accent1 11" xfId="25618" xr:uid="{1473CC59-4D33-4286-8522-E58CB6AAB160}"/>
    <cellStyle name="20% - Accent1 12" xfId="17177" xr:uid="{3F2A9AAA-20CC-4165-85AF-DC6352A65FB6}"/>
    <cellStyle name="20% - Accent1 13" xfId="8736" xr:uid="{51C528B5-9A21-4247-BDD2-4B316D634EFB}"/>
    <cellStyle name="20% - Accent1 2" xfId="2" xr:uid="{00000000-0005-0000-0000-000002000000}"/>
    <cellStyle name="20% - Accent1 2 10" xfId="25619" xr:uid="{AE751327-5C51-4B47-9E7D-7997406DB261}"/>
    <cellStyle name="20% - Accent1 2 11" xfId="17178" xr:uid="{08A71920-E0E7-4974-8AE4-1BBBE94FCEAB}"/>
    <cellStyle name="20% - Accent1 2 12" xfId="8737" xr:uid="{F90D65C5-99FB-44F8-A2E1-0FC498444E5F}"/>
    <cellStyle name="20% - Accent1 2 2" xfId="3" xr:uid="{00000000-0005-0000-0000-000003000000}"/>
    <cellStyle name="20% - Accent1 2 2 10" xfId="17179" xr:uid="{55021B9F-0FEA-41E5-A648-BBFBC77C203B}"/>
    <cellStyle name="20% - Accent1 2 2 11" xfId="8738" xr:uid="{DA35DDFF-C110-48CC-BE75-81D6E3B7CF2B}"/>
    <cellStyle name="20% - Accent1 2 2 2" xfId="4" xr:uid="{00000000-0005-0000-0000-000004000000}"/>
    <cellStyle name="20% - Accent1 2 2 2 10" xfId="8739" xr:uid="{508DC5D8-C170-49D1-8A30-BCB2316ECBE3}"/>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2 2 2" xfId="32398" xr:uid="{E5553575-F593-4185-A69E-E7925905B866}"/>
    <cellStyle name="20% - Accent1 2 2 2 2 2 2 3" xfId="23957" xr:uid="{85542907-94FB-40A5-8FF5-E249415FAC4C}"/>
    <cellStyle name="20% - Accent1 2 2 2 2 2 2 4" xfId="15516" xr:uid="{68433E10-EDF7-4D0E-A9D2-830550AB4CB9}"/>
    <cellStyle name="20% - Accent1 2 2 2 2 2 3" xfId="28180" xr:uid="{01D1CF6C-30EE-4727-A966-976D3C929C76}"/>
    <cellStyle name="20% - Accent1 2 2 2 2 2 4" xfId="19739" xr:uid="{3DE4781D-42A2-4E9D-BBB4-B7D6A3C417CD}"/>
    <cellStyle name="20% - Accent1 2 2 2 2 2 5" xfId="11298" xr:uid="{664A86F0-E9FA-4FFD-93C5-93553F0CA668}"/>
    <cellStyle name="20% - Accent1 2 2 2 2 3" xfId="4921" xr:uid="{00000000-0005-0000-0000-000008000000}"/>
    <cellStyle name="20% - Accent1 2 2 2 2 3 2" xfId="30253" xr:uid="{5D5B45D4-F5E6-4110-B9AC-A9FE97A7906F}"/>
    <cellStyle name="20% - Accent1 2 2 2 2 3 3" xfId="21812" xr:uid="{FFB93522-4C23-4594-96DD-1FBEC1C4599B}"/>
    <cellStyle name="20% - Accent1 2 2 2 2 3 4" xfId="13371" xr:uid="{9020105B-DDB3-425A-85E5-9213FE8A08DC}"/>
    <cellStyle name="20% - Accent1 2 2 2 2 4" xfId="26035" xr:uid="{DC198A72-23E9-46D1-8C79-D1B0CB7444C3}"/>
    <cellStyle name="20% - Accent1 2 2 2 2 5" xfId="17594" xr:uid="{361FA615-CED5-4F00-9D5E-51DDFF75153A}"/>
    <cellStyle name="20% - Accent1 2 2 2 2 6" xfId="9153" xr:uid="{27993BFF-D788-488B-AF00-B30932AD262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2 2 2" xfId="32811" xr:uid="{6BFFAB41-0FFD-4835-BD4C-8FB3CE82B775}"/>
    <cellStyle name="20% - Accent1 2 2 2 3 2 2 3" xfId="24370" xr:uid="{CDB5E08F-CD1C-4006-8765-C66B8895040E}"/>
    <cellStyle name="20% - Accent1 2 2 2 3 2 2 4" xfId="15929" xr:uid="{72FAB496-03C9-485C-8EC6-906D88CDC6A0}"/>
    <cellStyle name="20% - Accent1 2 2 2 3 2 3" xfId="28593" xr:uid="{B9D376BC-BCAE-41CD-ADCE-206E2867905B}"/>
    <cellStyle name="20% - Accent1 2 2 2 3 2 4" xfId="20152" xr:uid="{43CF639E-906D-45F5-85E8-6845927B82D0}"/>
    <cellStyle name="20% - Accent1 2 2 2 3 2 5" xfId="11711" xr:uid="{69D32691-C2E4-4DF1-81C0-A69A7A7BE762}"/>
    <cellStyle name="20% - Accent1 2 2 2 3 3" xfId="5334" xr:uid="{00000000-0005-0000-0000-00000C000000}"/>
    <cellStyle name="20% - Accent1 2 2 2 3 3 2" xfId="30666" xr:uid="{8C23DDBD-78F2-469E-B163-405D946096CF}"/>
    <cellStyle name="20% - Accent1 2 2 2 3 3 3" xfId="22225" xr:uid="{9A441E09-3933-4BA6-B552-A6E725BD5E67}"/>
    <cellStyle name="20% - Accent1 2 2 2 3 3 4" xfId="13784" xr:uid="{81045723-EA5D-45F3-A8C1-FD978A187B5E}"/>
    <cellStyle name="20% - Accent1 2 2 2 3 4" xfId="26448" xr:uid="{EE643A33-0C15-4DC5-B990-B9FAD517B7B2}"/>
    <cellStyle name="20% - Accent1 2 2 2 3 5" xfId="18007" xr:uid="{C67278BD-2CA9-47A2-A58A-62057241FAD0}"/>
    <cellStyle name="20% - Accent1 2 2 2 3 6" xfId="9566" xr:uid="{569A4833-F632-4525-8BFA-848701EF139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2 2 2" xfId="33224" xr:uid="{D1296301-3D8B-4463-8C81-14727AB114FE}"/>
    <cellStyle name="20% - Accent1 2 2 2 4 2 2 3" xfId="24783" xr:uid="{41F364DC-0C74-47ED-9ECD-60E8BAEEBFBD}"/>
    <cellStyle name="20% - Accent1 2 2 2 4 2 2 4" xfId="16342" xr:uid="{92EE82DA-E4BA-4937-A00E-C8169A628600}"/>
    <cellStyle name="20% - Accent1 2 2 2 4 2 3" xfId="29006" xr:uid="{C7E843BF-7379-4658-9B18-0AE1B3B02E28}"/>
    <cellStyle name="20% - Accent1 2 2 2 4 2 4" xfId="20565" xr:uid="{A9DDCABC-A5B4-41C1-B049-2E8B554DE1D4}"/>
    <cellStyle name="20% - Accent1 2 2 2 4 2 5" xfId="12124" xr:uid="{B5C15955-F505-4C6E-8B77-872C80D3B118}"/>
    <cellStyle name="20% - Accent1 2 2 2 4 3" xfId="5747" xr:uid="{00000000-0005-0000-0000-000010000000}"/>
    <cellStyle name="20% - Accent1 2 2 2 4 3 2" xfId="31079" xr:uid="{A7728CD6-BB82-4619-8190-BFB353C6F3B5}"/>
    <cellStyle name="20% - Accent1 2 2 2 4 3 3" xfId="22638" xr:uid="{DF632B60-2BC9-434A-8197-F52FEE493C23}"/>
    <cellStyle name="20% - Accent1 2 2 2 4 3 4" xfId="14197" xr:uid="{BD312FA5-0E2E-4534-8112-AC3C23A5AAAB}"/>
    <cellStyle name="20% - Accent1 2 2 2 4 4" xfId="26861" xr:uid="{3304BD4A-9EFE-4AAB-B588-4D97892D7FD0}"/>
    <cellStyle name="20% - Accent1 2 2 2 4 5" xfId="18420" xr:uid="{D27BC322-21FD-49EE-8856-092A511F8990}"/>
    <cellStyle name="20% - Accent1 2 2 2 4 6" xfId="9979" xr:uid="{86017C6C-AA4E-4616-9680-73C5EF541F02}"/>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2 2 2" xfId="33637" xr:uid="{01E979C4-E926-4D5A-A3B2-0115A2DCAFD3}"/>
    <cellStyle name="20% - Accent1 2 2 2 5 2 2 3" xfId="25196" xr:uid="{24A6DF16-2C09-4C89-B800-3B131DC774B9}"/>
    <cellStyle name="20% - Accent1 2 2 2 5 2 2 4" xfId="16755" xr:uid="{7F521649-54F7-4323-8D0D-98008D040E5B}"/>
    <cellStyle name="20% - Accent1 2 2 2 5 2 3" xfId="29419" xr:uid="{3C90107D-6DD3-4B7E-81BE-93DD01A16083}"/>
    <cellStyle name="20% - Accent1 2 2 2 5 2 4" xfId="20978" xr:uid="{E5C05587-AAA0-40FF-A8B5-5FB16592B366}"/>
    <cellStyle name="20% - Accent1 2 2 2 5 2 5" xfId="12537" xr:uid="{4FA2454C-CED3-487F-B63A-A0C0476E99C3}"/>
    <cellStyle name="20% - Accent1 2 2 2 5 3" xfId="6160" xr:uid="{00000000-0005-0000-0000-000014000000}"/>
    <cellStyle name="20% - Accent1 2 2 2 5 3 2" xfId="31492" xr:uid="{B4AC9861-EBB6-4AAE-9528-DD9AC7C5ED5D}"/>
    <cellStyle name="20% - Accent1 2 2 2 5 3 3" xfId="23051" xr:uid="{34C19623-B0F2-4E58-8F85-AC2E9A91AFB8}"/>
    <cellStyle name="20% - Accent1 2 2 2 5 3 4" xfId="14610" xr:uid="{550A37E4-DDDB-4334-9C29-67DF05A3553B}"/>
    <cellStyle name="20% - Accent1 2 2 2 5 4" xfId="27274" xr:uid="{B3D7034C-430A-480B-9A7B-750C84FA92FD}"/>
    <cellStyle name="20% - Accent1 2 2 2 5 5" xfId="18833" xr:uid="{98AB89E6-0553-4896-AA28-5F2C87EF219D}"/>
    <cellStyle name="20% - Accent1 2 2 2 5 6" xfId="10392" xr:uid="{72AABB6E-BEA8-4338-A518-4E1A63814693}"/>
    <cellStyle name="20% - Accent1 2 2 2 6" xfId="2267" xr:uid="{00000000-0005-0000-0000-000015000000}"/>
    <cellStyle name="20% - Accent1 2 2 2 6 2" xfId="6573" xr:uid="{00000000-0005-0000-0000-000016000000}"/>
    <cellStyle name="20% - Accent1 2 2 2 6 2 2" xfId="31905" xr:uid="{786B9A7E-8672-406C-ADF1-34BE410C3ADC}"/>
    <cellStyle name="20% - Accent1 2 2 2 6 2 3" xfId="23464" xr:uid="{3F626DE2-027D-4BBA-B381-C5630E8628D6}"/>
    <cellStyle name="20% - Accent1 2 2 2 6 2 4" xfId="15023" xr:uid="{02C3802C-D5B7-4113-B4E6-2CC228C9FF94}"/>
    <cellStyle name="20% - Accent1 2 2 2 6 3" xfId="27687" xr:uid="{ADDDA72B-25E9-4067-9D1C-E9F8F8E2CBF6}"/>
    <cellStyle name="20% - Accent1 2 2 2 6 4" xfId="19246" xr:uid="{3F11EAE5-79D6-4AB1-AF1F-7BC643F15C00}"/>
    <cellStyle name="20% - Accent1 2 2 2 6 5" xfId="10805" xr:uid="{2E518C6B-6F62-42C3-9FB2-DBDF4F832110}"/>
    <cellStyle name="20% - Accent1 2 2 2 7" xfId="4507" xr:uid="{00000000-0005-0000-0000-000017000000}"/>
    <cellStyle name="20% - Accent1 2 2 2 7 2" xfId="29839" xr:uid="{C20730AC-3673-4D8D-8D30-900D52ED2C7D}"/>
    <cellStyle name="20% - Accent1 2 2 2 7 3" xfId="21398" xr:uid="{216352E1-03A7-4EAD-ACAC-D599E7B05151}"/>
    <cellStyle name="20% - Accent1 2 2 2 7 4" xfId="12957" xr:uid="{CAACBDBC-552A-4A72-B1AD-D8415BC3AB67}"/>
    <cellStyle name="20% - Accent1 2 2 2 8" xfId="25621" xr:uid="{6BF371E1-3D60-4302-8305-6BE2DA167508}"/>
    <cellStyle name="20% - Accent1 2 2 2 9" xfId="17180" xr:uid="{9130AEC0-A492-4793-AA83-3458C4DF9462}"/>
    <cellStyle name="20% - Accent1 2 2 3" xfId="572" xr:uid="{00000000-0005-0000-0000-000018000000}"/>
    <cellStyle name="20% - Accent1 2 2 3 2" xfId="2843" xr:uid="{00000000-0005-0000-0000-000019000000}"/>
    <cellStyle name="20% - Accent1 2 2 3 2 2" xfId="7065" xr:uid="{00000000-0005-0000-0000-00001A000000}"/>
    <cellStyle name="20% - Accent1 2 2 3 2 2 2" xfId="32397" xr:uid="{5BA1594F-246B-4E60-86FF-66F3A2D30B22}"/>
    <cellStyle name="20% - Accent1 2 2 3 2 2 3" xfId="23956" xr:uid="{617EC9CB-7F96-43A0-AA55-0A33F0F0D4C0}"/>
    <cellStyle name="20% - Accent1 2 2 3 2 2 4" xfId="15515" xr:uid="{3DEF35D4-5A8F-4F1C-B35D-FA5E368411D3}"/>
    <cellStyle name="20% - Accent1 2 2 3 2 3" xfId="28179" xr:uid="{46B944B1-592B-4C85-B35E-F9BA6D307207}"/>
    <cellStyle name="20% - Accent1 2 2 3 2 4" xfId="19738" xr:uid="{4E7DE931-91F4-46FE-85C1-0FB9D2C3E963}"/>
    <cellStyle name="20% - Accent1 2 2 3 2 5" xfId="11297" xr:uid="{2FFA6758-69BD-4D31-B576-C5F119A3947F}"/>
    <cellStyle name="20% - Accent1 2 2 3 3" xfId="4920" xr:uid="{00000000-0005-0000-0000-00001B000000}"/>
    <cellStyle name="20% - Accent1 2 2 3 3 2" xfId="30252" xr:uid="{2C24C467-AD22-49B9-827B-B3F7A2B89164}"/>
    <cellStyle name="20% - Accent1 2 2 3 3 3" xfId="21811" xr:uid="{5DC00707-108A-4DC5-87DA-D8AF2E7803C0}"/>
    <cellStyle name="20% - Accent1 2 2 3 3 4" xfId="13370" xr:uid="{F7F5AE72-D264-4E06-9308-D6BFDE82687E}"/>
    <cellStyle name="20% - Accent1 2 2 3 4" xfId="26034" xr:uid="{76EF2271-F414-428C-BFA0-789ABF8520DD}"/>
    <cellStyle name="20% - Accent1 2 2 3 5" xfId="17593" xr:uid="{C7F5222D-7F14-4CA4-B10A-8A0DDBF2FC16}"/>
    <cellStyle name="20% - Accent1 2 2 3 6" xfId="9152" xr:uid="{D89DF1DC-E437-4230-B525-8E49D25835C4}"/>
    <cellStyle name="20% - Accent1 2 2 4" xfId="1025" xr:uid="{00000000-0005-0000-0000-00001C000000}"/>
    <cellStyle name="20% - Accent1 2 2 4 2" xfId="3256" xr:uid="{00000000-0005-0000-0000-00001D000000}"/>
    <cellStyle name="20% - Accent1 2 2 4 2 2" xfId="7478" xr:uid="{00000000-0005-0000-0000-00001E000000}"/>
    <cellStyle name="20% - Accent1 2 2 4 2 2 2" xfId="32810" xr:uid="{1BA3FD1B-89E4-4133-B3E3-85F34615D4BC}"/>
    <cellStyle name="20% - Accent1 2 2 4 2 2 3" xfId="24369" xr:uid="{E71B2E0F-17F0-4883-947E-DCF16EA58F37}"/>
    <cellStyle name="20% - Accent1 2 2 4 2 2 4" xfId="15928" xr:uid="{E5604DBF-2F5F-4460-ABA1-C080825593F0}"/>
    <cellStyle name="20% - Accent1 2 2 4 2 3" xfId="28592" xr:uid="{DDF6C631-1469-457D-BDBE-F6C96189398E}"/>
    <cellStyle name="20% - Accent1 2 2 4 2 4" xfId="20151" xr:uid="{DB1DD44C-F863-4D88-BF74-1CCD769459F8}"/>
    <cellStyle name="20% - Accent1 2 2 4 2 5" xfId="11710" xr:uid="{67EDAFC7-5FF7-4DE4-B4A2-71350AB096DD}"/>
    <cellStyle name="20% - Accent1 2 2 4 3" xfId="5333" xr:uid="{00000000-0005-0000-0000-00001F000000}"/>
    <cellStyle name="20% - Accent1 2 2 4 3 2" xfId="30665" xr:uid="{9E5476C5-711F-43B0-9CFA-D04BFD76B84F}"/>
    <cellStyle name="20% - Accent1 2 2 4 3 3" xfId="22224" xr:uid="{FB493AFF-5582-40CF-8D78-98ECEAB433F6}"/>
    <cellStyle name="20% - Accent1 2 2 4 3 4" xfId="13783" xr:uid="{DF4273B6-7D23-40A9-92B2-1F62B48FF323}"/>
    <cellStyle name="20% - Accent1 2 2 4 4" xfId="26447" xr:uid="{B92BF7D5-48C3-4B1F-8B99-27B5AD9A583C}"/>
    <cellStyle name="20% - Accent1 2 2 4 5" xfId="18006" xr:uid="{F6400350-415D-4BCD-B4EB-F3BE3BB9AA5F}"/>
    <cellStyle name="20% - Accent1 2 2 4 6" xfId="9565" xr:uid="{E58DFA3D-67DB-4BEA-BA5C-65CBE137A066}"/>
    <cellStyle name="20% - Accent1 2 2 5" xfId="1439" xr:uid="{00000000-0005-0000-0000-000020000000}"/>
    <cellStyle name="20% - Accent1 2 2 5 2" xfId="3669" xr:uid="{00000000-0005-0000-0000-000021000000}"/>
    <cellStyle name="20% - Accent1 2 2 5 2 2" xfId="7891" xr:uid="{00000000-0005-0000-0000-000022000000}"/>
    <cellStyle name="20% - Accent1 2 2 5 2 2 2" xfId="33223" xr:uid="{39E6B9C8-46E5-4BC4-AF37-0E0FDDDE789A}"/>
    <cellStyle name="20% - Accent1 2 2 5 2 2 3" xfId="24782" xr:uid="{A2419F00-F74F-4CD5-AC03-A56C606F8595}"/>
    <cellStyle name="20% - Accent1 2 2 5 2 2 4" xfId="16341" xr:uid="{11515C4C-9041-4DAE-BCF5-37ECDF73E718}"/>
    <cellStyle name="20% - Accent1 2 2 5 2 3" xfId="29005" xr:uid="{2AA05464-695D-4F55-8179-21D0D89A5BC0}"/>
    <cellStyle name="20% - Accent1 2 2 5 2 4" xfId="20564" xr:uid="{F5A0F801-7FAA-46DE-84A5-88FF18F73B93}"/>
    <cellStyle name="20% - Accent1 2 2 5 2 5" xfId="12123" xr:uid="{52E076EA-F6EE-4A43-AB22-B6CE9819EE71}"/>
    <cellStyle name="20% - Accent1 2 2 5 3" xfId="5746" xr:uid="{00000000-0005-0000-0000-000023000000}"/>
    <cellStyle name="20% - Accent1 2 2 5 3 2" xfId="31078" xr:uid="{E577354A-557A-45C4-97A8-D876D262731D}"/>
    <cellStyle name="20% - Accent1 2 2 5 3 3" xfId="22637" xr:uid="{1E447A33-DC6B-496B-9A7F-2CDEE78BB555}"/>
    <cellStyle name="20% - Accent1 2 2 5 3 4" xfId="14196" xr:uid="{72D9AB1D-3C32-4AAA-85AC-0FAD9A1C5CC4}"/>
    <cellStyle name="20% - Accent1 2 2 5 4" xfId="26860" xr:uid="{B3DCB45F-3F5B-4B59-BFF4-9A8F64B57AF4}"/>
    <cellStyle name="20% - Accent1 2 2 5 5" xfId="18419" xr:uid="{D13F6915-ACF1-442E-8FB3-35477ABC18C0}"/>
    <cellStyle name="20% - Accent1 2 2 5 6" xfId="9978" xr:uid="{A81C868F-90FD-4373-BA29-83D7CE6E4FD2}"/>
    <cellStyle name="20% - Accent1 2 2 6" xfId="1853" xr:uid="{00000000-0005-0000-0000-000024000000}"/>
    <cellStyle name="20% - Accent1 2 2 6 2" xfId="4082" xr:uid="{00000000-0005-0000-0000-000025000000}"/>
    <cellStyle name="20% - Accent1 2 2 6 2 2" xfId="8304" xr:uid="{00000000-0005-0000-0000-000026000000}"/>
    <cellStyle name="20% - Accent1 2 2 6 2 2 2" xfId="33636" xr:uid="{D0E90A6E-D198-420C-8BD1-30313EC4F470}"/>
    <cellStyle name="20% - Accent1 2 2 6 2 2 3" xfId="25195" xr:uid="{826777E5-EE8A-4AB1-80C9-C1CCC6EFE9D1}"/>
    <cellStyle name="20% - Accent1 2 2 6 2 2 4" xfId="16754" xr:uid="{DEC159B2-47D4-4602-8B74-1839C44F69BC}"/>
    <cellStyle name="20% - Accent1 2 2 6 2 3" xfId="29418" xr:uid="{1502BAE4-56EA-4FAF-9622-DB0C58A1AC9E}"/>
    <cellStyle name="20% - Accent1 2 2 6 2 4" xfId="20977" xr:uid="{BC1B5518-1DFC-4C2E-9336-ACF03CE12BB5}"/>
    <cellStyle name="20% - Accent1 2 2 6 2 5" xfId="12536" xr:uid="{CA5EB805-5F6F-4284-94E0-762221982D94}"/>
    <cellStyle name="20% - Accent1 2 2 6 3" xfId="6159" xr:uid="{00000000-0005-0000-0000-000027000000}"/>
    <cellStyle name="20% - Accent1 2 2 6 3 2" xfId="31491" xr:uid="{DE13B45B-8C12-4D24-80B7-05072F97B092}"/>
    <cellStyle name="20% - Accent1 2 2 6 3 3" xfId="23050" xr:uid="{22112400-02F2-472C-BE19-F69BE31A9EA2}"/>
    <cellStyle name="20% - Accent1 2 2 6 3 4" xfId="14609" xr:uid="{2536FA17-FD8D-4B95-B5B0-56F3236ADEA3}"/>
    <cellStyle name="20% - Accent1 2 2 6 4" xfId="27273" xr:uid="{F8715B9F-E424-4B00-87FB-DD2709F1BA3B}"/>
    <cellStyle name="20% - Accent1 2 2 6 5" xfId="18832" xr:uid="{91019DA7-66D4-400C-AB1F-4822D0242E57}"/>
    <cellStyle name="20% - Accent1 2 2 6 6" xfId="10391" xr:uid="{A3BCC835-46E6-4D3A-8AC7-8B07BB08A655}"/>
    <cellStyle name="20% - Accent1 2 2 7" xfId="2266" xr:uid="{00000000-0005-0000-0000-000028000000}"/>
    <cellStyle name="20% - Accent1 2 2 7 2" xfId="6572" xr:uid="{00000000-0005-0000-0000-000029000000}"/>
    <cellStyle name="20% - Accent1 2 2 7 2 2" xfId="31904" xr:uid="{2621E7E1-F0B2-4FEF-943B-B0985CFE5E80}"/>
    <cellStyle name="20% - Accent1 2 2 7 2 3" xfId="23463" xr:uid="{8BA8C6BC-F062-49AA-B98A-2E7C46CD2E77}"/>
    <cellStyle name="20% - Accent1 2 2 7 2 4" xfId="15022" xr:uid="{9F56FEA3-2C2E-4B75-A0B4-3DAF3293FACD}"/>
    <cellStyle name="20% - Accent1 2 2 7 3" xfId="27686" xr:uid="{2A7C5BBB-57B2-483F-8A1E-804CAC53A200}"/>
    <cellStyle name="20% - Accent1 2 2 7 4" xfId="19245" xr:uid="{B0ADDF74-5383-43C2-8A5A-AA551A7652AC}"/>
    <cellStyle name="20% - Accent1 2 2 7 5" xfId="10804" xr:uid="{7E6E3D67-EED1-4A5A-A77B-50072F31B2FA}"/>
    <cellStyle name="20% - Accent1 2 2 8" xfId="4506" xr:uid="{00000000-0005-0000-0000-00002A000000}"/>
    <cellStyle name="20% - Accent1 2 2 8 2" xfId="29838" xr:uid="{F235F971-C289-4E72-82DE-33E2F5B9B34B}"/>
    <cellStyle name="20% - Accent1 2 2 8 3" xfId="21397" xr:uid="{E4959AC1-FF51-434C-B3B8-D3EC18D177ED}"/>
    <cellStyle name="20% - Accent1 2 2 8 4" xfId="12956" xr:uid="{DBC5D607-6A76-43D5-865F-46A316D1BD8E}"/>
    <cellStyle name="20% - Accent1 2 2 9" xfId="25620" xr:uid="{50B80BA9-1EE8-4680-8CB1-389C87365115}"/>
    <cellStyle name="20% - Accent1 2 3" xfId="5" xr:uid="{00000000-0005-0000-0000-00002B000000}"/>
    <cellStyle name="20% - Accent1 2 3 10" xfId="8740" xr:uid="{2A379D17-7CC9-4D20-A0D4-4FEA54D844F0}"/>
    <cellStyle name="20% - Accent1 2 3 2" xfId="574" xr:uid="{00000000-0005-0000-0000-00002C000000}"/>
    <cellStyle name="20% - Accent1 2 3 2 2" xfId="2845" xr:uid="{00000000-0005-0000-0000-00002D000000}"/>
    <cellStyle name="20% - Accent1 2 3 2 2 2" xfId="7067" xr:uid="{00000000-0005-0000-0000-00002E000000}"/>
    <cellStyle name="20% - Accent1 2 3 2 2 2 2" xfId="32399" xr:uid="{50311D64-1DF9-404E-8168-D45D966C7BA0}"/>
    <cellStyle name="20% - Accent1 2 3 2 2 2 3" xfId="23958" xr:uid="{C4B083E8-AFA5-4A6B-8318-90FAF268210E}"/>
    <cellStyle name="20% - Accent1 2 3 2 2 2 4" xfId="15517" xr:uid="{8FE23F61-AAEE-4A0A-8BA1-EF5B3BC899C8}"/>
    <cellStyle name="20% - Accent1 2 3 2 2 3" xfId="28181" xr:uid="{CDFE5099-41B4-4BA3-988B-34919C0B3DAD}"/>
    <cellStyle name="20% - Accent1 2 3 2 2 4" xfId="19740" xr:uid="{78CF8687-B0A6-4BEE-BC3A-E4F2E845EC73}"/>
    <cellStyle name="20% - Accent1 2 3 2 2 5" xfId="11299" xr:uid="{913D0C4C-082E-4ED4-8786-46A933DEB729}"/>
    <cellStyle name="20% - Accent1 2 3 2 3" xfId="4922" xr:uid="{00000000-0005-0000-0000-00002F000000}"/>
    <cellStyle name="20% - Accent1 2 3 2 3 2" xfId="30254" xr:uid="{C5B9E2CE-530C-430B-ABDA-B3C524F1E4F9}"/>
    <cellStyle name="20% - Accent1 2 3 2 3 3" xfId="21813" xr:uid="{5540F6B6-54A0-4140-A46F-AC82A4C19768}"/>
    <cellStyle name="20% - Accent1 2 3 2 3 4" xfId="13372" xr:uid="{3A45657D-F71B-448A-AB42-36E6596AF7A3}"/>
    <cellStyle name="20% - Accent1 2 3 2 4" xfId="26036" xr:uid="{47627254-7029-45AE-B2E6-959A39C0AEF0}"/>
    <cellStyle name="20% - Accent1 2 3 2 5" xfId="17595" xr:uid="{9638DDA7-9F84-4216-BCB7-5201B07DC06C}"/>
    <cellStyle name="20% - Accent1 2 3 2 6" xfId="9154" xr:uid="{BCE976A4-8E97-473B-9C59-3541CD58973F}"/>
    <cellStyle name="20% - Accent1 2 3 3" xfId="1027" xr:uid="{00000000-0005-0000-0000-000030000000}"/>
    <cellStyle name="20% - Accent1 2 3 3 2" xfId="3258" xr:uid="{00000000-0005-0000-0000-000031000000}"/>
    <cellStyle name="20% - Accent1 2 3 3 2 2" xfId="7480" xr:uid="{00000000-0005-0000-0000-000032000000}"/>
    <cellStyle name="20% - Accent1 2 3 3 2 2 2" xfId="32812" xr:uid="{05C6F6AB-69F0-4BAA-91D0-01C36A85DF02}"/>
    <cellStyle name="20% - Accent1 2 3 3 2 2 3" xfId="24371" xr:uid="{5EC04A80-FC50-45A3-8229-E7A831AE1C42}"/>
    <cellStyle name="20% - Accent1 2 3 3 2 2 4" xfId="15930" xr:uid="{B55E52A1-5034-48B7-AB2D-4500DADC7B2B}"/>
    <cellStyle name="20% - Accent1 2 3 3 2 3" xfId="28594" xr:uid="{110F1921-F4FA-41E6-81C6-280550BA3005}"/>
    <cellStyle name="20% - Accent1 2 3 3 2 4" xfId="20153" xr:uid="{93A95906-D03A-449C-93E5-FB12B8899C1D}"/>
    <cellStyle name="20% - Accent1 2 3 3 2 5" xfId="11712" xr:uid="{BDFE1ABC-1FCA-4A33-A586-9F99391160C8}"/>
    <cellStyle name="20% - Accent1 2 3 3 3" xfId="5335" xr:uid="{00000000-0005-0000-0000-000033000000}"/>
    <cellStyle name="20% - Accent1 2 3 3 3 2" xfId="30667" xr:uid="{573B6BED-626C-4239-85FF-69226AF74F40}"/>
    <cellStyle name="20% - Accent1 2 3 3 3 3" xfId="22226" xr:uid="{9C91F855-966E-4F01-A8D7-DBD985376732}"/>
    <cellStyle name="20% - Accent1 2 3 3 3 4" xfId="13785" xr:uid="{5CFED048-8751-47DF-904D-8EEA3816E914}"/>
    <cellStyle name="20% - Accent1 2 3 3 4" xfId="26449" xr:uid="{8717C738-846A-4873-B1BF-1B1E7AF43F2E}"/>
    <cellStyle name="20% - Accent1 2 3 3 5" xfId="18008" xr:uid="{13CF2E79-8A64-45EB-9CF0-8B9A2288846C}"/>
    <cellStyle name="20% - Accent1 2 3 3 6" xfId="9567" xr:uid="{FFD0F88C-4E09-4BC4-A4B9-E6DFED5C3C80}"/>
    <cellStyle name="20% - Accent1 2 3 4" xfId="1441" xr:uid="{00000000-0005-0000-0000-000034000000}"/>
    <cellStyle name="20% - Accent1 2 3 4 2" xfId="3671" xr:uid="{00000000-0005-0000-0000-000035000000}"/>
    <cellStyle name="20% - Accent1 2 3 4 2 2" xfId="7893" xr:uid="{00000000-0005-0000-0000-000036000000}"/>
    <cellStyle name="20% - Accent1 2 3 4 2 2 2" xfId="33225" xr:uid="{72F88583-C93E-4A65-965F-E3FA8F9CA45D}"/>
    <cellStyle name="20% - Accent1 2 3 4 2 2 3" xfId="24784" xr:uid="{B72446D4-AE78-485C-A054-13DF34F4C37B}"/>
    <cellStyle name="20% - Accent1 2 3 4 2 2 4" xfId="16343" xr:uid="{9B3E2608-D284-4B03-B5F0-740EC20744BE}"/>
    <cellStyle name="20% - Accent1 2 3 4 2 3" xfId="29007" xr:uid="{EEDD17EA-F342-41F1-84AC-A91DC5FFE4A2}"/>
    <cellStyle name="20% - Accent1 2 3 4 2 4" xfId="20566" xr:uid="{D7FCE5B5-1D5F-4858-8F30-71293F1AC9A3}"/>
    <cellStyle name="20% - Accent1 2 3 4 2 5" xfId="12125" xr:uid="{77C3A83C-AB29-4130-841F-5B5ECC1CB07C}"/>
    <cellStyle name="20% - Accent1 2 3 4 3" xfId="5748" xr:uid="{00000000-0005-0000-0000-000037000000}"/>
    <cellStyle name="20% - Accent1 2 3 4 3 2" xfId="31080" xr:uid="{19ED4B62-4CB2-47B2-857A-70E3E2483DF6}"/>
    <cellStyle name="20% - Accent1 2 3 4 3 3" xfId="22639" xr:uid="{B9579894-3F90-425C-A771-968AC45BFBCA}"/>
    <cellStyle name="20% - Accent1 2 3 4 3 4" xfId="14198" xr:uid="{558B60A0-9FAD-4147-B97B-AD20C80A848A}"/>
    <cellStyle name="20% - Accent1 2 3 4 4" xfId="26862" xr:uid="{4806AAF0-F196-48A3-9611-658448F8FEF1}"/>
    <cellStyle name="20% - Accent1 2 3 4 5" xfId="18421" xr:uid="{29E3D166-B549-46C1-BB6E-B9B1FBC8F11F}"/>
    <cellStyle name="20% - Accent1 2 3 4 6" xfId="9980" xr:uid="{6F334C35-FA86-4772-8F27-EBBC43C65FFC}"/>
    <cellStyle name="20% - Accent1 2 3 5" xfId="1855" xr:uid="{00000000-0005-0000-0000-000038000000}"/>
    <cellStyle name="20% - Accent1 2 3 5 2" xfId="4084" xr:uid="{00000000-0005-0000-0000-000039000000}"/>
    <cellStyle name="20% - Accent1 2 3 5 2 2" xfId="8306" xr:uid="{00000000-0005-0000-0000-00003A000000}"/>
    <cellStyle name="20% - Accent1 2 3 5 2 2 2" xfId="33638" xr:uid="{39CB44DD-B0B4-4209-AF0C-933556C7E5EE}"/>
    <cellStyle name="20% - Accent1 2 3 5 2 2 3" xfId="25197" xr:uid="{5A3AFE34-9513-4D49-A302-5E5E1FBEFA3F}"/>
    <cellStyle name="20% - Accent1 2 3 5 2 2 4" xfId="16756" xr:uid="{32B845CD-95C3-4F57-8DFC-989334283A22}"/>
    <cellStyle name="20% - Accent1 2 3 5 2 3" xfId="29420" xr:uid="{DE6D1590-A5FE-413B-9F51-3434C581F860}"/>
    <cellStyle name="20% - Accent1 2 3 5 2 4" xfId="20979" xr:uid="{C5714D01-F588-43E4-B78D-93BB48AFB640}"/>
    <cellStyle name="20% - Accent1 2 3 5 2 5" xfId="12538" xr:uid="{9938230D-B52C-4348-8EB5-6E0710A2A4BB}"/>
    <cellStyle name="20% - Accent1 2 3 5 3" xfId="6161" xr:uid="{00000000-0005-0000-0000-00003B000000}"/>
    <cellStyle name="20% - Accent1 2 3 5 3 2" xfId="31493" xr:uid="{9429902D-3041-417C-A04E-565E8AD31CBC}"/>
    <cellStyle name="20% - Accent1 2 3 5 3 3" xfId="23052" xr:uid="{2C9AA93C-D304-451F-868D-4ADC8684AE73}"/>
    <cellStyle name="20% - Accent1 2 3 5 3 4" xfId="14611" xr:uid="{AD84DD38-91F6-400A-80BC-835C0764A6A0}"/>
    <cellStyle name="20% - Accent1 2 3 5 4" xfId="27275" xr:uid="{7C8F8B93-1081-4F81-88C6-B5250345A980}"/>
    <cellStyle name="20% - Accent1 2 3 5 5" xfId="18834" xr:uid="{E21AADA2-4283-4CCF-B18D-5CCDBDD21A86}"/>
    <cellStyle name="20% - Accent1 2 3 5 6" xfId="10393" xr:uid="{43E3C7CD-6229-47DE-BFA1-B9353392A756}"/>
    <cellStyle name="20% - Accent1 2 3 6" xfId="2268" xr:uid="{00000000-0005-0000-0000-00003C000000}"/>
    <cellStyle name="20% - Accent1 2 3 6 2" xfId="6574" xr:uid="{00000000-0005-0000-0000-00003D000000}"/>
    <cellStyle name="20% - Accent1 2 3 6 2 2" xfId="31906" xr:uid="{3E65DF94-9927-4A68-8283-9FD43BDA2327}"/>
    <cellStyle name="20% - Accent1 2 3 6 2 3" xfId="23465" xr:uid="{5389C6AB-5F2D-46C2-9E62-03F360E38189}"/>
    <cellStyle name="20% - Accent1 2 3 6 2 4" xfId="15024" xr:uid="{B6D6664B-6DA7-4F6F-9F28-73C4AF7C238E}"/>
    <cellStyle name="20% - Accent1 2 3 6 3" xfId="27688" xr:uid="{1057B09C-73E4-42BE-A2C7-3303AACFAF2C}"/>
    <cellStyle name="20% - Accent1 2 3 6 4" xfId="19247" xr:uid="{19D0D4B4-C6BB-4770-9A98-0003500EEA65}"/>
    <cellStyle name="20% - Accent1 2 3 6 5" xfId="10806" xr:uid="{1BF3EB1A-B33B-4C06-92B3-EC1BAB8AE76C}"/>
    <cellStyle name="20% - Accent1 2 3 7" xfId="4508" xr:uid="{00000000-0005-0000-0000-00003E000000}"/>
    <cellStyle name="20% - Accent1 2 3 7 2" xfId="29840" xr:uid="{B1167D56-F6EB-4C61-83DF-92996B707382}"/>
    <cellStyle name="20% - Accent1 2 3 7 3" xfId="21399" xr:uid="{D826B9E9-1AEB-4CEA-BF6F-71332CC4E1D8}"/>
    <cellStyle name="20% - Accent1 2 3 7 4" xfId="12958" xr:uid="{A6E736F0-88E2-4D32-9ADE-0722A4CC1F12}"/>
    <cellStyle name="20% - Accent1 2 3 8" xfId="25622" xr:uid="{7CCB5042-17D7-472C-B5AE-0950C5F71EAB}"/>
    <cellStyle name="20% - Accent1 2 3 9" xfId="17181" xr:uid="{0AAF451D-A6B0-4A55-9EFA-1B1954B0B19B}"/>
    <cellStyle name="20% - Accent1 2 4" xfId="571" xr:uid="{00000000-0005-0000-0000-00003F000000}"/>
    <cellStyle name="20% - Accent1 2 4 2" xfId="2842" xr:uid="{00000000-0005-0000-0000-000040000000}"/>
    <cellStyle name="20% - Accent1 2 4 2 2" xfId="7064" xr:uid="{00000000-0005-0000-0000-000041000000}"/>
    <cellStyle name="20% - Accent1 2 4 2 2 2" xfId="32396" xr:uid="{52C50EAC-5215-4563-A9C2-48DE4E19ACB5}"/>
    <cellStyle name="20% - Accent1 2 4 2 2 3" xfId="23955" xr:uid="{7BC891BF-A1A9-4E52-89F5-9528FE53C1FD}"/>
    <cellStyle name="20% - Accent1 2 4 2 2 4" xfId="15514" xr:uid="{5E8320A3-F22A-4204-AC0F-10B4C8D9CF88}"/>
    <cellStyle name="20% - Accent1 2 4 2 3" xfId="28178" xr:uid="{A1C65520-334A-4A30-A91F-04799A1C074C}"/>
    <cellStyle name="20% - Accent1 2 4 2 4" xfId="19737" xr:uid="{F558D495-7C8E-4F5B-B1C1-91BC340762AC}"/>
    <cellStyle name="20% - Accent1 2 4 2 5" xfId="11296" xr:uid="{57BD3971-16BC-4802-B405-2C704417EC4F}"/>
    <cellStyle name="20% - Accent1 2 4 3" xfId="4919" xr:uid="{00000000-0005-0000-0000-000042000000}"/>
    <cellStyle name="20% - Accent1 2 4 3 2" xfId="30251" xr:uid="{B6F1EF06-FF1A-48B0-8337-2AA029AA8DAA}"/>
    <cellStyle name="20% - Accent1 2 4 3 3" xfId="21810" xr:uid="{CE59E485-9679-4F60-A60E-422603DAFB11}"/>
    <cellStyle name="20% - Accent1 2 4 3 4" xfId="13369" xr:uid="{042E22C0-57CF-4DE4-A2E0-3955217677AF}"/>
    <cellStyle name="20% - Accent1 2 4 4" xfId="26033" xr:uid="{C179E0C6-B87C-4DDD-A54B-9A80F472F116}"/>
    <cellStyle name="20% - Accent1 2 4 5" xfId="17592" xr:uid="{0A626BBA-FF0E-431C-847D-6FEC7979C592}"/>
    <cellStyle name="20% - Accent1 2 4 6" xfId="9151" xr:uid="{5B02F2FD-33E6-466B-9101-0ADB1AF2C9CB}"/>
    <cellStyle name="20% - Accent1 2 5" xfId="1024" xr:uid="{00000000-0005-0000-0000-000043000000}"/>
    <cellStyle name="20% - Accent1 2 5 2" xfId="3255" xr:uid="{00000000-0005-0000-0000-000044000000}"/>
    <cellStyle name="20% - Accent1 2 5 2 2" xfId="7477" xr:uid="{00000000-0005-0000-0000-000045000000}"/>
    <cellStyle name="20% - Accent1 2 5 2 2 2" xfId="32809" xr:uid="{9183AE74-7F1F-4CFC-954E-7C1A55AD4B24}"/>
    <cellStyle name="20% - Accent1 2 5 2 2 3" xfId="24368" xr:uid="{CEC6B267-F8AE-4E13-B926-3EDB344DFF13}"/>
    <cellStyle name="20% - Accent1 2 5 2 2 4" xfId="15927" xr:uid="{E4D41F58-0F7D-4095-B883-A7D87450F1A7}"/>
    <cellStyle name="20% - Accent1 2 5 2 3" xfId="28591" xr:uid="{1864FCD2-B396-4E1C-A674-AA1887BA262C}"/>
    <cellStyle name="20% - Accent1 2 5 2 4" xfId="20150" xr:uid="{D4371CBA-EBEE-448E-AB8B-3099A7EC379D}"/>
    <cellStyle name="20% - Accent1 2 5 2 5" xfId="11709" xr:uid="{3EC11E10-0958-4862-B64D-3245042C106C}"/>
    <cellStyle name="20% - Accent1 2 5 3" xfId="5332" xr:uid="{00000000-0005-0000-0000-000046000000}"/>
    <cellStyle name="20% - Accent1 2 5 3 2" xfId="30664" xr:uid="{3166CA17-9164-4F88-9D57-C827A08C09DB}"/>
    <cellStyle name="20% - Accent1 2 5 3 3" xfId="22223" xr:uid="{286D2375-F6A8-4856-8AFA-164BFE28401F}"/>
    <cellStyle name="20% - Accent1 2 5 3 4" xfId="13782" xr:uid="{ADADD134-1489-4426-AC61-F21E37CB3130}"/>
    <cellStyle name="20% - Accent1 2 5 4" xfId="26446" xr:uid="{4586056E-A18C-4BA0-A825-DE35282FDFBA}"/>
    <cellStyle name="20% - Accent1 2 5 5" xfId="18005" xr:uid="{EF2725D1-0F62-461D-B538-57FECE3F1878}"/>
    <cellStyle name="20% - Accent1 2 5 6" xfId="9564" xr:uid="{096BF4C6-6175-4E6B-86BE-3729C20D7DE8}"/>
    <cellStyle name="20% - Accent1 2 6" xfId="1438" xr:uid="{00000000-0005-0000-0000-000047000000}"/>
    <cellStyle name="20% - Accent1 2 6 2" xfId="3668" xr:uid="{00000000-0005-0000-0000-000048000000}"/>
    <cellStyle name="20% - Accent1 2 6 2 2" xfId="7890" xr:uid="{00000000-0005-0000-0000-000049000000}"/>
    <cellStyle name="20% - Accent1 2 6 2 2 2" xfId="33222" xr:uid="{89F4BA54-98C9-4947-BC97-18ABCDBF9E62}"/>
    <cellStyle name="20% - Accent1 2 6 2 2 3" xfId="24781" xr:uid="{B78DDC42-78E7-45D0-B8AF-9F1CE9007AC8}"/>
    <cellStyle name="20% - Accent1 2 6 2 2 4" xfId="16340" xr:uid="{C0D47C53-6598-4DEF-837F-3B6D3003D0E0}"/>
    <cellStyle name="20% - Accent1 2 6 2 3" xfId="29004" xr:uid="{6FA2E9DF-0838-4108-A6C4-B49BC0F4A2E5}"/>
    <cellStyle name="20% - Accent1 2 6 2 4" xfId="20563" xr:uid="{51F122BF-42E6-43C2-A36F-C60274709C66}"/>
    <cellStyle name="20% - Accent1 2 6 2 5" xfId="12122" xr:uid="{C1BD3493-3F41-461C-AA64-DF0F399418E0}"/>
    <cellStyle name="20% - Accent1 2 6 3" xfId="5745" xr:uid="{00000000-0005-0000-0000-00004A000000}"/>
    <cellStyle name="20% - Accent1 2 6 3 2" xfId="31077" xr:uid="{A8184A98-9E38-4C29-9848-CD1A2DB3A212}"/>
    <cellStyle name="20% - Accent1 2 6 3 3" xfId="22636" xr:uid="{B6AEE363-3F11-4FDB-B933-2751FBE938F9}"/>
    <cellStyle name="20% - Accent1 2 6 3 4" xfId="14195" xr:uid="{09C54894-5E02-4E26-A47B-B787BE54C3FB}"/>
    <cellStyle name="20% - Accent1 2 6 4" xfId="26859" xr:uid="{1367577F-0322-4A74-813B-02838F8880E8}"/>
    <cellStyle name="20% - Accent1 2 6 5" xfId="18418" xr:uid="{F3F6222F-7D05-414A-A108-84BC0767073F}"/>
    <cellStyle name="20% - Accent1 2 6 6" xfId="9977" xr:uid="{120AA14B-2851-434A-9845-23CD631E9F26}"/>
    <cellStyle name="20% - Accent1 2 7" xfId="1852" xr:uid="{00000000-0005-0000-0000-00004B000000}"/>
    <cellStyle name="20% - Accent1 2 7 2" xfId="4081" xr:uid="{00000000-0005-0000-0000-00004C000000}"/>
    <cellStyle name="20% - Accent1 2 7 2 2" xfId="8303" xr:uid="{00000000-0005-0000-0000-00004D000000}"/>
    <cellStyle name="20% - Accent1 2 7 2 2 2" xfId="33635" xr:uid="{C9BF2822-ED91-4A27-961E-9B373D9A8F28}"/>
    <cellStyle name="20% - Accent1 2 7 2 2 3" xfId="25194" xr:uid="{1B853E94-F303-430D-8F70-C8575BCCEEE6}"/>
    <cellStyle name="20% - Accent1 2 7 2 2 4" xfId="16753" xr:uid="{181F98CC-CE93-4DC8-BC3D-7D0BBB192A65}"/>
    <cellStyle name="20% - Accent1 2 7 2 3" xfId="29417" xr:uid="{C77E06D7-75CD-48F5-B7BC-748099D6D8F2}"/>
    <cellStyle name="20% - Accent1 2 7 2 4" xfId="20976" xr:uid="{18F3DB59-4F53-4CB5-B4A3-BFE89D0AAF85}"/>
    <cellStyle name="20% - Accent1 2 7 2 5" xfId="12535" xr:uid="{7590B85C-66EE-46F2-8E3E-505A7748CE4A}"/>
    <cellStyle name="20% - Accent1 2 7 3" xfId="6158" xr:uid="{00000000-0005-0000-0000-00004E000000}"/>
    <cellStyle name="20% - Accent1 2 7 3 2" xfId="31490" xr:uid="{290E59C3-04EC-4671-A9E8-E345D1410227}"/>
    <cellStyle name="20% - Accent1 2 7 3 3" xfId="23049" xr:uid="{030FBE91-6B02-4B8A-976F-5A48018A1BBC}"/>
    <cellStyle name="20% - Accent1 2 7 3 4" xfId="14608" xr:uid="{4D03B783-4E75-4D5E-8AC2-AE2040CBC5A6}"/>
    <cellStyle name="20% - Accent1 2 7 4" xfId="27272" xr:uid="{133436F1-F963-47AF-B978-DC52B596ADDA}"/>
    <cellStyle name="20% - Accent1 2 7 5" xfId="18831" xr:uid="{EFFB65EE-7D73-4D73-B22A-AA14A6540E99}"/>
    <cellStyle name="20% - Accent1 2 7 6" xfId="10390" xr:uid="{EAC52CC0-F08C-430F-B82B-4E1833872508}"/>
    <cellStyle name="20% - Accent1 2 8" xfId="2265" xr:uid="{00000000-0005-0000-0000-00004F000000}"/>
    <cellStyle name="20% - Accent1 2 8 2" xfId="6571" xr:uid="{00000000-0005-0000-0000-000050000000}"/>
    <cellStyle name="20% - Accent1 2 8 2 2" xfId="31903" xr:uid="{309AB6F7-8DDB-46D4-8EB9-34A1374BCCEA}"/>
    <cellStyle name="20% - Accent1 2 8 2 3" xfId="23462" xr:uid="{7491A370-6B9E-4FE3-B793-B75AEC6B24B9}"/>
    <cellStyle name="20% - Accent1 2 8 2 4" xfId="15021" xr:uid="{AE8E71D1-F840-44CF-BECB-38AD044A5644}"/>
    <cellStyle name="20% - Accent1 2 8 3" xfId="27685" xr:uid="{1A3C9225-02D6-48BB-8547-C9D251D70064}"/>
    <cellStyle name="20% - Accent1 2 8 4" xfId="19244" xr:uid="{A60CE28D-A4EB-4344-BA47-5D846BF19C02}"/>
    <cellStyle name="20% - Accent1 2 8 5" xfId="10803" xr:uid="{176AFB6C-6CD8-4769-9E2B-960B229ABE7F}"/>
    <cellStyle name="20% - Accent1 2 9" xfId="4505" xr:uid="{00000000-0005-0000-0000-000051000000}"/>
    <cellStyle name="20% - Accent1 2 9 2" xfId="29837" xr:uid="{DF5DA6C3-4218-4B45-8A90-6B87AA0C9A92}"/>
    <cellStyle name="20% - Accent1 2 9 3" xfId="21396" xr:uid="{F8F3DD3A-8114-4A5E-B7FB-24753556D2C7}"/>
    <cellStyle name="20% - Accent1 2 9 4" xfId="12955" xr:uid="{8BAB6E37-B24C-4449-A712-78A0D041B210}"/>
    <cellStyle name="20% - Accent1 3" xfId="6" xr:uid="{00000000-0005-0000-0000-000052000000}"/>
    <cellStyle name="20% - Accent1 3 10" xfId="17182" xr:uid="{1CA62AEB-2B2D-41BC-A858-12ADE43F3D36}"/>
    <cellStyle name="20% - Accent1 3 11" xfId="8741" xr:uid="{DB513B02-488C-4CBD-9783-92488A826159}"/>
    <cellStyle name="20% - Accent1 3 2" xfId="7" xr:uid="{00000000-0005-0000-0000-000053000000}"/>
    <cellStyle name="20% - Accent1 3 2 10" xfId="8742" xr:uid="{B74B07FF-1475-407C-A0C5-1636B5B2E8F7}"/>
    <cellStyle name="20% - Accent1 3 2 2" xfId="576" xr:uid="{00000000-0005-0000-0000-000054000000}"/>
    <cellStyle name="20% - Accent1 3 2 2 2" xfId="2847" xr:uid="{00000000-0005-0000-0000-000055000000}"/>
    <cellStyle name="20% - Accent1 3 2 2 2 2" xfId="7069" xr:uid="{00000000-0005-0000-0000-000056000000}"/>
    <cellStyle name="20% - Accent1 3 2 2 2 2 2" xfId="32401" xr:uid="{38577757-B47A-456A-8A71-AD498B0370CC}"/>
    <cellStyle name="20% - Accent1 3 2 2 2 2 3" xfId="23960" xr:uid="{FC1B951B-404F-467F-8ED7-60111C30523D}"/>
    <cellStyle name="20% - Accent1 3 2 2 2 2 4" xfId="15519" xr:uid="{670C08B3-E6DC-4F58-B6DF-0EF76C2E3CA4}"/>
    <cellStyle name="20% - Accent1 3 2 2 2 3" xfId="28183" xr:uid="{24C35E74-F002-4742-8CB6-C2C71E9ADF85}"/>
    <cellStyle name="20% - Accent1 3 2 2 2 4" xfId="19742" xr:uid="{AE4B9033-CBC3-4E47-8B48-6FF84E2C0F36}"/>
    <cellStyle name="20% - Accent1 3 2 2 2 5" xfId="11301" xr:uid="{651BC80D-B0B7-4C6C-848B-B8EB929BD561}"/>
    <cellStyle name="20% - Accent1 3 2 2 3" xfId="4924" xr:uid="{00000000-0005-0000-0000-000057000000}"/>
    <cellStyle name="20% - Accent1 3 2 2 3 2" xfId="30256" xr:uid="{39C09E44-8AA5-4392-8B1F-C0406D64180D}"/>
    <cellStyle name="20% - Accent1 3 2 2 3 3" xfId="21815" xr:uid="{7DE0947F-8B69-4FD9-A257-61FF829954D5}"/>
    <cellStyle name="20% - Accent1 3 2 2 3 4" xfId="13374" xr:uid="{8265E93B-C14F-4D4E-906C-A4299D9CC1A4}"/>
    <cellStyle name="20% - Accent1 3 2 2 4" xfId="26038" xr:uid="{A04AE57C-F226-4EAD-8449-739042E205CF}"/>
    <cellStyle name="20% - Accent1 3 2 2 5" xfId="17597" xr:uid="{ADC1493B-196F-4D33-BDFE-D7F48E3BBECE}"/>
    <cellStyle name="20% - Accent1 3 2 2 6" xfId="9156" xr:uid="{7EA1BB6C-CCED-4371-9424-393452E35B18}"/>
    <cellStyle name="20% - Accent1 3 2 3" xfId="1029" xr:uid="{00000000-0005-0000-0000-000058000000}"/>
    <cellStyle name="20% - Accent1 3 2 3 2" xfId="3260" xr:uid="{00000000-0005-0000-0000-000059000000}"/>
    <cellStyle name="20% - Accent1 3 2 3 2 2" xfId="7482" xr:uid="{00000000-0005-0000-0000-00005A000000}"/>
    <cellStyle name="20% - Accent1 3 2 3 2 2 2" xfId="32814" xr:uid="{AA134DEA-FB43-4505-9713-B64E98B0365D}"/>
    <cellStyle name="20% - Accent1 3 2 3 2 2 3" xfId="24373" xr:uid="{979A8C62-D694-423E-8BC6-A8E8DB4D505A}"/>
    <cellStyle name="20% - Accent1 3 2 3 2 2 4" xfId="15932" xr:uid="{37FFBFDF-5017-4D6B-B739-67B5D4435547}"/>
    <cellStyle name="20% - Accent1 3 2 3 2 3" xfId="28596" xr:uid="{7F94A348-20BC-43DC-B5D0-C788BEA3E0C9}"/>
    <cellStyle name="20% - Accent1 3 2 3 2 4" xfId="20155" xr:uid="{36DE8DB9-E173-4D0E-B977-351E2CCE90E9}"/>
    <cellStyle name="20% - Accent1 3 2 3 2 5" xfId="11714" xr:uid="{6C1857B9-37D1-4B57-B31D-A8EB99918F8D}"/>
    <cellStyle name="20% - Accent1 3 2 3 3" xfId="5337" xr:uid="{00000000-0005-0000-0000-00005B000000}"/>
    <cellStyle name="20% - Accent1 3 2 3 3 2" xfId="30669" xr:uid="{48E0C1E5-F63D-434D-84C5-82F9AFC66C5F}"/>
    <cellStyle name="20% - Accent1 3 2 3 3 3" xfId="22228" xr:uid="{34D2A023-AD85-4914-B585-84FE75998716}"/>
    <cellStyle name="20% - Accent1 3 2 3 3 4" xfId="13787" xr:uid="{30D20FC2-BD1F-4794-8D5F-BF7B52B9E3B8}"/>
    <cellStyle name="20% - Accent1 3 2 3 4" xfId="26451" xr:uid="{8D0E5E01-AB71-4458-ABA4-6A516F8A6C0F}"/>
    <cellStyle name="20% - Accent1 3 2 3 5" xfId="18010" xr:uid="{211F8643-904A-4E96-9F97-DA4234DFE4F1}"/>
    <cellStyle name="20% - Accent1 3 2 3 6" xfId="9569" xr:uid="{589D69C3-CD2F-4A04-84C4-1C3B9994E6B1}"/>
    <cellStyle name="20% - Accent1 3 2 4" xfId="1443" xr:uid="{00000000-0005-0000-0000-00005C000000}"/>
    <cellStyle name="20% - Accent1 3 2 4 2" xfId="3673" xr:uid="{00000000-0005-0000-0000-00005D000000}"/>
    <cellStyle name="20% - Accent1 3 2 4 2 2" xfId="7895" xr:uid="{00000000-0005-0000-0000-00005E000000}"/>
    <cellStyle name="20% - Accent1 3 2 4 2 2 2" xfId="33227" xr:uid="{A8A7503E-164D-4BD0-A191-DCDE1270A8E6}"/>
    <cellStyle name="20% - Accent1 3 2 4 2 2 3" xfId="24786" xr:uid="{8F053460-0DCE-4E5E-8C48-E8BD9251BA1D}"/>
    <cellStyle name="20% - Accent1 3 2 4 2 2 4" xfId="16345" xr:uid="{74B5E66A-BB28-4546-91F3-A731D8E42E1A}"/>
    <cellStyle name="20% - Accent1 3 2 4 2 3" xfId="29009" xr:uid="{CE9C9EBD-7852-499B-BE4B-58F0B403FBFF}"/>
    <cellStyle name="20% - Accent1 3 2 4 2 4" xfId="20568" xr:uid="{E5D1410F-DC2F-4F36-BA6C-5999D1C7AA28}"/>
    <cellStyle name="20% - Accent1 3 2 4 2 5" xfId="12127" xr:uid="{0B568869-1868-4DF4-8FD7-25B91AEB1DE9}"/>
    <cellStyle name="20% - Accent1 3 2 4 3" xfId="5750" xr:uid="{00000000-0005-0000-0000-00005F000000}"/>
    <cellStyle name="20% - Accent1 3 2 4 3 2" xfId="31082" xr:uid="{C95108E1-0CD7-45EF-80DC-833FB61F5CC0}"/>
    <cellStyle name="20% - Accent1 3 2 4 3 3" xfId="22641" xr:uid="{8D6DDF9E-D830-47B2-BB47-111A9D6AD6A9}"/>
    <cellStyle name="20% - Accent1 3 2 4 3 4" xfId="14200" xr:uid="{B3E2463B-23A0-4B6C-B45B-570C87E9D029}"/>
    <cellStyle name="20% - Accent1 3 2 4 4" xfId="26864" xr:uid="{CD3F465B-FDA3-448C-B96F-02666C219D26}"/>
    <cellStyle name="20% - Accent1 3 2 4 5" xfId="18423" xr:uid="{C57EAEBE-16C8-4E3E-A400-D64A682B22D9}"/>
    <cellStyle name="20% - Accent1 3 2 4 6" xfId="9982" xr:uid="{AA1DBF7E-7970-481A-AA3B-3B4D9B8B6AEF}"/>
    <cellStyle name="20% - Accent1 3 2 5" xfId="1857" xr:uid="{00000000-0005-0000-0000-000060000000}"/>
    <cellStyle name="20% - Accent1 3 2 5 2" xfId="4086" xr:uid="{00000000-0005-0000-0000-000061000000}"/>
    <cellStyle name="20% - Accent1 3 2 5 2 2" xfId="8308" xr:uid="{00000000-0005-0000-0000-000062000000}"/>
    <cellStyle name="20% - Accent1 3 2 5 2 2 2" xfId="33640" xr:uid="{56FE4CC5-2EFC-435C-BFA8-DD332A20539B}"/>
    <cellStyle name="20% - Accent1 3 2 5 2 2 3" xfId="25199" xr:uid="{A7561219-B179-46BF-99A0-433FA5CCC7CD}"/>
    <cellStyle name="20% - Accent1 3 2 5 2 2 4" xfId="16758" xr:uid="{A80426F2-1D11-4630-A611-A54ED9B3E915}"/>
    <cellStyle name="20% - Accent1 3 2 5 2 3" xfId="29422" xr:uid="{99283B0E-A0D6-40C0-8C6B-0A880290CBD5}"/>
    <cellStyle name="20% - Accent1 3 2 5 2 4" xfId="20981" xr:uid="{81F86BDB-3748-4FC2-92F1-7AD18EF182D7}"/>
    <cellStyle name="20% - Accent1 3 2 5 2 5" xfId="12540" xr:uid="{AE66920C-6882-4042-B54F-AF53F54D94BB}"/>
    <cellStyle name="20% - Accent1 3 2 5 3" xfId="6163" xr:uid="{00000000-0005-0000-0000-000063000000}"/>
    <cellStyle name="20% - Accent1 3 2 5 3 2" xfId="31495" xr:uid="{260BAB42-7319-4186-A624-C71F726DB530}"/>
    <cellStyle name="20% - Accent1 3 2 5 3 3" xfId="23054" xr:uid="{9B0F9F46-DDE9-4B91-90E9-B96F33AB02FC}"/>
    <cellStyle name="20% - Accent1 3 2 5 3 4" xfId="14613" xr:uid="{3B912567-F690-4CF1-81DC-213619526106}"/>
    <cellStyle name="20% - Accent1 3 2 5 4" xfId="27277" xr:uid="{FBF6141D-A1E6-4B62-AA36-A9001B558C00}"/>
    <cellStyle name="20% - Accent1 3 2 5 5" xfId="18836" xr:uid="{B5D48DFF-0CE8-40A7-A71D-6EF94A4BDF48}"/>
    <cellStyle name="20% - Accent1 3 2 5 6" xfId="10395" xr:uid="{33493BA9-09FD-47DE-B767-AF49C25178FA}"/>
    <cellStyle name="20% - Accent1 3 2 6" xfId="2270" xr:uid="{00000000-0005-0000-0000-000064000000}"/>
    <cellStyle name="20% - Accent1 3 2 6 2" xfId="6576" xr:uid="{00000000-0005-0000-0000-000065000000}"/>
    <cellStyle name="20% - Accent1 3 2 6 2 2" xfId="31908" xr:uid="{42479219-1B35-4408-AE68-0E05A77A28F7}"/>
    <cellStyle name="20% - Accent1 3 2 6 2 3" xfId="23467" xr:uid="{609AB4AD-7D96-4231-A55D-15C8694EE176}"/>
    <cellStyle name="20% - Accent1 3 2 6 2 4" xfId="15026" xr:uid="{ABF1903F-62B5-4AC8-AD48-44F05A2897AC}"/>
    <cellStyle name="20% - Accent1 3 2 6 3" xfId="27690" xr:uid="{4DD6EA61-C702-432A-B591-552326BE2A75}"/>
    <cellStyle name="20% - Accent1 3 2 6 4" xfId="19249" xr:uid="{3040D7ED-7BBA-4A57-9C91-988932931B1F}"/>
    <cellStyle name="20% - Accent1 3 2 6 5" xfId="10808" xr:uid="{6B973198-F529-4067-9BFC-CF5AA81F78A9}"/>
    <cellStyle name="20% - Accent1 3 2 7" xfId="4510" xr:uid="{00000000-0005-0000-0000-000066000000}"/>
    <cellStyle name="20% - Accent1 3 2 7 2" xfId="29842" xr:uid="{2D418266-B6F1-417B-81B7-2E3B7BC23F06}"/>
    <cellStyle name="20% - Accent1 3 2 7 3" xfId="21401" xr:uid="{0CE8FCB6-4912-4167-A794-932594FF5471}"/>
    <cellStyle name="20% - Accent1 3 2 7 4" xfId="12960" xr:uid="{F297DF0C-35CA-4165-84CE-840F34F838BC}"/>
    <cellStyle name="20% - Accent1 3 2 8" xfId="25624" xr:uid="{E39AF2EB-427C-4A81-8979-3B3C8E24DA78}"/>
    <cellStyle name="20% - Accent1 3 2 9" xfId="17183" xr:uid="{F82D633D-78C4-4098-B62C-C60EC543EFD4}"/>
    <cellStyle name="20% - Accent1 3 3" xfId="575" xr:uid="{00000000-0005-0000-0000-000067000000}"/>
    <cellStyle name="20% - Accent1 3 3 2" xfId="2846" xr:uid="{00000000-0005-0000-0000-000068000000}"/>
    <cellStyle name="20% - Accent1 3 3 2 2" xfId="7068" xr:uid="{00000000-0005-0000-0000-000069000000}"/>
    <cellStyle name="20% - Accent1 3 3 2 2 2" xfId="32400" xr:uid="{34CC9BC4-3FA8-43FF-82E1-02DF7117F3CC}"/>
    <cellStyle name="20% - Accent1 3 3 2 2 3" xfId="23959" xr:uid="{6857D363-A326-4A35-B97E-B8083E2B9FCB}"/>
    <cellStyle name="20% - Accent1 3 3 2 2 4" xfId="15518" xr:uid="{AADFCEEE-EBDE-4E74-BDE3-F52567427947}"/>
    <cellStyle name="20% - Accent1 3 3 2 3" xfId="28182" xr:uid="{A390C717-F763-428E-971C-A6A7BC510761}"/>
    <cellStyle name="20% - Accent1 3 3 2 4" xfId="19741" xr:uid="{C54D6AD8-EE98-4F1A-9F18-43EA7B993B27}"/>
    <cellStyle name="20% - Accent1 3 3 2 5" xfId="11300" xr:uid="{56484F1C-5081-48FC-B28C-B6C253710BA0}"/>
    <cellStyle name="20% - Accent1 3 3 3" xfId="4923" xr:uid="{00000000-0005-0000-0000-00006A000000}"/>
    <cellStyle name="20% - Accent1 3 3 3 2" xfId="30255" xr:uid="{5868E203-5078-4485-90DE-B34532E8849A}"/>
    <cellStyle name="20% - Accent1 3 3 3 3" xfId="21814" xr:uid="{B9D9A505-8B61-4417-9B55-9BF9D48F9B0C}"/>
    <cellStyle name="20% - Accent1 3 3 3 4" xfId="13373" xr:uid="{169EE884-CE25-4B70-B85B-465229738455}"/>
    <cellStyle name="20% - Accent1 3 3 4" xfId="26037" xr:uid="{7C1F07D8-2D0D-4C84-AD1B-4951522B6C7C}"/>
    <cellStyle name="20% - Accent1 3 3 5" xfId="17596" xr:uid="{8669F544-B1AB-45CD-B4F1-A571C6A4FCCC}"/>
    <cellStyle name="20% - Accent1 3 3 6" xfId="9155" xr:uid="{2BE97EDB-5E41-4FE9-9658-C776E743AEF0}"/>
    <cellStyle name="20% - Accent1 3 4" xfId="1028" xr:uid="{00000000-0005-0000-0000-00006B000000}"/>
    <cellStyle name="20% - Accent1 3 4 2" xfId="3259" xr:uid="{00000000-0005-0000-0000-00006C000000}"/>
    <cellStyle name="20% - Accent1 3 4 2 2" xfId="7481" xr:uid="{00000000-0005-0000-0000-00006D000000}"/>
    <cellStyle name="20% - Accent1 3 4 2 2 2" xfId="32813" xr:uid="{83FAEE66-5DF3-49E5-A40A-A0AC87F095E0}"/>
    <cellStyle name="20% - Accent1 3 4 2 2 3" xfId="24372" xr:uid="{0C4D3AF9-F74F-4939-8B1F-3CA5EEB6FDA5}"/>
    <cellStyle name="20% - Accent1 3 4 2 2 4" xfId="15931" xr:uid="{41BEB234-6CCC-47C7-BE3B-49F6D5BC2158}"/>
    <cellStyle name="20% - Accent1 3 4 2 3" xfId="28595" xr:uid="{24BBAA45-47FB-4393-9541-AF954B2F327A}"/>
    <cellStyle name="20% - Accent1 3 4 2 4" xfId="20154" xr:uid="{716D5A0A-92C7-4236-9817-BECFF020F457}"/>
    <cellStyle name="20% - Accent1 3 4 2 5" xfId="11713" xr:uid="{72F6866D-1F49-4E74-B88C-4DC8627898DB}"/>
    <cellStyle name="20% - Accent1 3 4 3" xfId="5336" xr:uid="{00000000-0005-0000-0000-00006E000000}"/>
    <cellStyle name="20% - Accent1 3 4 3 2" xfId="30668" xr:uid="{EFF85873-F9E0-49BC-932C-8B59AC1128C7}"/>
    <cellStyle name="20% - Accent1 3 4 3 3" xfId="22227" xr:uid="{85D671A4-0850-408C-8654-191518391ED0}"/>
    <cellStyle name="20% - Accent1 3 4 3 4" xfId="13786" xr:uid="{C4C3DB7D-B1E0-448A-8410-9829AC047CC0}"/>
    <cellStyle name="20% - Accent1 3 4 4" xfId="26450" xr:uid="{E7D2FB21-409B-4862-90AA-7745DB8D9ACF}"/>
    <cellStyle name="20% - Accent1 3 4 5" xfId="18009" xr:uid="{9944E5AD-5EE7-46CE-96FC-F7B0A3B65765}"/>
    <cellStyle name="20% - Accent1 3 4 6" xfId="9568" xr:uid="{438AFB7C-681C-4AE7-BA0A-2BDC8A4F17BD}"/>
    <cellStyle name="20% - Accent1 3 5" xfId="1442" xr:uid="{00000000-0005-0000-0000-00006F000000}"/>
    <cellStyle name="20% - Accent1 3 5 2" xfId="3672" xr:uid="{00000000-0005-0000-0000-000070000000}"/>
    <cellStyle name="20% - Accent1 3 5 2 2" xfId="7894" xr:uid="{00000000-0005-0000-0000-000071000000}"/>
    <cellStyle name="20% - Accent1 3 5 2 2 2" xfId="33226" xr:uid="{DDF6D031-494D-4815-9203-DEA50E8D8F61}"/>
    <cellStyle name="20% - Accent1 3 5 2 2 3" xfId="24785" xr:uid="{528669B1-2816-494A-9399-9AE5CA8457A7}"/>
    <cellStyle name="20% - Accent1 3 5 2 2 4" xfId="16344" xr:uid="{454EF8D1-8263-40F4-8895-A008A78FA5C2}"/>
    <cellStyle name="20% - Accent1 3 5 2 3" xfId="29008" xr:uid="{B16695D1-5D1E-4D8E-88B5-67CA90965A8D}"/>
    <cellStyle name="20% - Accent1 3 5 2 4" xfId="20567" xr:uid="{CB9409B5-245E-4804-9016-6EDA21ECDB8A}"/>
    <cellStyle name="20% - Accent1 3 5 2 5" xfId="12126" xr:uid="{9417A35D-A7BA-493C-9EAF-8A24C13C6B4D}"/>
    <cellStyle name="20% - Accent1 3 5 3" xfId="5749" xr:uid="{00000000-0005-0000-0000-000072000000}"/>
    <cellStyle name="20% - Accent1 3 5 3 2" xfId="31081" xr:uid="{C8F4B766-BE89-4E13-BB1E-C11FE7889514}"/>
    <cellStyle name="20% - Accent1 3 5 3 3" xfId="22640" xr:uid="{3A6F9D50-060F-49C1-A605-8CE05642AF09}"/>
    <cellStyle name="20% - Accent1 3 5 3 4" xfId="14199" xr:uid="{6EE247F4-B7F1-44B4-AEDB-1E36B23F3E19}"/>
    <cellStyle name="20% - Accent1 3 5 4" xfId="26863" xr:uid="{2D97127D-3BD9-4886-8698-62328D03AD44}"/>
    <cellStyle name="20% - Accent1 3 5 5" xfId="18422" xr:uid="{06749D1A-75FD-45DA-A0AE-E9A4324BC82F}"/>
    <cellStyle name="20% - Accent1 3 5 6" xfId="9981" xr:uid="{5B8E9D5C-18B2-48F8-B87D-21284860806D}"/>
    <cellStyle name="20% - Accent1 3 6" xfId="1856" xr:uid="{00000000-0005-0000-0000-000073000000}"/>
    <cellStyle name="20% - Accent1 3 6 2" xfId="4085" xr:uid="{00000000-0005-0000-0000-000074000000}"/>
    <cellStyle name="20% - Accent1 3 6 2 2" xfId="8307" xr:uid="{00000000-0005-0000-0000-000075000000}"/>
    <cellStyle name="20% - Accent1 3 6 2 2 2" xfId="33639" xr:uid="{D7D8CC1D-765B-4B00-9641-34C4FF367CF7}"/>
    <cellStyle name="20% - Accent1 3 6 2 2 3" xfId="25198" xr:uid="{F191E2A7-C04C-406D-A768-5F1C5538F866}"/>
    <cellStyle name="20% - Accent1 3 6 2 2 4" xfId="16757" xr:uid="{E52BC197-AE6B-414A-A63A-6B58D08CC140}"/>
    <cellStyle name="20% - Accent1 3 6 2 3" xfId="29421" xr:uid="{ED0C9E86-507A-459F-AA07-BE5F62C31185}"/>
    <cellStyle name="20% - Accent1 3 6 2 4" xfId="20980" xr:uid="{D1D1C1FF-E7BB-4C5D-9D91-0228DCE289A1}"/>
    <cellStyle name="20% - Accent1 3 6 2 5" xfId="12539" xr:uid="{EAC09CE0-4694-42FB-AE24-F6A903A7AFB6}"/>
    <cellStyle name="20% - Accent1 3 6 3" xfId="6162" xr:uid="{00000000-0005-0000-0000-000076000000}"/>
    <cellStyle name="20% - Accent1 3 6 3 2" xfId="31494" xr:uid="{E774C560-BC4C-45F2-A457-62B4227C18D5}"/>
    <cellStyle name="20% - Accent1 3 6 3 3" xfId="23053" xr:uid="{7F1F9090-AEA5-46DF-9E0D-8C953AEF20C6}"/>
    <cellStyle name="20% - Accent1 3 6 3 4" xfId="14612" xr:uid="{C02AB989-83D9-49A2-A451-3A63BC88E5FF}"/>
    <cellStyle name="20% - Accent1 3 6 4" xfId="27276" xr:uid="{A81FF369-ABC7-4DCE-A35D-7D6FC61ECEEF}"/>
    <cellStyle name="20% - Accent1 3 6 5" xfId="18835" xr:uid="{79CE1F53-A60B-4074-B6E5-3D9249F0DD27}"/>
    <cellStyle name="20% - Accent1 3 6 6" xfId="10394" xr:uid="{323217B6-0588-48F1-A212-D3427D938CAC}"/>
    <cellStyle name="20% - Accent1 3 7" xfId="2269" xr:uid="{00000000-0005-0000-0000-000077000000}"/>
    <cellStyle name="20% - Accent1 3 7 2" xfId="6575" xr:uid="{00000000-0005-0000-0000-000078000000}"/>
    <cellStyle name="20% - Accent1 3 7 2 2" xfId="31907" xr:uid="{6B617475-6747-4434-8FB1-06BDBD354068}"/>
    <cellStyle name="20% - Accent1 3 7 2 3" xfId="23466" xr:uid="{4FC3F428-DB9B-4A75-B8BC-5CFAF5989A91}"/>
    <cellStyle name="20% - Accent1 3 7 2 4" xfId="15025" xr:uid="{E2E33DBC-9F16-41C9-88D3-3C4798C9A46A}"/>
    <cellStyle name="20% - Accent1 3 7 3" xfId="27689" xr:uid="{8BFC5B07-758F-492A-B93E-A4D5CAB38F97}"/>
    <cellStyle name="20% - Accent1 3 7 4" xfId="19248" xr:uid="{AEE88795-495F-450B-AAE6-D60AC5796958}"/>
    <cellStyle name="20% - Accent1 3 7 5" xfId="10807" xr:uid="{3CE8569C-65DF-4716-8301-B0AC737AE6B2}"/>
    <cellStyle name="20% - Accent1 3 8" xfId="4509" xr:uid="{00000000-0005-0000-0000-000079000000}"/>
    <cellStyle name="20% - Accent1 3 8 2" xfId="29841" xr:uid="{6CD36682-41CD-4E44-BA7D-CC0553B7D15C}"/>
    <cellStyle name="20% - Accent1 3 8 3" xfId="21400" xr:uid="{D77EFE3F-DDE8-4E7A-BE71-20218E7E3077}"/>
    <cellStyle name="20% - Accent1 3 8 4" xfId="12959" xr:uid="{9AA7CEAE-8D84-47F2-8E78-46A120C19576}"/>
    <cellStyle name="20% - Accent1 3 9" xfId="25623" xr:uid="{E288D139-C694-41C0-B518-3D9D46B79204}"/>
    <cellStyle name="20% - Accent1 4" xfId="8" xr:uid="{00000000-0005-0000-0000-00007A000000}"/>
    <cellStyle name="20% - Accent1 4 10" xfId="8743" xr:uid="{2318FA32-18F8-4DE9-9F36-A45E8D6ACA38}"/>
    <cellStyle name="20% - Accent1 4 2" xfId="577" xr:uid="{00000000-0005-0000-0000-00007B000000}"/>
    <cellStyle name="20% - Accent1 4 2 2" xfId="2848" xr:uid="{00000000-0005-0000-0000-00007C000000}"/>
    <cellStyle name="20% - Accent1 4 2 2 2" xfId="7070" xr:uid="{00000000-0005-0000-0000-00007D000000}"/>
    <cellStyle name="20% - Accent1 4 2 2 2 2" xfId="32402" xr:uid="{B388DDC6-8EB5-4E6D-8264-3BA57EB0CFB3}"/>
    <cellStyle name="20% - Accent1 4 2 2 2 3" xfId="23961" xr:uid="{99B30525-65FB-4604-89CD-B3F5602E7FA1}"/>
    <cellStyle name="20% - Accent1 4 2 2 2 4" xfId="15520" xr:uid="{21144928-DC08-471A-8133-060CDAF3074D}"/>
    <cellStyle name="20% - Accent1 4 2 2 3" xfId="28184" xr:uid="{6C1961F8-5881-4B81-A6DB-782A84EE5641}"/>
    <cellStyle name="20% - Accent1 4 2 2 4" xfId="19743" xr:uid="{F56484D0-D078-46BB-A4CD-C9147D0DA22A}"/>
    <cellStyle name="20% - Accent1 4 2 2 5" xfId="11302" xr:uid="{6BE41826-4B0F-4353-865B-F591B22F0EFD}"/>
    <cellStyle name="20% - Accent1 4 2 3" xfId="4925" xr:uid="{00000000-0005-0000-0000-00007E000000}"/>
    <cellStyle name="20% - Accent1 4 2 3 2" xfId="30257" xr:uid="{665392D5-7CF0-40CC-A937-B124B2CFEB84}"/>
    <cellStyle name="20% - Accent1 4 2 3 3" xfId="21816" xr:uid="{197CA229-33EE-48F0-B0A6-FF0DB10AEA4D}"/>
    <cellStyle name="20% - Accent1 4 2 3 4" xfId="13375" xr:uid="{AC8F75C3-99EC-4162-8065-83973E9AEA26}"/>
    <cellStyle name="20% - Accent1 4 2 4" xfId="26039" xr:uid="{B8204B9B-598C-47D0-8F8E-6D268016F803}"/>
    <cellStyle name="20% - Accent1 4 2 5" xfId="17598" xr:uid="{63AE068D-9DF7-4732-9D50-55FB410CDEB6}"/>
    <cellStyle name="20% - Accent1 4 2 6" xfId="9157" xr:uid="{CDB8F05F-3217-4FF1-8BCC-95B2AD361843}"/>
    <cellStyle name="20% - Accent1 4 3" xfId="1030" xr:uid="{00000000-0005-0000-0000-00007F000000}"/>
    <cellStyle name="20% - Accent1 4 3 2" xfId="3261" xr:uid="{00000000-0005-0000-0000-000080000000}"/>
    <cellStyle name="20% - Accent1 4 3 2 2" xfId="7483" xr:uid="{00000000-0005-0000-0000-000081000000}"/>
    <cellStyle name="20% - Accent1 4 3 2 2 2" xfId="32815" xr:uid="{DAA996CE-E9D0-46B0-B24B-ADE7DF8C2563}"/>
    <cellStyle name="20% - Accent1 4 3 2 2 3" xfId="24374" xr:uid="{35280F5F-1295-43F4-BB3E-1A063D825E3D}"/>
    <cellStyle name="20% - Accent1 4 3 2 2 4" xfId="15933" xr:uid="{7B4270C8-8BF9-4900-96EA-3F49AED70820}"/>
    <cellStyle name="20% - Accent1 4 3 2 3" xfId="28597" xr:uid="{F71023CA-46FB-48D6-9925-001B6D9C2117}"/>
    <cellStyle name="20% - Accent1 4 3 2 4" xfId="20156" xr:uid="{E5F78034-1B74-4297-9397-530FF6BCF684}"/>
    <cellStyle name="20% - Accent1 4 3 2 5" xfId="11715" xr:uid="{FADF5ED0-95E1-4376-A2E0-293C4B298082}"/>
    <cellStyle name="20% - Accent1 4 3 3" xfId="5338" xr:uid="{00000000-0005-0000-0000-000082000000}"/>
    <cellStyle name="20% - Accent1 4 3 3 2" xfId="30670" xr:uid="{8149005E-F421-48DC-A396-A6A3F352D4F5}"/>
    <cellStyle name="20% - Accent1 4 3 3 3" xfId="22229" xr:uid="{FAB0352E-BEDD-4D3B-A0A3-6A26B9E3B7F7}"/>
    <cellStyle name="20% - Accent1 4 3 3 4" xfId="13788" xr:uid="{7AFC4DB3-44F1-4191-A0CE-0DF8A4FF3F2F}"/>
    <cellStyle name="20% - Accent1 4 3 4" xfId="26452" xr:uid="{9B998124-2718-4B7C-BB77-83F477A0C983}"/>
    <cellStyle name="20% - Accent1 4 3 5" xfId="18011" xr:uid="{C725F4AB-FAE2-4B49-9282-DADD69EA8EA6}"/>
    <cellStyle name="20% - Accent1 4 3 6" xfId="9570" xr:uid="{31C583BF-22CC-43A5-8AAB-5EFDE8B10C22}"/>
    <cellStyle name="20% - Accent1 4 4" xfId="1444" xr:uid="{00000000-0005-0000-0000-000083000000}"/>
    <cellStyle name="20% - Accent1 4 4 2" xfId="3674" xr:uid="{00000000-0005-0000-0000-000084000000}"/>
    <cellStyle name="20% - Accent1 4 4 2 2" xfId="7896" xr:uid="{00000000-0005-0000-0000-000085000000}"/>
    <cellStyle name="20% - Accent1 4 4 2 2 2" xfId="33228" xr:uid="{0107EA5E-7A7C-4353-8DAA-39DD2B5502F9}"/>
    <cellStyle name="20% - Accent1 4 4 2 2 3" xfId="24787" xr:uid="{B67D4E74-B3FE-4522-B7ED-F5B7DC24374C}"/>
    <cellStyle name="20% - Accent1 4 4 2 2 4" xfId="16346" xr:uid="{EB539F3F-790F-4131-999A-D9EB15272F8A}"/>
    <cellStyle name="20% - Accent1 4 4 2 3" xfId="29010" xr:uid="{752A7DFB-3453-4DB6-9C9E-65CD978D70DB}"/>
    <cellStyle name="20% - Accent1 4 4 2 4" xfId="20569" xr:uid="{79031714-F077-45BC-930F-E5BF86834455}"/>
    <cellStyle name="20% - Accent1 4 4 2 5" xfId="12128" xr:uid="{A0C8F812-9561-4FDF-9796-2B588498B06E}"/>
    <cellStyle name="20% - Accent1 4 4 3" xfId="5751" xr:uid="{00000000-0005-0000-0000-000086000000}"/>
    <cellStyle name="20% - Accent1 4 4 3 2" xfId="31083" xr:uid="{6D68C0AD-7C40-40F0-BEE6-0AA8408AD3C4}"/>
    <cellStyle name="20% - Accent1 4 4 3 3" xfId="22642" xr:uid="{805C3F6B-1D50-4916-A329-447A43B18BA1}"/>
    <cellStyle name="20% - Accent1 4 4 3 4" xfId="14201" xr:uid="{26010C08-C8CB-4C11-977F-3FC292F74A69}"/>
    <cellStyle name="20% - Accent1 4 4 4" xfId="26865" xr:uid="{F6A2BE87-15AF-4B2A-88B9-F0ED8D3CF57B}"/>
    <cellStyle name="20% - Accent1 4 4 5" xfId="18424" xr:uid="{1A827ECB-15BA-425D-B5AD-12A5E3BE252E}"/>
    <cellStyle name="20% - Accent1 4 4 6" xfId="9983" xr:uid="{13EBCAC1-471E-4685-B6C1-2AD678C68C37}"/>
    <cellStyle name="20% - Accent1 4 5" xfId="1858" xr:uid="{00000000-0005-0000-0000-000087000000}"/>
    <cellStyle name="20% - Accent1 4 5 2" xfId="4087" xr:uid="{00000000-0005-0000-0000-000088000000}"/>
    <cellStyle name="20% - Accent1 4 5 2 2" xfId="8309" xr:uid="{00000000-0005-0000-0000-000089000000}"/>
    <cellStyle name="20% - Accent1 4 5 2 2 2" xfId="33641" xr:uid="{7E50C25C-053C-4B65-A17F-5FB8E96B27D0}"/>
    <cellStyle name="20% - Accent1 4 5 2 2 3" xfId="25200" xr:uid="{F3472B35-E8A2-4C64-BC83-EDDB50918128}"/>
    <cellStyle name="20% - Accent1 4 5 2 2 4" xfId="16759" xr:uid="{B31DAA6A-7086-4F92-A816-C3300CEEA4D2}"/>
    <cellStyle name="20% - Accent1 4 5 2 3" xfId="29423" xr:uid="{CB329BAB-CF8D-4D77-BD33-A16061DB07A3}"/>
    <cellStyle name="20% - Accent1 4 5 2 4" xfId="20982" xr:uid="{F9EB4AD3-84A0-42C1-BAF3-76EE150493E2}"/>
    <cellStyle name="20% - Accent1 4 5 2 5" xfId="12541" xr:uid="{587C8568-0E76-4648-9DF7-F87A61703A79}"/>
    <cellStyle name="20% - Accent1 4 5 3" xfId="6164" xr:uid="{00000000-0005-0000-0000-00008A000000}"/>
    <cellStyle name="20% - Accent1 4 5 3 2" xfId="31496" xr:uid="{C888CFA3-B06F-4C39-990B-A73DA217CB99}"/>
    <cellStyle name="20% - Accent1 4 5 3 3" xfId="23055" xr:uid="{09433588-065F-4CC9-AF53-3FFA5FD77841}"/>
    <cellStyle name="20% - Accent1 4 5 3 4" xfId="14614" xr:uid="{816264B5-9BEB-4666-B18D-EE4C4EBC9DAC}"/>
    <cellStyle name="20% - Accent1 4 5 4" xfId="27278" xr:uid="{4D2FAFD9-B3BC-45E4-B80F-6561C49860BE}"/>
    <cellStyle name="20% - Accent1 4 5 5" xfId="18837" xr:uid="{FC47CE0C-4C23-4DA6-9BB6-4CC6E75514A8}"/>
    <cellStyle name="20% - Accent1 4 5 6" xfId="10396" xr:uid="{806F172F-0CA5-4462-BE72-0870DB9F8262}"/>
    <cellStyle name="20% - Accent1 4 6" xfId="2271" xr:uid="{00000000-0005-0000-0000-00008B000000}"/>
    <cellStyle name="20% - Accent1 4 6 2" xfId="6577" xr:uid="{00000000-0005-0000-0000-00008C000000}"/>
    <cellStyle name="20% - Accent1 4 6 2 2" xfId="31909" xr:uid="{5B8FD482-70F3-43DD-8BBA-589D570A5CD0}"/>
    <cellStyle name="20% - Accent1 4 6 2 3" xfId="23468" xr:uid="{1D316663-6FE5-4005-B757-AF30CB178896}"/>
    <cellStyle name="20% - Accent1 4 6 2 4" xfId="15027" xr:uid="{9E93BCEB-6D7E-4BEE-A103-F52A51958A96}"/>
    <cellStyle name="20% - Accent1 4 6 3" xfId="27691" xr:uid="{708DAEF8-2934-4713-BC6D-864725EDEB14}"/>
    <cellStyle name="20% - Accent1 4 6 4" xfId="19250" xr:uid="{581FA356-BC45-4C99-BDF5-3D4D70103E02}"/>
    <cellStyle name="20% - Accent1 4 6 5" xfId="10809" xr:uid="{3F6805B7-8F2E-490B-A272-1348AA9CF7E7}"/>
    <cellStyle name="20% - Accent1 4 7" xfId="4511" xr:uid="{00000000-0005-0000-0000-00008D000000}"/>
    <cellStyle name="20% - Accent1 4 7 2" xfId="29843" xr:uid="{F1659666-D4F9-4841-A6C6-0F5B5A57FE38}"/>
    <cellStyle name="20% - Accent1 4 7 3" xfId="21402" xr:uid="{5EC297A6-5692-4780-9533-49A38D5C5F86}"/>
    <cellStyle name="20% - Accent1 4 7 4" xfId="12961" xr:uid="{740771E1-8C20-42B1-AE67-F6CE2EE3C29A}"/>
    <cellStyle name="20% - Accent1 4 8" xfId="25625" xr:uid="{49550793-EE7C-4D3D-B61C-CDC717BF373B}"/>
    <cellStyle name="20% - Accent1 4 9" xfId="17184" xr:uid="{EF474A37-8AB5-4EFB-8EEC-119084A08F07}"/>
    <cellStyle name="20% - Accent1 5" xfId="570" xr:uid="{00000000-0005-0000-0000-00008E000000}"/>
    <cellStyle name="20% - Accent1 5 2" xfId="2841" xr:uid="{00000000-0005-0000-0000-00008F000000}"/>
    <cellStyle name="20% - Accent1 5 2 2" xfId="7063" xr:uid="{00000000-0005-0000-0000-000090000000}"/>
    <cellStyle name="20% - Accent1 5 2 2 2" xfId="32395" xr:uid="{64A9298F-AEED-49D7-87B1-DC14B9BFEE6A}"/>
    <cellStyle name="20% - Accent1 5 2 2 3" xfId="23954" xr:uid="{65298DD7-7130-4D34-902E-4B3443E9036C}"/>
    <cellStyle name="20% - Accent1 5 2 2 4" xfId="15513" xr:uid="{5A5E4841-AB66-4580-A701-6AC4A1DE790F}"/>
    <cellStyle name="20% - Accent1 5 2 3" xfId="28177" xr:uid="{6ECE2003-8D96-4554-ACDF-1E01CE7A4F9E}"/>
    <cellStyle name="20% - Accent1 5 2 4" xfId="19736" xr:uid="{96E710E6-D70B-4967-A0C1-F19385492C69}"/>
    <cellStyle name="20% - Accent1 5 2 5" xfId="11295" xr:uid="{63EDC67D-FED6-40DB-8F80-586D9B98F50A}"/>
    <cellStyle name="20% - Accent1 5 3" xfId="4918" xr:uid="{00000000-0005-0000-0000-000091000000}"/>
    <cellStyle name="20% - Accent1 5 3 2" xfId="30250" xr:uid="{6B758291-8600-4286-AAAD-F5B4E5D4A360}"/>
    <cellStyle name="20% - Accent1 5 3 3" xfId="21809" xr:uid="{7E6E66E0-986F-4911-9673-C73B102E1AF5}"/>
    <cellStyle name="20% - Accent1 5 3 4" xfId="13368" xr:uid="{D3EDF8F7-6C8E-4513-B320-D6DF9B9EA8E3}"/>
    <cellStyle name="20% - Accent1 5 4" xfId="26032" xr:uid="{3B8959C3-C252-4D82-A0CA-993397D4F50E}"/>
    <cellStyle name="20% - Accent1 5 5" xfId="17591" xr:uid="{53607E5E-870F-423C-BF34-A945996DC1B7}"/>
    <cellStyle name="20% - Accent1 5 6" xfId="9150" xr:uid="{34B8EE4E-79C5-4BE5-954B-37DD512754C9}"/>
    <cellStyle name="20% - Accent1 6" xfId="1023" xr:uid="{00000000-0005-0000-0000-000092000000}"/>
    <cellStyle name="20% - Accent1 6 2" xfId="3254" xr:uid="{00000000-0005-0000-0000-000093000000}"/>
    <cellStyle name="20% - Accent1 6 2 2" xfId="7476" xr:uid="{00000000-0005-0000-0000-000094000000}"/>
    <cellStyle name="20% - Accent1 6 2 2 2" xfId="32808" xr:uid="{1B580288-72F2-45A5-AEE0-51626662C905}"/>
    <cellStyle name="20% - Accent1 6 2 2 3" xfId="24367" xr:uid="{7F92F2A8-E177-4CFB-9A6F-7A9DA4A163EE}"/>
    <cellStyle name="20% - Accent1 6 2 2 4" xfId="15926" xr:uid="{32B18542-33B5-4214-B518-1D6CA0626B9D}"/>
    <cellStyle name="20% - Accent1 6 2 3" xfId="28590" xr:uid="{686CE054-0ECA-4B76-8166-3922F425B9E8}"/>
    <cellStyle name="20% - Accent1 6 2 4" xfId="20149" xr:uid="{30FD6886-8118-40DD-AF58-C3590AC82642}"/>
    <cellStyle name="20% - Accent1 6 2 5" xfId="11708" xr:uid="{780FACB9-9422-47BA-A06D-17F50811FE2E}"/>
    <cellStyle name="20% - Accent1 6 3" xfId="5331" xr:uid="{00000000-0005-0000-0000-000095000000}"/>
    <cellStyle name="20% - Accent1 6 3 2" xfId="30663" xr:uid="{163E422E-A1D3-4D68-A12A-480E8AFE8B05}"/>
    <cellStyle name="20% - Accent1 6 3 3" xfId="22222" xr:uid="{DB54D8BF-204C-434E-B17C-BD2A307CE1D5}"/>
    <cellStyle name="20% - Accent1 6 3 4" xfId="13781" xr:uid="{A391D541-746F-4D5B-94BC-1D57AE6AE6B9}"/>
    <cellStyle name="20% - Accent1 6 4" xfId="26445" xr:uid="{DF1792FF-F955-46A2-973C-F20AA88B3DC2}"/>
    <cellStyle name="20% - Accent1 6 5" xfId="18004" xr:uid="{75178E5F-C173-43E8-A353-ABA14D9657A4}"/>
    <cellStyle name="20% - Accent1 6 6" xfId="9563" xr:uid="{62EADB31-8812-439F-9267-B86268A962E3}"/>
    <cellStyle name="20% - Accent1 7" xfId="1437" xr:uid="{00000000-0005-0000-0000-000096000000}"/>
    <cellStyle name="20% - Accent1 7 2" xfId="3667" xr:uid="{00000000-0005-0000-0000-000097000000}"/>
    <cellStyle name="20% - Accent1 7 2 2" xfId="7889" xr:uid="{00000000-0005-0000-0000-000098000000}"/>
    <cellStyle name="20% - Accent1 7 2 2 2" xfId="33221" xr:uid="{2A9D85E2-72F3-46DF-BD16-AEF08BF04367}"/>
    <cellStyle name="20% - Accent1 7 2 2 3" xfId="24780" xr:uid="{3F2FF555-6E69-487E-9501-8526196CE284}"/>
    <cellStyle name="20% - Accent1 7 2 2 4" xfId="16339" xr:uid="{9A22E061-AAA9-4EF2-9ED1-F85631E27831}"/>
    <cellStyle name="20% - Accent1 7 2 3" xfId="29003" xr:uid="{37E03DEF-3DB1-4D74-A56E-EDA61E33F0C5}"/>
    <cellStyle name="20% - Accent1 7 2 4" xfId="20562" xr:uid="{F1520FF9-F3B9-462E-A89A-1C0ABE1BBA94}"/>
    <cellStyle name="20% - Accent1 7 2 5" xfId="12121" xr:uid="{E2484880-F9A6-4AF9-8311-8592C56E1390}"/>
    <cellStyle name="20% - Accent1 7 3" xfId="5744" xr:uid="{00000000-0005-0000-0000-000099000000}"/>
    <cellStyle name="20% - Accent1 7 3 2" xfId="31076" xr:uid="{396E88A9-C046-4889-A159-826BCFAA71C0}"/>
    <cellStyle name="20% - Accent1 7 3 3" xfId="22635" xr:uid="{66C44F7B-3D6F-4109-B375-E37AC1CF55C2}"/>
    <cellStyle name="20% - Accent1 7 3 4" xfId="14194" xr:uid="{9B2CB5EF-5361-40F1-B850-9CF283176C6F}"/>
    <cellStyle name="20% - Accent1 7 4" xfId="26858" xr:uid="{BDC6E454-6EC2-467B-80A8-0D2D58D10315}"/>
    <cellStyle name="20% - Accent1 7 5" xfId="18417" xr:uid="{3F8FBEF2-FCC0-4A53-A841-F6C1F6027C1A}"/>
    <cellStyle name="20% - Accent1 7 6" xfId="9976" xr:uid="{44E187D9-A301-4D0C-80AC-B7F7F8666B0A}"/>
    <cellStyle name="20% - Accent1 8" xfId="1851" xr:uid="{00000000-0005-0000-0000-00009A000000}"/>
    <cellStyle name="20% - Accent1 8 2" xfId="4080" xr:uid="{00000000-0005-0000-0000-00009B000000}"/>
    <cellStyle name="20% - Accent1 8 2 2" xfId="8302" xr:uid="{00000000-0005-0000-0000-00009C000000}"/>
    <cellStyle name="20% - Accent1 8 2 2 2" xfId="33634" xr:uid="{F641CB0F-1550-4E77-9461-CBF428F064D5}"/>
    <cellStyle name="20% - Accent1 8 2 2 3" xfId="25193" xr:uid="{AF6D5FF8-A935-4CC8-BA22-4B2446ACB497}"/>
    <cellStyle name="20% - Accent1 8 2 2 4" xfId="16752" xr:uid="{7E8D5944-FEDA-4281-91B2-C0C109FAEA95}"/>
    <cellStyle name="20% - Accent1 8 2 3" xfId="29416" xr:uid="{2288578F-681D-41BD-8AC1-C7953A91551B}"/>
    <cellStyle name="20% - Accent1 8 2 4" xfId="20975" xr:uid="{E93465A7-5723-431C-8748-1F7BD1D5F9E8}"/>
    <cellStyle name="20% - Accent1 8 2 5" xfId="12534" xr:uid="{44366D4E-79B1-4A1C-825C-106F8F9ABBA8}"/>
    <cellStyle name="20% - Accent1 8 3" xfId="6157" xr:uid="{00000000-0005-0000-0000-00009D000000}"/>
    <cellStyle name="20% - Accent1 8 3 2" xfId="31489" xr:uid="{ABB131D9-BCA0-4728-BF16-D4BC45202B62}"/>
    <cellStyle name="20% - Accent1 8 3 3" xfId="23048" xr:uid="{3192FCB7-F7ED-4EE1-8E8F-519E12C85196}"/>
    <cellStyle name="20% - Accent1 8 3 4" xfId="14607" xr:uid="{3BABB856-4E04-41F5-BD53-ECC861AEB704}"/>
    <cellStyle name="20% - Accent1 8 4" xfId="27271" xr:uid="{F4D945E7-58C5-4591-A98A-2888526EC519}"/>
    <cellStyle name="20% - Accent1 8 5" xfId="18830" xr:uid="{283FE76D-4AA7-4BF3-B79B-4CF6EDD2E494}"/>
    <cellStyle name="20% - Accent1 8 6" xfId="10389" xr:uid="{EDA131AF-AE07-4A09-919A-D7CA5101BDE1}"/>
    <cellStyle name="20% - Accent1 9" xfId="2264" xr:uid="{00000000-0005-0000-0000-00009E000000}"/>
    <cellStyle name="20% - Accent1 9 2" xfId="6570" xr:uid="{00000000-0005-0000-0000-00009F000000}"/>
    <cellStyle name="20% - Accent1 9 2 2" xfId="31902" xr:uid="{BA0633DA-1688-4D8C-9F53-1B9F04088CBB}"/>
    <cellStyle name="20% - Accent1 9 2 3" xfId="23461" xr:uid="{FE8E09A9-5109-4CC6-85FC-1F8C98943E0E}"/>
    <cellStyle name="20% - Accent1 9 2 4" xfId="15020" xr:uid="{846971C3-8C2C-4F0A-B2B1-32FDE6FEF4F2}"/>
    <cellStyle name="20% - Accent1 9 3" xfId="27684" xr:uid="{43E46812-9EA1-4166-99A2-18FAE5DF6828}"/>
    <cellStyle name="20% - Accent1 9 4" xfId="19243" xr:uid="{85E6A44D-702B-4E5D-B858-CF311B788E53}"/>
    <cellStyle name="20% - Accent1 9 5" xfId="10802" xr:uid="{C5236D15-9268-47D4-BF94-8BF451A41516}"/>
    <cellStyle name="20% - Accent2" xfId="9" builtinId="34" customBuiltin="1"/>
    <cellStyle name="20% - Accent2 10" xfId="4512" xr:uid="{00000000-0005-0000-0000-0000A1000000}"/>
    <cellStyle name="20% - Accent2 10 2" xfId="29844" xr:uid="{D2D1F0E7-3CEC-4FAD-A3E7-734C2334E7B5}"/>
    <cellStyle name="20% - Accent2 10 3" xfId="21403" xr:uid="{AF6D31C6-3855-431F-8B69-1F11EA58B9C7}"/>
    <cellStyle name="20% - Accent2 10 4" xfId="12962" xr:uid="{263A260D-A919-43B3-9979-A39F522ACC00}"/>
    <cellStyle name="20% - Accent2 11" xfId="25626" xr:uid="{5B92FEAA-352E-4239-BF68-6EA91D58B505}"/>
    <cellStyle name="20% - Accent2 12" xfId="17185" xr:uid="{BB2AEC17-722B-4537-BDB8-6EFF90956C77}"/>
    <cellStyle name="20% - Accent2 13" xfId="8744" xr:uid="{C268FCA1-412F-45B6-A5C0-F45D70290DD2}"/>
    <cellStyle name="20% - Accent2 2" xfId="10" xr:uid="{00000000-0005-0000-0000-0000A2000000}"/>
    <cellStyle name="20% - Accent2 2 10" xfId="25627" xr:uid="{DC68E51F-EB5D-4D78-A9BE-C0B55053CB9C}"/>
    <cellStyle name="20% - Accent2 2 11" xfId="17186" xr:uid="{95D5BC34-2170-4A51-95CF-85773E6CF315}"/>
    <cellStyle name="20% - Accent2 2 12" xfId="8745" xr:uid="{A816BB40-0B27-4AB9-84AF-860A220562B4}"/>
    <cellStyle name="20% - Accent2 2 2" xfId="11" xr:uid="{00000000-0005-0000-0000-0000A3000000}"/>
    <cellStyle name="20% - Accent2 2 2 10" xfId="17187" xr:uid="{660D1447-19DF-481D-9D28-4BB20088DFCA}"/>
    <cellStyle name="20% - Accent2 2 2 11" xfId="8746" xr:uid="{35EE741E-D7F1-48B6-AA24-9CC2F5BE1837}"/>
    <cellStyle name="20% - Accent2 2 2 2" xfId="12" xr:uid="{00000000-0005-0000-0000-0000A4000000}"/>
    <cellStyle name="20% - Accent2 2 2 2 10" xfId="8747" xr:uid="{C9C80855-C5C7-4805-A32B-12CDB09698E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2 2 2" xfId="32406" xr:uid="{7A24D322-EE87-490A-82A7-AFA607649B97}"/>
    <cellStyle name="20% - Accent2 2 2 2 2 2 2 3" xfId="23965" xr:uid="{E1F8FF71-C72E-4941-B8A3-61C76583AB05}"/>
    <cellStyle name="20% - Accent2 2 2 2 2 2 2 4" xfId="15524" xr:uid="{5BB78B2C-0818-4552-BEF2-172566987018}"/>
    <cellStyle name="20% - Accent2 2 2 2 2 2 3" xfId="28188" xr:uid="{E5593255-0B85-45D3-B594-FE46FC95C613}"/>
    <cellStyle name="20% - Accent2 2 2 2 2 2 4" xfId="19747" xr:uid="{BBF28BD1-2594-4318-8EFC-60DAE3249EAC}"/>
    <cellStyle name="20% - Accent2 2 2 2 2 2 5" xfId="11306" xr:uid="{01418F5A-F01D-4D9E-84DF-962423232FD2}"/>
    <cellStyle name="20% - Accent2 2 2 2 2 3" xfId="4929" xr:uid="{00000000-0005-0000-0000-0000A8000000}"/>
    <cellStyle name="20% - Accent2 2 2 2 2 3 2" xfId="30261" xr:uid="{73150CFB-0AEA-4150-B1C7-292DA984D3FB}"/>
    <cellStyle name="20% - Accent2 2 2 2 2 3 3" xfId="21820" xr:uid="{88D86E98-C21D-45B4-8440-08D30091E261}"/>
    <cellStyle name="20% - Accent2 2 2 2 2 3 4" xfId="13379" xr:uid="{C836F641-68EF-49AA-A6FC-232B344E7BA6}"/>
    <cellStyle name="20% - Accent2 2 2 2 2 4" xfId="26043" xr:uid="{8C4CA825-D29D-4812-A51E-4F808EAA8766}"/>
    <cellStyle name="20% - Accent2 2 2 2 2 5" xfId="17602" xr:uid="{682ECAF3-7013-4A5F-955D-167B28AC9C9C}"/>
    <cellStyle name="20% - Accent2 2 2 2 2 6" xfId="9161" xr:uid="{990410AD-8CBE-49F5-93D6-F9D3B6E88544}"/>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2 2 2" xfId="32819" xr:uid="{C7C2B422-EF58-444C-BEFF-2F411004FB5E}"/>
    <cellStyle name="20% - Accent2 2 2 2 3 2 2 3" xfId="24378" xr:uid="{6BD698F5-F75A-4B8D-ACAD-22D4C3C0B73A}"/>
    <cellStyle name="20% - Accent2 2 2 2 3 2 2 4" xfId="15937" xr:uid="{3682B12B-4DE5-4147-939F-DDD4B25F09AD}"/>
    <cellStyle name="20% - Accent2 2 2 2 3 2 3" xfId="28601" xr:uid="{5AEE3B0F-56DE-45FE-BEB1-B2851F922018}"/>
    <cellStyle name="20% - Accent2 2 2 2 3 2 4" xfId="20160" xr:uid="{40328133-C86E-4DEA-80E5-25259DD1BF9E}"/>
    <cellStyle name="20% - Accent2 2 2 2 3 2 5" xfId="11719" xr:uid="{993F87B5-85F1-42B5-B832-E423EF1FE7A0}"/>
    <cellStyle name="20% - Accent2 2 2 2 3 3" xfId="5342" xr:uid="{00000000-0005-0000-0000-0000AC000000}"/>
    <cellStyle name="20% - Accent2 2 2 2 3 3 2" xfId="30674" xr:uid="{3D999488-C2AF-4EBA-9F1D-22D6C3444636}"/>
    <cellStyle name="20% - Accent2 2 2 2 3 3 3" xfId="22233" xr:uid="{AFE96A7E-703B-4526-88F0-FCE156B4639A}"/>
    <cellStyle name="20% - Accent2 2 2 2 3 3 4" xfId="13792" xr:uid="{A0739319-F565-4653-A60B-0A48F621EE05}"/>
    <cellStyle name="20% - Accent2 2 2 2 3 4" xfId="26456" xr:uid="{E9C6609A-8F7F-4978-990A-FEEABA28FCBB}"/>
    <cellStyle name="20% - Accent2 2 2 2 3 5" xfId="18015" xr:uid="{F41D3CB5-0DA6-4D64-AEC5-60A69D1E9D15}"/>
    <cellStyle name="20% - Accent2 2 2 2 3 6" xfId="9574" xr:uid="{F2F1C343-024D-4019-992B-92E49EC6AD51}"/>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2 2 2" xfId="33232" xr:uid="{528E876E-B5F6-447B-90CF-F895CCD54741}"/>
    <cellStyle name="20% - Accent2 2 2 2 4 2 2 3" xfId="24791" xr:uid="{39482652-6255-474E-91DA-F4924E9C6173}"/>
    <cellStyle name="20% - Accent2 2 2 2 4 2 2 4" xfId="16350" xr:uid="{5BD83767-C0C4-41A5-8C43-B8BC5A0821AE}"/>
    <cellStyle name="20% - Accent2 2 2 2 4 2 3" xfId="29014" xr:uid="{D4691478-8977-45BB-AD1F-C3F986B2B24E}"/>
    <cellStyle name="20% - Accent2 2 2 2 4 2 4" xfId="20573" xr:uid="{B3B1A86B-D7D3-4CD0-8993-E010DC96AC3E}"/>
    <cellStyle name="20% - Accent2 2 2 2 4 2 5" xfId="12132" xr:uid="{AA79248C-7846-4C76-9663-CC67BD2CE864}"/>
    <cellStyle name="20% - Accent2 2 2 2 4 3" xfId="5755" xr:uid="{00000000-0005-0000-0000-0000B0000000}"/>
    <cellStyle name="20% - Accent2 2 2 2 4 3 2" xfId="31087" xr:uid="{A80C3B2D-80D8-41FE-8DFB-C9568C8C03D3}"/>
    <cellStyle name="20% - Accent2 2 2 2 4 3 3" xfId="22646" xr:uid="{AD71E253-44D3-4BBB-8469-672335AD01F4}"/>
    <cellStyle name="20% - Accent2 2 2 2 4 3 4" xfId="14205" xr:uid="{9BE374B5-F5CF-46C6-BE4F-0991AC970DAE}"/>
    <cellStyle name="20% - Accent2 2 2 2 4 4" xfId="26869" xr:uid="{3C30BC11-F62B-48AB-B6FB-5DDC87E67B34}"/>
    <cellStyle name="20% - Accent2 2 2 2 4 5" xfId="18428" xr:uid="{E0B9C266-CF31-4447-A130-DD910934D859}"/>
    <cellStyle name="20% - Accent2 2 2 2 4 6" xfId="9987" xr:uid="{A818C53D-4F1E-4A19-B08C-51CFF7B8EA2D}"/>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2 2 2" xfId="33645" xr:uid="{3F44C7C7-39FE-470B-BF7B-CFDC0F85C9F3}"/>
    <cellStyle name="20% - Accent2 2 2 2 5 2 2 3" xfId="25204" xr:uid="{BF429116-244B-49E7-89FB-BE01EF414C0E}"/>
    <cellStyle name="20% - Accent2 2 2 2 5 2 2 4" xfId="16763" xr:uid="{AB91F8F2-CA97-42E8-A8D3-9D1B0AC3EF79}"/>
    <cellStyle name="20% - Accent2 2 2 2 5 2 3" xfId="29427" xr:uid="{0B6C4E00-7F28-4596-A43A-08D6012BC8DF}"/>
    <cellStyle name="20% - Accent2 2 2 2 5 2 4" xfId="20986" xr:uid="{98462632-363E-4802-94A0-FE41627E683C}"/>
    <cellStyle name="20% - Accent2 2 2 2 5 2 5" xfId="12545" xr:uid="{8D824F8C-55F0-4246-A08F-425DF9CEE8C6}"/>
    <cellStyle name="20% - Accent2 2 2 2 5 3" xfId="6168" xr:uid="{00000000-0005-0000-0000-0000B4000000}"/>
    <cellStyle name="20% - Accent2 2 2 2 5 3 2" xfId="31500" xr:uid="{E88C7958-ADC5-466A-8F1B-ACFCBE9D6B3D}"/>
    <cellStyle name="20% - Accent2 2 2 2 5 3 3" xfId="23059" xr:uid="{8B10ADD3-6FAF-4B26-AEFF-8CD703DAB0AA}"/>
    <cellStyle name="20% - Accent2 2 2 2 5 3 4" xfId="14618" xr:uid="{6E350FED-97C4-4123-AFD1-09B0DE17976D}"/>
    <cellStyle name="20% - Accent2 2 2 2 5 4" xfId="27282" xr:uid="{EB5E6901-5939-48D7-9D5E-26B1DCF847C8}"/>
    <cellStyle name="20% - Accent2 2 2 2 5 5" xfId="18841" xr:uid="{654C0177-7D8B-4C74-8B0D-2F9F5A96D72C}"/>
    <cellStyle name="20% - Accent2 2 2 2 5 6" xfId="10400" xr:uid="{334A19BA-D185-4848-BF1A-6B2BC684A94F}"/>
    <cellStyle name="20% - Accent2 2 2 2 6" xfId="2275" xr:uid="{00000000-0005-0000-0000-0000B5000000}"/>
    <cellStyle name="20% - Accent2 2 2 2 6 2" xfId="6581" xr:uid="{00000000-0005-0000-0000-0000B6000000}"/>
    <cellStyle name="20% - Accent2 2 2 2 6 2 2" xfId="31913" xr:uid="{4DD34A27-AA08-4C43-A74F-35A9D03F63FB}"/>
    <cellStyle name="20% - Accent2 2 2 2 6 2 3" xfId="23472" xr:uid="{A74D7401-E1B9-4F98-8BFB-C6031AB585F4}"/>
    <cellStyle name="20% - Accent2 2 2 2 6 2 4" xfId="15031" xr:uid="{E0B4C059-AFE8-4B0A-B408-2B6EEC407F00}"/>
    <cellStyle name="20% - Accent2 2 2 2 6 3" xfId="27695" xr:uid="{FD2CFB86-3BC7-4ED7-B864-AD89570683D1}"/>
    <cellStyle name="20% - Accent2 2 2 2 6 4" xfId="19254" xr:uid="{B9AB4E15-23D9-4B9F-99FE-03B266590CA5}"/>
    <cellStyle name="20% - Accent2 2 2 2 6 5" xfId="10813" xr:uid="{B00F738B-DC8A-43C4-9544-EAE5EFC19DB9}"/>
    <cellStyle name="20% - Accent2 2 2 2 7" xfId="4515" xr:uid="{00000000-0005-0000-0000-0000B7000000}"/>
    <cellStyle name="20% - Accent2 2 2 2 7 2" xfId="29847" xr:uid="{BF51EDE1-F22E-4274-BB55-0B48F2C52EDB}"/>
    <cellStyle name="20% - Accent2 2 2 2 7 3" xfId="21406" xr:uid="{90C0116B-EA77-4105-976D-0C88D7830358}"/>
    <cellStyle name="20% - Accent2 2 2 2 7 4" xfId="12965" xr:uid="{D891710D-61D0-4396-82DF-03C61CA84C0D}"/>
    <cellStyle name="20% - Accent2 2 2 2 8" xfId="25629" xr:uid="{D9EC4C0D-F151-4898-9B00-4D573B5EBF28}"/>
    <cellStyle name="20% - Accent2 2 2 2 9" xfId="17188" xr:uid="{C8C0661B-5ED1-4555-999C-710DA375AAD4}"/>
    <cellStyle name="20% - Accent2 2 2 3" xfId="580" xr:uid="{00000000-0005-0000-0000-0000B8000000}"/>
    <cellStyle name="20% - Accent2 2 2 3 2" xfId="2851" xr:uid="{00000000-0005-0000-0000-0000B9000000}"/>
    <cellStyle name="20% - Accent2 2 2 3 2 2" xfId="7073" xr:uid="{00000000-0005-0000-0000-0000BA000000}"/>
    <cellStyle name="20% - Accent2 2 2 3 2 2 2" xfId="32405" xr:uid="{E7899129-34F8-4502-93DF-8EA85EA0B474}"/>
    <cellStyle name="20% - Accent2 2 2 3 2 2 3" xfId="23964" xr:uid="{7596E295-380D-4223-9B86-D11724897F3C}"/>
    <cellStyle name="20% - Accent2 2 2 3 2 2 4" xfId="15523" xr:uid="{45DB0CA1-FA78-4C24-9A65-86E38161EFC9}"/>
    <cellStyle name="20% - Accent2 2 2 3 2 3" xfId="28187" xr:uid="{5A28DB96-66DA-408B-82F3-644D81A31121}"/>
    <cellStyle name="20% - Accent2 2 2 3 2 4" xfId="19746" xr:uid="{03BE047A-627E-4117-AA5E-FF4FA2348880}"/>
    <cellStyle name="20% - Accent2 2 2 3 2 5" xfId="11305" xr:uid="{269FD0C9-94DA-45BF-A36F-B96A2EC0ED70}"/>
    <cellStyle name="20% - Accent2 2 2 3 3" xfId="4928" xr:uid="{00000000-0005-0000-0000-0000BB000000}"/>
    <cellStyle name="20% - Accent2 2 2 3 3 2" xfId="30260" xr:uid="{74D60BED-F81C-497B-81EB-0ED39BF2472C}"/>
    <cellStyle name="20% - Accent2 2 2 3 3 3" xfId="21819" xr:uid="{E5A124B6-131D-4A1E-8170-21F5E6D2A5AB}"/>
    <cellStyle name="20% - Accent2 2 2 3 3 4" xfId="13378" xr:uid="{7B5E3708-A622-4CD2-A2EB-AEBA6A845403}"/>
    <cellStyle name="20% - Accent2 2 2 3 4" xfId="26042" xr:uid="{1627F22F-7744-468F-AD8F-6954F6AA50D3}"/>
    <cellStyle name="20% - Accent2 2 2 3 5" xfId="17601" xr:uid="{8C444807-224B-41E9-B83D-1C75100DF314}"/>
    <cellStyle name="20% - Accent2 2 2 3 6" xfId="9160" xr:uid="{932587B6-9F11-4F95-BFAA-40D6A7E7E3C3}"/>
    <cellStyle name="20% - Accent2 2 2 4" xfId="1033" xr:uid="{00000000-0005-0000-0000-0000BC000000}"/>
    <cellStyle name="20% - Accent2 2 2 4 2" xfId="3264" xr:uid="{00000000-0005-0000-0000-0000BD000000}"/>
    <cellStyle name="20% - Accent2 2 2 4 2 2" xfId="7486" xr:uid="{00000000-0005-0000-0000-0000BE000000}"/>
    <cellStyle name="20% - Accent2 2 2 4 2 2 2" xfId="32818" xr:uid="{E7945578-06F0-4989-ACEF-3B94664D3042}"/>
    <cellStyle name="20% - Accent2 2 2 4 2 2 3" xfId="24377" xr:uid="{834E26FA-F62C-4A17-B822-25067E9EBC8C}"/>
    <cellStyle name="20% - Accent2 2 2 4 2 2 4" xfId="15936" xr:uid="{40B5A694-6C5E-4004-A059-59A8708D7F8B}"/>
    <cellStyle name="20% - Accent2 2 2 4 2 3" xfId="28600" xr:uid="{368E2B82-E7B6-490C-AF93-B4E165EA92CF}"/>
    <cellStyle name="20% - Accent2 2 2 4 2 4" xfId="20159" xr:uid="{C96E7F93-45C0-49BC-82F6-6D55D1144D58}"/>
    <cellStyle name="20% - Accent2 2 2 4 2 5" xfId="11718" xr:uid="{A670B63E-CD6E-4996-AF86-64A06980EDF8}"/>
    <cellStyle name="20% - Accent2 2 2 4 3" xfId="5341" xr:uid="{00000000-0005-0000-0000-0000BF000000}"/>
    <cellStyle name="20% - Accent2 2 2 4 3 2" xfId="30673" xr:uid="{71B90405-02C9-4663-86B8-51889BFCDB88}"/>
    <cellStyle name="20% - Accent2 2 2 4 3 3" xfId="22232" xr:uid="{7C55E4DC-FD9E-4D0C-80E4-A85C5B99C6DB}"/>
    <cellStyle name="20% - Accent2 2 2 4 3 4" xfId="13791" xr:uid="{4207F40E-B8EA-4669-9B1E-6D71A91C35BA}"/>
    <cellStyle name="20% - Accent2 2 2 4 4" xfId="26455" xr:uid="{E4823087-5DF3-4405-9027-BA51B43284FE}"/>
    <cellStyle name="20% - Accent2 2 2 4 5" xfId="18014" xr:uid="{BD095521-0977-409A-8D4E-0396663C7F9A}"/>
    <cellStyle name="20% - Accent2 2 2 4 6" xfId="9573" xr:uid="{04461E03-548C-4D56-B0FA-A223022E05E2}"/>
    <cellStyle name="20% - Accent2 2 2 5" xfId="1447" xr:uid="{00000000-0005-0000-0000-0000C0000000}"/>
    <cellStyle name="20% - Accent2 2 2 5 2" xfId="3677" xr:uid="{00000000-0005-0000-0000-0000C1000000}"/>
    <cellStyle name="20% - Accent2 2 2 5 2 2" xfId="7899" xr:uid="{00000000-0005-0000-0000-0000C2000000}"/>
    <cellStyle name="20% - Accent2 2 2 5 2 2 2" xfId="33231" xr:uid="{A47E3690-1618-49D8-9709-7D0404FB6E06}"/>
    <cellStyle name="20% - Accent2 2 2 5 2 2 3" xfId="24790" xr:uid="{6C585827-39AF-4BE7-9AB8-72BC4067D944}"/>
    <cellStyle name="20% - Accent2 2 2 5 2 2 4" xfId="16349" xr:uid="{31140CFE-48BE-4C56-B4BC-8C47DAB6FAA4}"/>
    <cellStyle name="20% - Accent2 2 2 5 2 3" xfId="29013" xr:uid="{1F2B2FCE-CB5E-4BEA-8E41-F3D5E8D34495}"/>
    <cellStyle name="20% - Accent2 2 2 5 2 4" xfId="20572" xr:uid="{75A88386-6DFF-41D1-8EB1-7BFCEB0E85FB}"/>
    <cellStyle name="20% - Accent2 2 2 5 2 5" xfId="12131" xr:uid="{7FCD3CB5-F2FA-4576-894C-40DE00D7807F}"/>
    <cellStyle name="20% - Accent2 2 2 5 3" xfId="5754" xr:uid="{00000000-0005-0000-0000-0000C3000000}"/>
    <cellStyle name="20% - Accent2 2 2 5 3 2" xfId="31086" xr:uid="{1BBBD93E-016F-467C-81F5-4BC7DE6FE071}"/>
    <cellStyle name="20% - Accent2 2 2 5 3 3" xfId="22645" xr:uid="{0CFB9C8B-1BB9-44B6-9756-9CD868690116}"/>
    <cellStyle name="20% - Accent2 2 2 5 3 4" xfId="14204" xr:uid="{0FE931CB-7215-4051-AD57-C32AFDC1E684}"/>
    <cellStyle name="20% - Accent2 2 2 5 4" xfId="26868" xr:uid="{E2537472-A82C-484A-B349-1933231FF852}"/>
    <cellStyle name="20% - Accent2 2 2 5 5" xfId="18427" xr:uid="{955A52F2-A9A9-410B-9C19-9353E1A8B677}"/>
    <cellStyle name="20% - Accent2 2 2 5 6" xfId="9986" xr:uid="{50BE7134-50E4-4352-B580-BB0CFB2C98B8}"/>
    <cellStyle name="20% - Accent2 2 2 6" xfId="1861" xr:uid="{00000000-0005-0000-0000-0000C4000000}"/>
    <cellStyle name="20% - Accent2 2 2 6 2" xfId="4090" xr:uid="{00000000-0005-0000-0000-0000C5000000}"/>
    <cellStyle name="20% - Accent2 2 2 6 2 2" xfId="8312" xr:uid="{00000000-0005-0000-0000-0000C6000000}"/>
    <cellStyle name="20% - Accent2 2 2 6 2 2 2" xfId="33644" xr:uid="{75E45C3C-7BE5-4CA8-8797-47D70B22D727}"/>
    <cellStyle name="20% - Accent2 2 2 6 2 2 3" xfId="25203" xr:uid="{B7DC1AFC-C13A-46EF-96F8-B1E3D70ACA36}"/>
    <cellStyle name="20% - Accent2 2 2 6 2 2 4" xfId="16762" xr:uid="{5DD6499D-813C-40C4-9E0D-4FC1D0F966E8}"/>
    <cellStyle name="20% - Accent2 2 2 6 2 3" xfId="29426" xr:uid="{411233B7-E813-4650-B09A-85D9801A4D81}"/>
    <cellStyle name="20% - Accent2 2 2 6 2 4" xfId="20985" xr:uid="{6464E867-895A-4CE5-8BD1-CCEC9A463EB7}"/>
    <cellStyle name="20% - Accent2 2 2 6 2 5" xfId="12544" xr:uid="{73F1B719-5089-42E3-9202-922481D4007F}"/>
    <cellStyle name="20% - Accent2 2 2 6 3" xfId="6167" xr:uid="{00000000-0005-0000-0000-0000C7000000}"/>
    <cellStyle name="20% - Accent2 2 2 6 3 2" xfId="31499" xr:uid="{B28FA2EF-BE9E-4117-817C-399072A069EB}"/>
    <cellStyle name="20% - Accent2 2 2 6 3 3" xfId="23058" xr:uid="{BB0CDFFB-2F7B-4FA2-A3FB-FB10DB9C829F}"/>
    <cellStyle name="20% - Accent2 2 2 6 3 4" xfId="14617" xr:uid="{CC4B62EB-FD1D-44CB-9CE6-3B593969199E}"/>
    <cellStyle name="20% - Accent2 2 2 6 4" xfId="27281" xr:uid="{61FD5F4D-9BD7-4714-94F1-897D2A1E2C52}"/>
    <cellStyle name="20% - Accent2 2 2 6 5" xfId="18840" xr:uid="{F6E5737B-A3F2-4302-B8EE-0154A65892EF}"/>
    <cellStyle name="20% - Accent2 2 2 6 6" xfId="10399" xr:uid="{793F4E6B-FE0A-4950-82FD-D4174E7AA6FA}"/>
    <cellStyle name="20% - Accent2 2 2 7" xfId="2274" xr:uid="{00000000-0005-0000-0000-0000C8000000}"/>
    <cellStyle name="20% - Accent2 2 2 7 2" xfId="6580" xr:uid="{00000000-0005-0000-0000-0000C9000000}"/>
    <cellStyle name="20% - Accent2 2 2 7 2 2" xfId="31912" xr:uid="{8627A8BF-3CC3-407F-90C5-7BFA715A0AE9}"/>
    <cellStyle name="20% - Accent2 2 2 7 2 3" xfId="23471" xr:uid="{2A8594A4-28B2-42DE-BE9C-71CE7C7AD021}"/>
    <cellStyle name="20% - Accent2 2 2 7 2 4" xfId="15030" xr:uid="{C11480E8-F240-4397-B491-936C6F43FA70}"/>
    <cellStyle name="20% - Accent2 2 2 7 3" xfId="27694" xr:uid="{FF76551C-D512-4A8A-960E-939EEB151CA1}"/>
    <cellStyle name="20% - Accent2 2 2 7 4" xfId="19253" xr:uid="{53F8CD59-C76A-4C07-8BF6-A951B9172EB2}"/>
    <cellStyle name="20% - Accent2 2 2 7 5" xfId="10812" xr:uid="{13C2041C-B825-4919-AC9B-0AF58E939237}"/>
    <cellStyle name="20% - Accent2 2 2 8" xfId="4514" xr:uid="{00000000-0005-0000-0000-0000CA000000}"/>
    <cellStyle name="20% - Accent2 2 2 8 2" xfId="29846" xr:uid="{1455CB8A-67B4-4B77-9BA9-F64EB44B9C88}"/>
    <cellStyle name="20% - Accent2 2 2 8 3" xfId="21405" xr:uid="{0A60303B-4CED-4FD5-8841-13C2DCD104B2}"/>
    <cellStyle name="20% - Accent2 2 2 8 4" xfId="12964" xr:uid="{94C8D09D-8480-4551-8BCF-2A0BFBC59CB6}"/>
    <cellStyle name="20% - Accent2 2 2 9" xfId="25628" xr:uid="{CBB71882-117C-4146-BE8B-0E486601B19E}"/>
    <cellStyle name="20% - Accent2 2 3" xfId="13" xr:uid="{00000000-0005-0000-0000-0000CB000000}"/>
    <cellStyle name="20% - Accent2 2 3 10" xfId="8748" xr:uid="{5BB443BE-5227-4A53-8664-921B6BD6C867}"/>
    <cellStyle name="20% - Accent2 2 3 2" xfId="582" xr:uid="{00000000-0005-0000-0000-0000CC000000}"/>
    <cellStyle name="20% - Accent2 2 3 2 2" xfId="2853" xr:uid="{00000000-0005-0000-0000-0000CD000000}"/>
    <cellStyle name="20% - Accent2 2 3 2 2 2" xfId="7075" xr:uid="{00000000-0005-0000-0000-0000CE000000}"/>
    <cellStyle name="20% - Accent2 2 3 2 2 2 2" xfId="32407" xr:uid="{8901FC62-9C04-4B9F-BF20-447EE7877306}"/>
    <cellStyle name="20% - Accent2 2 3 2 2 2 3" xfId="23966" xr:uid="{EA61B9DB-5CEE-4E97-885F-EFA4B3A89CAA}"/>
    <cellStyle name="20% - Accent2 2 3 2 2 2 4" xfId="15525" xr:uid="{79975153-899C-4F70-BBE2-C8B9DDFF7337}"/>
    <cellStyle name="20% - Accent2 2 3 2 2 3" xfId="28189" xr:uid="{A3CB584F-83A5-4726-B39D-EEAA90272146}"/>
    <cellStyle name="20% - Accent2 2 3 2 2 4" xfId="19748" xr:uid="{2DF278C6-DECA-4A8C-97A3-2CE27251BD61}"/>
    <cellStyle name="20% - Accent2 2 3 2 2 5" xfId="11307" xr:uid="{3E992ECC-B055-462A-891B-766C965DDE20}"/>
    <cellStyle name="20% - Accent2 2 3 2 3" xfId="4930" xr:uid="{00000000-0005-0000-0000-0000CF000000}"/>
    <cellStyle name="20% - Accent2 2 3 2 3 2" xfId="30262" xr:uid="{F1CF57AF-7BA6-4C89-B322-D2AB09AEE88A}"/>
    <cellStyle name="20% - Accent2 2 3 2 3 3" xfId="21821" xr:uid="{D9978058-16D1-4E66-BDE1-CC86BD309F9A}"/>
    <cellStyle name="20% - Accent2 2 3 2 3 4" xfId="13380" xr:uid="{30F21D0B-3165-46AC-A45B-D45C3D852213}"/>
    <cellStyle name="20% - Accent2 2 3 2 4" xfId="26044" xr:uid="{873CBD4A-F01E-4B0F-B487-A9B71EC2502F}"/>
    <cellStyle name="20% - Accent2 2 3 2 5" xfId="17603" xr:uid="{8E370399-6C67-4499-96F8-148D340EB562}"/>
    <cellStyle name="20% - Accent2 2 3 2 6" xfId="9162" xr:uid="{208C6902-B118-4198-A50B-C5DB6C4FDAE4}"/>
    <cellStyle name="20% - Accent2 2 3 3" xfId="1035" xr:uid="{00000000-0005-0000-0000-0000D0000000}"/>
    <cellStyle name="20% - Accent2 2 3 3 2" xfId="3266" xr:uid="{00000000-0005-0000-0000-0000D1000000}"/>
    <cellStyle name="20% - Accent2 2 3 3 2 2" xfId="7488" xr:uid="{00000000-0005-0000-0000-0000D2000000}"/>
    <cellStyle name="20% - Accent2 2 3 3 2 2 2" xfId="32820" xr:uid="{CB6B9822-FFE2-47F9-917A-A44D50220DE3}"/>
    <cellStyle name="20% - Accent2 2 3 3 2 2 3" xfId="24379" xr:uid="{7CB7AC8E-915F-4C36-A2ED-3FA2B2A6F857}"/>
    <cellStyle name="20% - Accent2 2 3 3 2 2 4" xfId="15938" xr:uid="{79D1D8A8-E309-485E-9F96-427861512893}"/>
    <cellStyle name="20% - Accent2 2 3 3 2 3" xfId="28602" xr:uid="{12FFB45B-7E13-4860-B7AD-FDB6C6714182}"/>
    <cellStyle name="20% - Accent2 2 3 3 2 4" xfId="20161" xr:uid="{0C3382AA-AF21-49FA-9BFC-AEDAB190F06E}"/>
    <cellStyle name="20% - Accent2 2 3 3 2 5" xfId="11720" xr:uid="{3FD97157-1DB9-4583-A162-CF4D12A6BD39}"/>
    <cellStyle name="20% - Accent2 2 3 3 3" xfId="5343" xr:uid="{00000000-0005-0000-0000-0000D3000000}"/>
    <cellStyle name="20% - Accent2 2 3 3 3 2" xfId="30675" xr:uid="{F39E3179-6A99-4C30-9D83-481AD661F061}"/>
    <cellStyle name="20% - Accent2 2 3 3 3 3" xfId="22234" xr:uid="{FE538FFC-894D-467D-8675-38DB2BC04E91}"/>
    <cellStyle name="20% - Accent2 2 3 3 3 4" xfId="13793" xr:uid="{883A6F92-EC8E-4053-BF4A-8BC505A522AF}"/>
    <cellStyle name="20% - Accent2 2 3 3 4" xfId="26457" xr:uid="{7018AD77-8D47-4C33-93FF-889A3E4E0E66}"/>
    <cellStyle name="20% - Accent2 2 3 3 5" xfId="18016" xr:uid="{0B535FA5-77B4-426C-B5EE-482C899B6EE7}"/>
    <cellStyle name="20% - Accent2 2 3 3 6" xfId="9575" xr:uid="{ED699860-B125-4A21-A3E7-F483530CFAA0}"/>
    <cellStyle name="20% - Accent2 2 3 4" xfId="1449" xr:uid="{00000000-0005-0000-0000-0000D4000000}"/>
    <cellStyle name="20% - Accent2 2 3 4 2" xfId="3679" xr:uid="{00000000-0005-0000-0000-0000D5000000}"/>
    <cellStyle name="20% - Accent2 2 3 4 2 2" xfId="7901" xr:uid="{00000000-0005-0000-0000-0000D6000000}"/>
    <cellStyle name="20% - Accent2 2 3 4 2 2 2" xfId="33233" xr:uid="{DE7E6D5B-8180-4827-8F86-9A9026DEA1C0}"/>
    <cellStyle name="20% - Accent2 2 3 4 2 2 3" xfId="24792" xr:uid="{FFD4E56B-D0C9-478A-881E-59CF584D9297}"/>
    <cellStyle name="20% - Accent2 2 3 4 2 2 4" xfId="16351" xr:uid="{7619398B-2EAF-463A-A0A8-B27AD6CE1FBB}"/>
    <cellStyle name="20% - Accent2 2 3 4 2 3" xfId="29015" xr:uid="{7C02A543-CB84-4283-8D2D-4114C91C07C8}"/>
    <cellStyle name="20% - Accent2 2 3 4 2 4" xfId="20574" xr:uid="{08AB4A1E-C2F3-4BCF-9466-FB3807BE90E1}"/>
    <cellStyle name="20% - Accent2 2 3 4 2 5" xfId="12133" xr:uid="{9E072050-DA3D-495F-ACB8-D83B23649D76}"/>
    <cellStyle name="20% - Accent2 2 3 4 3" xfId="5756" xr:uid="{00000000-0005-0000-0000-0000D7000000}"/>
    <cellStyle name="20% - Accent2 2 3 4 3 2" xfId="31088" xr:uid="{F7671926-BDEA-47F2-9E7C-DF38E1F6179B}"/>
    <cellStyle name="20% - Accent2 2 3 4 3 3" xfId="22647" xr:uid="{262BE28B-2D2F-4D50-B92F-992DE79EC0B4}"/>
    <cellStyle name="20% - Accent2 2 3 4 3 4" xfId="14206" xr:uid="{CA16431A-EB0F-4A98-8090-D42C010F41DD}"/>
    <cellStyle name="20% - Accent2 2 3 4 4" xfId="26870" xr:uid="{BCF0482C-2E7F-489E-A5BE-AC96E417A102}"/>
    <cellStyle name="20% - Accent2 2 3 4 5" xfId="18429" xr:uid="{99916197-1790-462C-8446-9CE31DC96BA2}"/>
    <cellStyle name="20% - Accent2 2 3 4 6" xfId="9988" xr:uid="{6F6E1713-A74A-43CD-9F05-584F83473CCB}"/>
    <cellStyle name="20% - Accent2 2 3 5" xfId="1863" xr:uid="{00000000-0005-0000-0000-0000D8000000}"/>
    <cellStyle name="20% - Accent2 2 3 5 2" xfId="4092" xr:uid="{00000000-0005-0000-0000-0000D9000000}"/>
    <cellStyle name="20% - Accent2 2 3 5 2 2" xfId="8314" xr:uid="{00000000-0005-0000-0000-0000DA000000}"/>
    <cellStyle name="20% - Accent2 2 3 5 2 2 2" xfId="33646" xr:uid="{995788E7-DBAC-45A1-948A-39D31328A9E2}"/>
    <cellStyle name="20% - Accent2 2 3 5 2 2 3" xfId="25205" xr:uid="{DB39013A-4D64-4165-AE07-58581544DBE3}"/>
    <cellStyle name="20% - Accent2 2 3 5 2 2 4" xfId="16764" xr:uid="{630D5EAF-7190-4A2F-B36B-64FE00A9C9D0}"/>
    <cellStyle name="20% - Accent2 2 3 5 2 3" xfId="29428" xr:uid="{C1CF71DD-FA8E-4804-AD07-1FBE741B1B5A}"/>
    <cellStyle name="20% - Accent2 2 3 5 2 4" xfId="20987" xr:uid="{6043582C-95F6-4BF7-AB29-A0126B156C00}"/>
    <cellStyle name="20% - Accent2 2 3 5 2 5" xfId="12546" xr:uid="{24B3E60B-F02B-473F-B692-E69F31D291D8}"/>
    <cellStyle name="20% - Accent2 2 3 5 3" xfId="6169" xr:uid="{00000000-0005-0000-0000-0000DB000000}"/>
    <cellStyle name="20% - Accent2 2 3 5 3 2" xfId="31501" xr:uid="{315B00F3-6337-412E-900A-39A6EF706276}"/>
    <cellStyle name="20% - Accent2 2 3 5 3 3" xfId="23060" xr:uid="{E396FF19-512A-4C61-8343-C73EB525B5B9}"/>
    <cellStyle name="20% - Accent2 2 3 5 3 4" xfId="14619" xr:uid="{7EFF3670-0CF6-4AC9-92AB-5CB13EB7954F}"/>
    <cellStyle name="20% - Accent2 2 3 5 4" xfId="27283" xr:uid="{7397159C-E2EF-4CAE-80BD-510E42CC02CE}"/>
    <cellStyle name="20% - Accent2 2 3 5 5" xfId="18842" xr:uid="{99887E20-69A0-4AEA-8D79-CF5AF5F9FF3A}"/>
    <cellStyle name="20% - Accent2 2 3 5 6" xfId="10401" xr:uid="{EAED682C-B13B-4E08-8A3A-B3FE3B9B0533}"/>
    <cellStyle name="20% - Accent2 2 3 6" xfId="2276" xr:uid="{00000000-0005-0000-0000-0000DC000000}"/>
    <cellStyle name="20% - Accent2 2 3 6 2" xfId="6582" xr:uid="{00000000-0005-0000-0000-0000DD000000}"/>
    <cellStyle name="20% - Accent2 2 3 6 2 2" xfId="31914" xr:uid="{C05D2008-92C9-49E1-BEE9-6EC8114DC5EF}"/>
    <cellStyle name="20% - Accent2 2 3 6 2 3" xfId="23473" xr:uid="{A0DC7C40-5891-462B-AA30-F11E6E96CA3F}"/>
    <cellStyle name="20% - Accent2 2 3 6 2 4" xfId="15032" xr:uid="{3561A145-9CD8-48E6-80A2-285EA4E25CD6}"/>
    <cellStyle name="20% - Accent2 2 3 6 3" xfId="27696" xr:uid="{C40EA438-7347-46F2-86FE-5A907332994D}"/>
    <cellStyle name="20% - Accent2 2 3 6 4" xfId="19255" xr:uid="{D85F07FF-E556-4B7A-A313-C896264ED098}"/>
    <cellStyle name="20% - Accent2 2 3 6 5" xfId="10814" xr:uid="{FB674163-33F9-4AF9-9955-69E5DEF94823}"/>
    <cellStyle name="20% - Accent2 2 3 7" xfId="4516" xr:uid="{00000000-0005-0000-0000-0000DE000000}"/>
    <cellStyle name="20% - Accent2 2 3 7 2" xfId="29848" xr:uid="{ED4C0FB0-B436-4100-B81C-42AE7E2D1F88}"/>
    <cellStyle name="20% - Accent2 2 3 7 3" xfId="21407" xr:uid="{44AA2E9A-1794-4758-9F82-1787E6E2E3BF}"/>
    <cellStyle name="20% - Accent2 2 3 7 4" xfId="12966" xr:uid="{0726E801-4507-4E62-AAD8-471C295C66F2}"/>
    <cellStyle name="20% - Accent2 2 3 8" xfId="25630" xr:uid="{BE73536E-DE45-4BF4-AE34-6830AB62B966}"/>
    <cellStyle name="20% - Accent2 2 3 9" xfId="17189" xr:uid="{5341C718-7C3C-4204-91C8-E39899484F11}"/>
    <cellStyle name="20% - Accent2 2 4" xfId="579" xr:uid="{00000000-0005-0000-0000-0000DF000000}"/>
    <cellStyle name="20% - Accent2 2 4 2" xfId="2850" xr:uid="{00000000-0005-0000-0000-0000E0000000}"/>
    <cellStyle name="20% - Accent2 2 4 2 2" xfId="7072" xr:uid="{00000000-0005-0000-0000-0000E1000000}"/>
    <cellStyle name="20% - Accent2 2 4 2 2 2" xfId="32404" xr:uid="{1C65F803-BB6D-47C5-AEF3-F7E80B35C933}"/>
    <cellStyle name="20% - Accent2 2 4 2 2 3" xfId="23963" xr:uid="{B6F2BBFC-01AE-4305-8AF4-629F2C4698C1}"/>
    <cellStyle name="20% - Accent2 2 4 2 2 4" xfId="15522" xr:uid="{3FAE7F88-C058-4AEF-9FC1-7C17438B3624}"/>
    <cellStyle name="20% - Accent2 2 4 2 3" xfId="28186" xr:uid="{87BF5FBC-000D-481F-9D61-01B5CECB7DF1}"/>
    <cellStyle name="20% - Accent2 2 4 2 4" xfId="19745" xr:uid="{FB756E41-79BA-40C8-BF85-760F9F9807A0}"/>
    <cellStyle name="20% - Accent2 2 4 2 5" xfId="11304" xr:uid="{303DC4E4-94DA-4D07-B8DB-3A1163F5E566}"/>
    <cellStyle name="20% - Accent2 2 4 3" xfId="4927" xr:uid="{00000000-0005-0000-0000-0000E2000000}"/>
    <cellStyle name="20% - Accent2 2 4 3 2" xfId="30259" xr:uid="{0B3E0775-C0FD-4E80-A5D1-EAB9E7154274}"/>
    <cellStyle name="20% - Accent2 2 4 3 3" xfId="21818" xr:uid="{73A8396E-A06A-4EB5-9090-04F9631EFBBC}"/>
    <cellStyle name="20% - Accent2 2 4 3 4" xfId="13377" xr:uid="{F3392ECE-C7F5-4003-8571-D67260FE9726}"/>
    <cellStyle name="20% - Accent2 2 4 4" xfId="26041" xr:uid="{ECBD844A-EE3B-4932-80D3-5727BB999F8F}"/>
    <cellStyle name="20% - Accent2 2 4 5" xfId="17600" xr:uid="{582D5199-FC94-4B9A-BD62-2270A2AEC081}"/>
    <cellStyle name="20% - Accent2 2 4 6" xfId="9159" xr:uid="{3DDCF9B3-B620-421A-AFA9-B08F3CF5F891}"/>
    <cellStyle name="20% - Accent2 2 5" xfId="1032" xr:uid="{00000000-0005-0000-0000-0000E3000000}"/>
    <cellStyle name="20% - Accent2 2 5 2" xfId="3263" xr:uid="{00000000-0005-0000-0000-0000E4000000}"/>
    <cellStyle name="20% - Accent2 2 5 2 2" xfId="7485" xr:uid="{00000000-0005-0000-0000-0000E5000000}"/>
    <cellStyle name="20% - Accent2 2 5 2 2 2" xfId="32817" xr:uid="{9380F12C-BCDA-4514-8056-61A9E8AB0E85}"/>
    <cellStyle name="20% - Accent2 2 5 2 2 3" xfId="24376" xr:uid="{9EFDF82D-8A00-43D1-BB6C-27B0BAA69874}"/>
    <cellStyle name="20% - Accent2 2 5 2 2 4" xfId="15935" xr:uid="{AB8B40AC-5ED4-4267-9BDA-69E98C6932C7}"/>
    <cellStyle name="20% - Accent2 2 5 2 3" xfId="28599" xr:uid="{C1F364D6-D274-406C-817C-04BD3583F019}"/>
    <cellStyle name="20% - Accent2 2 5 2 4" xfId="20158" xr:uid="{BD0C326B-C8B1-4F3B-8704-944DECB7F6C4}"/>
    <cellStyle name="20% - Accent2 2 5 2 5" xfId="11717" xr:uid="{675CF912-79D4-47A0-BF0B-73F14FF82B13}"/>
    <cellStyle name="20% - Accent2 2 5 3" xfId="5340" xr:uid="{00000000-0005-0000-0000-0000E6000000}"/>
    <cellStyle name="20% - Accent2 2 5 3 2" xfId="30672" xr:uid="{ACBE58F4-31B9-4DFA-8A73-83B0AF39A6E4}"/>
    <cellStyle name="20% - Accent2 2 5 3 3" xfId="22231" xr:uid="{70CF5ADD-932D-4D1F-A290-E2E34042EB23}"/>
    <cellStyle name="20% - Accent2 2 5 3 4" xfId="13790" xr:uid="{C7ACCC97-E403-4901-81B0-5FFA4B03AA78}"/>
    <cellStyle name="20% - Accent2 2 5 4" xfId="26454" xr:uid="{EAB2133A-2199-44AF-9AB3-753F4DAE3317}"/>
    <cellStyle name="20% - Accent2 2 5 5" xfId="18013" xr:uid="{12AEDE19-F76D-4551-9061-46097D7408A5}"/>
    <cellStyle name="20% - Accent2 2 5 6" xfId="9572" xr:uid="{1FF8FE22-D6AC-4EF4-9C19-0C509EDCCFF3}"/>
    <cellStyle name="20% - Accent2 2 6" xfId="1446" xr:uid="{00000000-0005-0000-0000-0000E7000000}"/>
    <cellStyle name="20% - Accent2 2 6 2" xfId="3676" xr:uid="{00000000-0005-0000-0000-0000E8000000}"/>
    <cellStyle name="20% - Accent2 2 6 2 2" xfId="7898" xr:uid="{00000000-0005-0000-0000-0000E9000000}"/>
    <cellStyle name="20% - Accent2 2 6 2 2 2" xfId="33230" xr:uid="{765C8FD1-F4F1-43AB-9F56-EA8967755C57}"/>
    <cellStyle name="20% - Accent2 2 6 2 2 3" xfId="24789" xr:uid="{E91ABF38-6002-45A7-B9C8-4CF11C565175}"/>
    <cellStyle name="20% - Accent2 2 6 2 2 4" xfId="16348" xr:uid="{C75B6A87-0AF5-40DD-9D49-488329BC1E0C}"/>
    <cellStyle name="20% - Accent2 2 6 2 3" xfId="29012" xr:uid="{2D78CD41-E90B-442F-BFC7-725DB0DED399}"/>
    <cellStyle name="20% - Accent2 2 6 2 4" xfId="20571" xr:uid="{22C94965-68DA-4E2A-9F79-D5A81474E26E}"/>
    <cellStyle name="20% - Accent2 2 6 2 5" xfId="12130" xr:uid="{7EC32F12-FEB0-4D45-B62D-D50BBD0482B8}"/>
    <cellStyle name="20% - Accent2 2 6 3" xfId="5753" xr:uid="{00000000-0005-0000-0000-0000EA000000}"/>
    <cellStyle name="20% - Accent2 2 6 3 2" xfId="31085" xr:uid="{5ABCFE81-A366-46F8-ABFB-E3A6B9CC7AEE}"/>
    <cellStyle name="20% - Accent2 2 6 3 3" xfId="22644" xr:uid="{FF66D846-FAEA-406E-9A50-06D8CD581ADF}"/>
    <cellStyle name="20% - Accent2 2 6 3 4" xfId="14203" xr:uid="{6BE9B0D8-F195-450B-9A96-CFA74AD42301}"/>
    <cellStyle name="20% - Accent2 2 6 4" xfId="26867" xr:uid="{014476DC-CF57-46A4-A209-F272A2BC06C2}"/>
    <cellStyle name="20% - Accent2 2 6 5" xfId="18426" xr:uid="{9A7E099A-1374-4A28-A5C3-443D8EDEADDE}"/>
    <cellStyle name="20% - Accent2 2 6 6" xfId="9985" xr:uid="{F82140AA-F821-48B7-8F46-1CDC52529C08}"/>
    <cellStyle name="20% - Accent2 2 7" xfId="1860" xr:uid="{00000000-0005-0000-0000-0000EB000000}"/>
    <cellStyle name="20% - Accent2 2 7 2" xfId="4089" xr:uid="{00000000-0005-0000-0000-0000EC000000}"/>
    <cellStyle name="20% - Accent2 2 7 2 2" xfId="8311" xr:uid="{00000000-0005-0000-0000-0000ED000000}"/>
    <cellStyle name="20% - Accent2 2 7 2 2 2" xfId="33643" xr:uid="{F0F2977E-1A05-49AC-B1E5-7554F15437EB}"/>
    <cellStyle name="20% - Accent2 2 7 2 2 3" xfId="25202" xr:uid="{B4A4B5A8-2B76-4D4E-B1A0-60912B87C46D}"/>
    <cellStyle name="20% - Accent2 2 7 2 2 4" xfId="16761" xr:uid="{7AF69B64-4A7F-42FD-BB25-C04F3240AA62}"/>
    <cellStyle name="20% - Accent2 2 7 2 3" xfId="29425" xr:uid="{17C4B08A-686D-49CA-B173-0CA0639D9635}"/>
    <cellStyle name="20% - Accent2 2 7 2 4" xfId="20984" xr:uid="{C0BD9673-4075-4451-BE62-32E94B193FF4}"/>
    <cellStyle name="20% - Accent2 2 7 2 5" xfId="12543" xr:uid="{3D075B38-9D21-403C-AA25-27BF785B9493}"/>
    <cellStyle name="20% - Accent2 2 7 3" xfId="6166" xr:uid="{00000000-0005-0000-0000-0000EE000000}"/>
    <cellStyle name="20% - Accent2 2 7 3 2" xfId="31498" xr:uid="{D9D87EBE-C844-4506-8F7A-0C912B94D291}"/>
    <cellStyle name="20% - Accent2 2 7 3 3" xfId="23057" xr:uid="{0EAD7E6D-C32C-40DE-A4B2-FA8CE6871C75}"/>
    <cellStyle name="20% - Accent2 2 7 3 4" xfId="14616" xr:uid="{22DC338A-7568-468D-A000-1A86EBBDAED4}"/>
    <cellStyle name="20% - Accent2 2 7 4" xfId="27280" xr:uid="{78BFA565-C44F-4EA0-8411-0212A5617198}"/>
    <cellStyle name="20% - Accent2 2 7 5" xfId="18839" xr:uid="{8417261D-282A-4AE4-A214-E8FFB33E053E}"/>
    <cellStyle name="20% - Accent2 2 7 6" xfId="10398" xr:uid="{0E0E8B1B-4783-4BF1-AC10-FFD8DB88AB77}"/>
    <cellStyle name="20% - Accent2 2 8" xfId="2273" xr:uid="{00000000-0005-0000-0000-0000EF000000}"/>
    <cellStyle name="20% - Accent2 2 8 2" xfId="6579" xr:uid="{00000000-0005-0000-0000-0000F0000000}"/>
    <cellStyle name="20% - Accent2 2 8 2 2" xfId="31911" xr:uid="{7CE29C20-37FF-42A9-A73C-3D11D8F723DA}"/>
    <cellStyle name="20% - Accent2 2 8 2 3" xfId="23470" xr:uid="{B1E2BB04-C86B-4648-AF83-75B2A51CC562}"/>
    <cellStyle name="20% - Accent2 2 8 2 4" xfId="15029" xr:uid="{36121651-316A-4853-8B28-1FECAC4D2ABC}"/>
    <cellStyle name="20% - Accent2 2 8 3" xfId="27693" xr:uid="{AE9C4A12-0E79-4F27-AD24-E896A4611B91}"/>
    <cellStyle name="20% - Accent2 2 8 4" xfId="19252" xr:uid="{A2F13485-3C79-443A-8532-4E59F2FEFD8C}"/>
    <cellStyle name="20% - Accent2 2 8 5" xfId="10811" xr:uid="{E89E72FC-1DF3-470E-A391-2B061D568002}"/>
    <cellStyle name="20% - Accent2 2 9" xfId="4513" xr:uid="{00000000-0005-0000-0000-0000F1000000}"/>
    <cellStyle name="20% - Accent2 2 9 2" xfId="29845" xr:uid="{CEBFB015-3B70-4675-8367-6F3092CAE7D9}"/>
    <cellStyle name="20% - Accent2 2 9 3" xfId="21404" xr:uid="{3AAA8E7D-C775-4AC0-924D-9BC91D52DFF2}"/>
    <cellStyle name="20% - Accent2 2 9 4" xfId="12963" xr:uid="{6FC3BC2A-4E5D-45EF-8E76-C324CC925AA6}"/>
    <cellStyle name="20% - Accent2 3" xfId="14" xr:uid="{00000000-0005-0000-0000-0000F2000000}"/>
    <cellStyle name="20% - Accent2 3 10" xfId="17190" xr:uid="{AC99F029-EC29-4165-A170-C679329B1D04}"/>
    <cellStyle name="20% - Accent2 3 11" xfId="8749" xr:uid="{C7DC6635-AFCC-4AE8-A55F-1030CE005191}"/>
    <cellStyle name="20% - Accent2 3 2" xfId="15" xr:uid="{00000000-0005-0000-0000-0000F3000000}"/>
    <cellStyle name="20% - Accent2 3 2 10" xfId="8750" xr:uid="{B6E94D58-AA4A-4206-9A91-6CC131BEFD8B}"/>
    <cellStyle name="20% - Accent2 3 2 2" xfId="584" xr:uid="{00000000-0005-0000-0000-0000F4000000}"/>
    <cellStyle name="20% - Accent2 3 2 2 2" xfId="2855" xr:uid="{00000000-0005-0000-0000-0000F5000000}"/>
    <cellStyle name="20% - Accent2 3 2 2 2 2" xfId="7077" xr:uid="{00000000-0005-0000-0000-0000F6000000}"/>
    <cellStyle name="20% - Accent2 3 2 2 2 2 2" xfId="32409" xr:uid="{F168F0A4-05EE-4507-9687-D20642B8F2C5}"/>
    <cellStyle name="20% - Accent2 3 2 2 2 2 3" xfId="23968" xr:uid="{C45D7A85-7371-4950-B0A0-4D30657D542D}"/>
    <cellStyle name="20% - Accent2 3 2 2 2 2 4" xfId="15527" xr:uid="{1C9BEDD6-994B-4F2E-8D2F-E5DF96121F23}"/>
    <cellStyle name="20% - Accent2 3 2 2 2 3" xfId="28191" xr:uid="{240F1B5D-B8D2-47FE-8BCC-60A3235016B4}"/>
    <cellStyle name="20% - Accent2 3 2 2 2 4" xfId="19750" xr:uid="{1654CC71-7BC9-488A-B623-41DF3F1BFD51}"/>
    <cellStyle name="20% - Accent2 3 2 2 2 5" xfId="11309" xr:uid="{6A5B3C74-7FA9-41CC-8669-96F7B42B6620}"/>
    <cellStyle name="20% - Accent2 3 2 2 3" xfId="4932" xr:uid="{00000000-0005-0000-0000-0000F7000000}"/>
    <cellStyle name="20% - Accent2 3 2 2 3 2" xfId="30264" xr:uid="{F4643AE3-C446-494B-8603-C41E8CA5D7FF}"/>
    <cellStyle name="20% - Accent2 3 2 2 3 3" xfId="21823" xr:uid="{4C14AF0E-0CFA-4772-8C99-2550FF0D080F}"/>
    <cellStyle name="20% - Accent2 3 2 2 3 4" xfId="13382" xr:uid="{4C037937-7B9E-4A83-B679-BE6FB5C5F838}"/>
    <cellStyle name="20% - Accent2 3 2 2 4" xfId="26046" xr:uid="{0A215450-79E4-4DB7-9EC3-E3D4D275C7FF}"/>
    <cellStyle name="20% - Accent2 3 2 2 5" xfId="17605" xr:uid="{1FAC5C90-3C1E-475A-A34A-F2E42BDAAA9F}"/>
    <cellStyle name="20% - Accent2 3 2 2 6" xfId="9164" xr:uid="{E59483B4-A70F-4A76-BCBA-82164B17C1D3}"/>
    <cellStyle name="20% - Accent2 3 2 3" xfId="1037" xr:uid="{00000000-0005-0000-0000-0000F8000000}"/>
    <cellStyle name="20% - Accent2 3 2 3 2" xfId="3268" xr:uid="{00000000-0005-0000-0000-0000F9000000}"/>
    <cellStyle name="20% - Accent2 3 2 3 2 2" xfId="7490" xr:uid="{00000000-0005-0000-0000-0000FA000000}"/>
    <cellStyle name="20% - Accent2 3 2 3 2 2 2" xfId="32822" xr:uid="{365F39F9-9677-4357-A472-2D6FCCB1856E}"/>
    <cellStyle name="20% - Accent2 3 2 3 2 2 3" xfId="24381" xr:uid="{28FD2AC8-5FAA-420C-87EA-EC8A7D45AAD4}"/>
    <cellStyle name="20% - Accent2 3 2 3 2 2 4" xfId="15940" xr:uid="{D4A1FF2C-57CE-46EE-9236-DBD8CF331B0B}"/>
    <cellStyle name="20% - Accent2 3 2 3 2 3" xfId="28604" xr:uid="{679B25F7-340F-4F6F-95F5-6127B1EF8DA2}"/>
    <cellStyle name="20% - Accent2 3 2 3 2 4" xfId="20163" xr:uid="{49D80E56-16C4-49DF-8463-70382CB786D8}"/>
    <cellStyle name="20% - Accent2 3 2 3 2 5" xfId="11722" xr:uid="{D0D2E244-B52E-4143-9405-76E4FD0F1170}"/>
    <cellStyle name="20% - Accent2 3 2 3 3" xfId="5345" xr:uid="{00000000-0005-0000-0000-0000FB000000}"/>
    <cellStyle name="20% - Accent2 3 2 3 3 2" xfId="30677" xr:uid="{FB2B73C2-0611-4C41-827D-A02FC16A832C}"/>
    <cellStyle name="20% - Accent2 3 2 3 3 3" xfId="22236" xr:uid="{F94094B6-D95A-43C7-8B96-7FBA02C03C42}"/>
    <cellStyle name="20% - Accent2 3 2 3 3 4" xfId="13795" xr:uid="{3962DFE7-E3C6-4079-A082-53401DE78421}"/>
    <cellStyle name="20% - Accent2 3 2 3 4" xfId="26459" xr:uid="{0C4E0964-B208-42F0-96D4-A4AEE461EB47}"/>
    <cellStyle name="20% - Accent2 3 2 3 5" xfId="18018" xr:uid="{40F8CC16-056F-4F66-9E01-0E1426CA0F21}"/>
    <cellStyle name="20% - Accent2 3 2 3 6" xfId="9577" xr:uid="{3968A82B-EF3C-4BFB-BF62-C32CDDF30FC0}"/>
    <cellStyle name="20% - Accent2 3 2 4" xfId="1451" xr:uid="{00000000-0005-0000-0000-0000FC000000}"/>
    <cellStyle name="20% - Accent2 3 2 4 2" xfId="3681" xr:uid="{00000000-0005-0000-0000-0000FD000000}"/>
    <cellStyle name="20% - Accent2 3 2 4 2 2" xfId="7903" xr:uid="{00000000-0005-0000-0000-0000FE000000}"/>
    <cellStyle name="20% - Accent2 3 2 4 2 2 2" xfId="33235" xr:uid="{6F36BF6B-590F-47EE-A2DA-F0E9C18FA17B}"/>
    <cellStyle name="20% - Accent2 3 2 4 2 2 3" xfId="24794" xr:uid="{4793339E-59FD-4FFA-A5A0-B92FB2AD8F9F}"/>
    <cellStyle name="20% - Accent2 3 2 4 2 2 4" xfId="16353" xr:uid="{841195A6-5EAF-403B-9C84-CF9B59AFB8B5}"/>
    <cellStyle name="20% - Accent2 3 2 4 2 3" xfId="29017" xr:uid="{7090E3A4-84DB-4F1D-AC6C-6E3A9869CA15}"/>
    <cellStyle name="20% - Accent2 3 2 4 2 4" xfId="20576" xr:uid="{B488276F-55C7-4AC1-A249-0E30B96D42B2}"/>
    <cellStyle name="20% - Accent2 3 2 4 2 5" xfId="12135" xr:uid="{BF2575EA-D579-47FD-8412-99816F9122CA}"/>
    <cellStyle name="20% - Accent2 3 2 4 3" xfId="5758" xr:uid="{00000000-0005-0000-0000-0000FF000000}"/>
    <cellStyle name="20% - Accent2 3 2 4 3 2" xfId="31090" xr:uid="{6781BB8E-8B39-46E8-B11B-65B62AFC2013}"/>
    <cellStyle name="20% - Accent2 3 2 4 3 3" xfId="22649" xr:uid="{9023200B-1F22-4A2D-BCCE-50DEBC2B720E}"/>
    <cellStyle name="20% - Accent2 3 2 4 3 4" xfId="14208" xr:uid="{F8CB663F-6975-4764-826C-D33E9FBFA46F}"/>
    <cellStyle name="20% - Accent2 3 2 4 4" xfId="26872" xr:uid="{A562C66C-97EA-4D15-90B9-F0AC8580DE8B}"/>
    <cellStyle name="20% - Accent2 3 2 4 5" xfId="18431" xr:uid="{BF972B77-63B5-411C-9842-870F4CE98E78}"/>
    <cellStyle name="20% - Accent2 3 2 4 6" xfId="9990" xr:uid="{51D5DF6F-4B72-4F51-BF16-459E1861CA42}"/>
    <cellStyle name="20% - Accent2 3 2 5" xfId="1865" xr:uid="{00000000-0005-0000-0000-000000010000}"/>
    <cellStyle name="20% - Accent2 3 2 5 2" xfId="4094" xr:uid="{00000000-0005-0000-0000-000001010000}"/>
    <cellStyle name="20% - Accent2 3 2 5 2 2" xfId="8316" xr:uid="{00000000-0005-0000-0000-000002010000}"/>
    <cellStyle name="20% - Accent2 3 2 5 2 2 2" xfId="33648" xr:uid="{881310CB-BF3D-464D-85D1-D2843F7E8B51}"/>
    <cellStyle name="20% - Accent2 3 2 5 2 2 3" xfId="25207" xr:uid="{6552796A-B49D-427B-899F-3CB85DE4F571}"/>
    <cellStyle name="20% - Accent2 3 2 5 2 2 4" xfId="16766" xr:uid="{C61C7315-FB63-425E-A27A-D685EF39E224}"/>
    <cellStyle name="20% - Accent2 3 2 5 2 3" xfId="29430" xr:uid="{40F26CD1-718C-471E-B05D-1CB981C0443E}"/>
    <cellStyle name="20% - Accent2 3 2 5 2 4" xfId="20989" xr:uid="{875C07C4-6119-42F5-A5A9-A87A2AC84EDB}"/>
    <cellStyle name="20% - Accent2 3 2 5 2 5" xfId="12548" xr:uid="{C2E71CE7-213B-402B-9494-2B299512C639}"/>
    <cellStyle name="20% - Accent2 3 2 5 3" xfId="6171" xr:uid="{00000000-0005-0000-0000-000003010000}"/>
    <cellStyle name="20% - Accent2 3 2 5 3 2" xfId="31503" xr:uid="{CD92232E-953C-469A-B55D-3E37B639D153}"/>
    <cellStyle name="20% - Accent2 3 2 5 3 3" xfId="23062" xr:uid="{19C6A0F0-1AE0-425C-B98D-A34FBC60B1D8}"/>
    <cellStyle name="20% - Accent2 3 2 5 3 4" xfId="14621" xr:uid="{5C136656-53D6-4F53-B439-16B435405175}"/>
    <cellStyle name="20% - Accent2 3 2 5 4" xfId="27285" xr:uid="{EEE6124A-1A8D-4BC8-AD22-EE911ADC910E}"/>
    <cellStyle name="20% - Accent2 3 2 5 5" xfId="18844" xr:uid="{1B0FE033-6AD3-42A1-A852-9D672E855EB5}"/>
    <cellStyle name="20% - Accent2 3 2 5 6" xfId="10403" xr:uid="{637FB91B-9AFB-4881-8A41-623BB3B6880F}"/>
    <cellStyle name="20% - Accent2 3 2 6" xfId="2278" xr:uid="{00000000-0005-0000-0000-000004010000}"/>
    <cellStyle name="20% - Accent2 3 2 6 2" xfId="6584" xr:uid="{00000000-0005-0000-0000-000005010000}"/>
    <cellStyle name="20% - Accent2 3 2 6 2 2" xfId="31916" xr:uid="{095D6F6A-EE40-496C-9FE0-14E69D3BDF8B}"/>
    <cellStyle name="20% - Accent2 3 2 6 2 3" xfId="23475" xr:uid="{9E0E7C94-0BB6-45E2-BC20-E94EDA9B32A8}"/>
    <cellStyle name="20% - Accent2 3 2 6 2 4" xfId="15034" xr:uid="{41FB2055-AE39-4EA5-8F49-69F340CD3469}"/>
    <cellStyle name="20% - Accent2 3 2 6 3" xfId="27698" xr:uid="{3BF2CF20-C0BC-4067-8465-63B671490B98}"/>
    <cellStyle name="20% - Accent2 3 2 6 4" xfId="19257" xr:uid="{1967035F-54C4-431B-A3DF-0C9277335FE4}"/>
    <cellStyle name="20% - Accent2 3 2 6 5" xfId="10816" xr:uid="{ED847647-B70F-4CC1-86E6-FC7142D16A64}"/>
    <cellStyle name="20% - Accent2 3 2 7" xfId="4518" xr:uid="{00000000-0005-0000-0000-000006010000}"/>
    <cellStyle name="20% - Accent2 3 2 7 2" xfId="29850" xr:uid="{A58F3205-0A3E-4A46-AABF-8A467BC85178}"/>
    <cellStyle name="20% - Accent2 3 2 7 3" xfId="21409" xr:uid="{7AC775C0-F048-4944-A92B-5266AF2CD431}"/>
    <cellStyle name="20% - Accent2 3 2 7 4" xfId="12968" xr:uid="{DA40EA00-DA35-4FF8-9612-667EA4A92D40}"/>
    <cellStyle name="20% - Accent2 3 2 8" xfId="25632" xr:uid="{F6A1E045-F8DD-4887-A25E-562E37916B5D}"/>
    <cellStyle name="20% - Accent2 3 2 9" xfId="17191" xr:uid="{D8E49FFD-8A34-4F50-B402-21A2277AA4A0}"/>
    <cellStyle name="20% - Accent2 3 3" xfId="583" xr:uid="{00000000-0005-0000-0000-000007010000}"/>
    <cellStyle name="20% - Accent2 3 3 2" xfId="2854" xr:uid="{00000000-0005-0000-0000-000008010000}"/>
    <cellStyle name="20% - Accent2 3 3 2 2" xfId="7076" xr:uid="{00000000-0005-0000-0000-000009010000}"/>
    <cellStyle name="20% - Accent2 3 3 2 2 2" xfId="32408" xr:uid="{9B4A98AC-B015-41AB-8B9F-D7C9C94AC63E}"/>
    <cellStyle name="20% - Accent2 3 3 2 2 3" xfId="23967" xr:uid="{5D277036-425C-4ED6-A4E2-6882EAF39FB9}"/>
    <cellStyle name="20% - Accent2 3 3 2 2 4" xfId="15526" xr:uid="{9ABA47C7-04FF-4CCD-83B7-4F1E095A328E}"/>
    <cellStyle name="20% - Accent2 3 3 2 3" xfId="28190" xr:uid="{A32DDC78-C6C3-4492-A332-B38B7EDA6E57}"/>
    <cellStyle name="20% - Accent2 3 3 2 4" xfId="19749" xr:uid="{7C77D655-E7A9-4036-ABDA-85D42BE188E7}"/>
    <cellStyle name="20% - Accent2 3 3 2 5" xfId="11308" xr:uid="{BBEDD42D-0A68-4994-A328-8DFCE3C2B1D3}"/>
    <cellStyle name="20% - Accent2 3 3 3" xfId="4931" xr:uid="{00000000-0005-0000-0000-00000A010000}"/>
    <cellStyle name="20% - Accent2 3 3 3 2" xfId="30263" xr:uid="{417312AA-ABCA-4357-BF01-B74A8CA05F1D}"/>
    <cellStyle name="20% - Accent2 3 3 3 3" xfId="21822" xr:uid="{31BEF097-92FC-43A1-8150-05CB0DE0C656}"/>
    <cellStyle name="20% - Accent2 3 3 3 4" xfId="13381" xr:uid="{745EBBD0-CED5-4B24-9CB4-899878360F6F}"/>
    <cellStyle name="20% - Accent2 3 3 4" xfId="26045" xr:uid="{2B4178E5-62BF-44A9-A537-CED34F4A62D1}"/>
    <cellStyle name="20% - Accent2 3 3 5" xfId="17604" xr:uid="{77987FD4-41D7-41F1-9462-ED17434F6265}"/>
    <cellStyle name="20% - Accent2 3 3 6" xfId="9163" xr:uid="{EE7C478B-F9C8-41DC-86DE-7D0E151B93A0}"/>
    <cellStyle name="20% - Accent2 3 4" xfId="1036" xr:uid="{00000000-0005-0000-0000-00000B010000}"/>
    <cellStyle name="20% - Accent2 3 4 2" xfId="3267" xr:uid="{00000000-0005-0000-0000-00000C010000}"/>
    <cellStyle name="20% - Accent2 3 4 2 2" xfId="7489" xr:uid="{00000000-0005-0000-0000-00000D010000}"/>
    <cellStyle name="20% - Accent2 3 4 2 2 2" xfId="32821" xr:uid="{F2A85C3E-62C9-4E0E-8D8E-8B09EB90D035}"/>
    <cellStyle name="20% - Accent2 3 4 2 2 3" xfId="24380" xr:uid="{495D8AC9-A753-47E3-BB0D-36F0E4CC162E}"/>
    <cellStyle name="20% - Accent2 3 4 2 2 4" xfId="15939" xr:uid="{E9C3AB7B-4CBE-457D-B8C2-9316AC067EAD}"/>
    <cellStyle name="20% - Accent2 3 4 2 3" xfId="28603" xr:uid="{022A36B4-23D0-40D1-A0E7-FA04926F5453}"/>
    <cellStyle name="20% - Accent2 3 4 2 4" xfId="20162" xr:uid="{076D7BBA-5A9A-4CED-A4FA-AD789320139B}"/>
    <cellStyle name="20% - Accent2 3 4 2 5" xfId="11721" xr:uid="{388BC036-10BE-4901-97C0-CA47732603ED}"/>
    <cellStyle name="20% - Accent2 3 4 3" xfId="5344" xr:uid="{00000000-0005-0000-0000-00000E010000}"/>
    <cellStyle name="20% - Accent2 3 4 3 2" xfId="30676" xr:uid="{8217427E-59C5-4200-B2DF-723E50F0A77B}"/>
    <cellStyle name="20% - Accent2 3 4 3 3" xfId="22235" xr:uid="{6BE06100-6D3A-419A-B9E3-9706B1AD1B2A}"/>
    <cellStyle name="20% - Accent2 3 4 3 4" xfId="13794" xr:uid="{8FCA70BE-B708-4309-A216-D221ECA228FB}"/>
    <cellStyle name="20% - Accent2 3 4 4" xfId="26458" xr:uid="{0EDA8007-98D5-409F-9999-8307EE8A26C2}"/>
    <cellStyle name="20% - Accent2 3 4 5" xfId="18017" xr:uid="{8E67CCDF-C85A-4543-995B-A0C3B750B2F9}"/>
    <cellStyle name="20% - Accent2 3 4 6" xfId="9576" xr:uid="{B125BF88-0CE5-4A55-A9F9-E34682B38B5C}"/>
    <cellStyle name="20% - Accent2 3 5" xfId="1450" xr:uid="{00000000-0005-0000-0000-00000F010000}"/>
    <cellStyle name="20% - Accent2 3 5 2" xfId="3680" xr:uid="{00000000-0005-0000-0000-000010010000}"/>
    <cellStyle name="20% - Accent2 3 5 2 2" xfId="7902" xr:uid="{00000000-0005-0000-0000-000011010000}"/>
    <cellStyle name="20% - Accent2 3 5 2 2 2" xfId="33234" xr:uid="{FF5A98EC-C5CA-4E4D-9754-0B53E21C9E9C}"/>
    <cellStyle name="20% - Accent2 3 5 2 2 3" xfId="24793" xr:uid="{E3C5EF9F-A657-4D0C-ACCF-F3D475AB3A9B}"/>
    <cellStyle name="20% - Accent2 3 5 2 2 4" xfId="16352" xr:uid="{15BF69C5-B4F0-4629-88DE-8AD92B0FD661}"/>
    <cellStyle name="20% - Accent2 3 5 2 3" xfId="29016" xr:uid="{688DDD63-B0C6-4856-BD35-F5276E329D1B}"/>
    <cellStyle name="20% - Accent2 3 5 2 4" xfId="20575" xr:uid="{6363EF71-AAA1-41F3-A366-5C6D1A531B02}"/>
    <cellStyle name="20% - Accent2 3 5 2 5" xfId="12134" xr:uid="{65C5C1A3-4795-4562-B731-8C53245BD27C}"/>
    <cellStyle name="20% - Accent2 3 5 3" xfId="5757" xr:uid="{00000000-0005-0000-0000-000012010000}"/>
    <cellStyle name="20% - Accent2 3 5 3 2" xfId="31089" xr:uid="{B31B3E80-8459-4E0B-AF59-E64A0D37E645}"/>
    <cellStyle name="20% - Accent2 3 5 3 3" xfId="22648" xr:uid="{94B7EEEE-589E-4084-A206-7D8BF7EDEBA2}"/>
    <cellStyle name="20% - Accent2 3 5 3 4" xfId="14207" xr:uid="{456FBDB3-C4F0-46CF-A52E-137B32851DF5}"/>
    <cellStyle name="20% - Accent2 3 5 4" xfId="26871" xr:uid="{6C671943-9D03-47FA-A3F5-7E2DC373E87D}"/>
    <cellStyle name="20% - Accent2 3 5 5" xfId="18430" xr:uid="{E3452496-E88E-4F38-ADA6-CE0038642F96}"/>
    <cellStyle name="20% - Accent2 3 5 6" xfId="9989" xr:uid="{BE5C6D87-BDDC-4467-9595-97D9DFF05760}"/>
    <cellStyle name="20% - Accent2 3 6" xfId="1864" xr:uid="{00000000-0005-0000-0000-000013010000}"/>
    <cellStyle name="20% - Accent2 3 6 2" xfId="4093" xr:uid="{00000000-0005-0000-0000-000014010000}"/>
    <cellStyle name="20% - Accent2 3 6 2 2" xfId="8315" xr:uid="{00000000-0005-0000-0000-000015010000}"/>
    <cellStyle name="20% - Accent2 3 6 2 2 2" xfId="33647" xr:uid="{BCF42F18-0F8B-4E54-B44B-0A2500F349A3}"/>
    <cellStyle name="20% - Accent2 3 6 2 2 3" xfId="25206" xr:uid="{ECD8262D-2AFC-4DE4-B50A-F90E2F1A19A8}"/>
    <cellStyle name="20% - Accent2 3 6 2 2 4" xfId="16765" xr:uid="{F451FABE-58B2-40D0-8948-73705C785D7A}"/>
    <cellStyle name="20% - Accent2 3 6 2 3" xfId="29429" xr:uid="{CC6FD240-8287-425F-9951-1CCDE8A617DD}"/>
    <cellStyle name="20% - Accent2 3 6 2 4" xfId="20988" xr:uid="{AA56501B-9F6B-4E07-AA8C-A894E3B79525}"/>
    <cellStyle name="20% - Accent2 3 6 2 5" xfId="12547" xr:uid="{D4E4DE64-0F36-40D0-97A0-B03C2ED5D280}"/>
    <cellStyle name="20% - Accent2 3 6 3" xfId="6170" xr:uid="{00000000-0005-0000-0000-000016010000}"/>
    <cellStyle name="20% - Accent2 3 6 3 2" xfId="31502" xr:uid="{8F8EDC64-BD47-46DB-A668-493E00F15D00}"/>
    <cellStyle name="20% - Accent2 3 6 3 3" xfId="23061" xr:uid="{5C29E342-FAC3-40D3-BFE6-9564C1E6F8E4}"/>
    <cellStyle name="20% - Accent2 3 6 3 4" xfId="14620" xr:uid="{FC4654DF-0B1B-405D-BA75-D9766E4F7135}"/>
    <cellStyle name="20% - Accent2 3 6 4" xfId="27284" xr:uid="{01BA4A70-2245-497C-9C9E-CCC864F5F7CE}"/>
    <cellStyle name="20% - Accent2 3 6 5" xfId="18843" xr:uid="{1AB61081-1C08-4E5A-BE99-DED1558194E6}"/>
    <cellStyle name="20% - Accent2 3 6 6" xfId="10402" xr:uid="{6FF0C096-EEB4-4077-A39C-9DE3297E7831}"/>
    <cellStyle name="20% - Accent2 3 7" xfId="2277" xr:uid="{00000000-0005-0000-0000-000017010000}"/>
    <cellStyle name="20% - Accent2 3 7 2" xfId="6583" xr:uid="{00000000-0005-0000-0000-000018010000}"/>
    <cellStyle name="20% - Accent2 3 7 2 2" xfId="31915" xr:uid="{232B3D39-7A49-43E9-ADBD-7E7FAA1EECD3}"/>
    <cellStyle name="20% - Accent2 3 7 2 3" xfId="23474" xr:uid="{96EB3AF8-71D4-4D28-B526-1C7621B11433}"/>
    <cellStyle name="20% - Accent2 3 7 2 4" xfId="15033" xr:uid="{A9CE5DBA-75E8-4DA1-A95E-2468A3E8CBB5}"/>
    <cellStyle name="20% - Accent2 3 7 3" xfId="27697" xr:uid="{A77D9E85-78CC-4B9D-82D8-E4E47B43D645}"/>
    <cellStyle name="20% - Accent2 3 7 4" xfId="19256" xr:uid="{6670C606-1772-4C72-89F8-B1271558979E}"/>
    <cellStyle name="20% - Accent2 3 7 5" xfId="10815" xr:uid="{A1E354C4-1CAA-49EC-BF6F-2062C11E2A86}"/>
    <cellStyle name="20% - Accent2 3 8" xfId="4517" xr:uid="{00000000-0005-0000-0000-000019010000}"/>
    <cellStyle name="20% - Accent2 3 8 2" xfId="29849" xr:uid="{F9A9216C-D007-4A07-A318-2EA593AF7B66}"/>
    <cellStyle name="20% - Accent2 3 8 3" xfId="21408" xr:uid="{4F03BC03-4651-4DC6-9EFC-7A557C1DD061}"/>
    <cellStyle name="20% - Accent2 3 8 4" xfId="12967" xr:uid="{407D450F-8103-4C58-BD5D-EF9C5525614F}"/>
    <cellStyle name="20% - Accent2 3 9" xfId="25631" xr:uid="{09851734-1195-4FFD-8211-74C3F91F057E}"/>
    <cellStyle name="20% - Accent2 4" xfId="16" xr:uid="{00000000-0005-0000-0000-00001A010000}"/>
    <cellStyle name="20% - Accent2 4 10" xfId="8751" xr:uid="{2909D431-566F-46AE-BA87-ECBDD687DD46}"/>
    <cellStyle name="20% - Accent2 4 2" xfId="585" xr:uid="{00000000-0005-0000-0000-00001B010000}"/>
    <cellStyle name="20% - Accent2 4 2 2" xfId="2856" xr:uid="{00000000-0005-0000-0000-00001C010000}"/>
    <cellStyle name="20% - Accent2 4 2 2 2" xfId="7078" xr:uid="{00000000-0005-0000-0000-00001D010000}"/>
    <cellStyle name="20% - Accent2 4 2 2 2 2" xfId="32410" xr:uid="{FBF07FD7-A2A7-4EA6-A596-2A42354BBB58}"/>
    <cellStyle name="20% - Accent2 4 2 2 2 3" xfId="23969" xr:uid="{4F357928-879A-4D3C-B3EF-347F0A362E73}"/>
    <cellStyle name="20% - Accent2 4 2 2 2 4" xfId="15528" xr:uid="{592E305B-E57C-46EB-BBE4-31C60F808053}"/>
    <cellStyle name="20% - Accent2 4 2 2 3" xfId="28192" xr:uid="{8BD97100-B0E8-4F9F-8B48-F64175A53316}"/>
    <cellStyle name="20% - Accent2 4 2 2 4" xfId="19751" xr:uid="{8A6800E9-6C9F-4D2C-99F6-E6239FFB3D8B}"/>
    <cellStyle name="20% - Accent2 4 2 2 5" xfId="11310" xr:uid="{94A12615-A9B9-45AF-8A2B-A6635C0C90D0}"/>
    <cellStyle name="20% - Accent2 4 2 3" xfId="4933" xr:uid="{00000000-0005-0000-0000-00001E010000}"/>
    <cellStyle name="20% - Accent2 4 2 3 2" xfId="30265" xr:uid="{96A4C862-9AD1-4842-9B7C-F3A39B0974C6}"/>
    <cellStyle name="20% - Accent2 4 2 3 3" xfId="21824" xr:uid="{3E5630B6-6B97-4C37-9ACD-07832EAB0A12}"/>
    <cellStyle name="20% - Accent2 4 2 3 4" xfId="13383" xr:uid="{857D9BC3-FA93-4046-911E-AF5105FFD67E}"/>
    <cellStyle name="20% - Accent2 4 2 4" xfId="26047" xr:uid="{3F7954E6-653F-4675-8C45-D01EDFE1317C}"/>
    <cellStyle name="20% - Accent2 4 2 5" xfId="17606" xr:uid="{DBC9BF08-44FE-4CA1-ADA8-EE2E13BD2F12}"/>
    <cellStyle name="20% - Accent2 4 2 6" xfId="9165" xr:uid="{FE6D2953-D248-4B55-9967-69B375800756}"/>
    <cellStyle name="20% - Accent2 4 3" xfId="1038" xr:uid="{00000000-0005-0000-0000-00001F010000}"/>
    <cellStyle name="20% - Accent2 4 3 2" xfId="3269" xr:uid="{00000000-0005-0000-0000-000020010000}"/>
    <cellStyle name="20% - Accent2 4 3 2 2" xfId="7491" xr:uid="{00000000-0005-0000-0000-000021010000}"/>
    <cellStyle name="20% - Accent2 4 3 2 2 2" xfId="32823" xr:uid="{A7638281-0440-4C1C-8069-692725DD8018}"/>
    <cellStyle name="20% - Accent2 4 3 2 2 3" xfId="24382" xr:uid="{B3277026-2159-4883-A39C-62802648443C}"/>
    <cellStyle name="20% - Accent2 4 3 2 2 4" xfId="15941" xr:uid="{2ED7563B-1ADE-42A8-8426-D553E7FFAB82}"/>
    <cellStyle name="20% - Accent2 4 3 2 3" xfId="28605" xr:uid="{11E48609-F280-4D90-82FF-DA4CB41665D6}"/>
    <cellStyle name="20% - Accent2 4 3 2 4" xfId="20164" xr:uid="{D9CBAFF2-E33B-4857-AB0C-3CAD75A2564A}"/>
    <cellStyle name="20% - Accent2 4 3 2 5" xfId="11723" xr:uid="{AAEBB936-529E-441A-AAA1-F05C50E1028C}"/>
    <cellStyle name="20% - Accent2 4 3 3" xfId="5346" xr:uid="{00000000-0005-0000-0000-000022010000}"/>
    <cellStyle name="20% - Accent2 4 3 3 2" xfId="30678" xr:uid="{1C811F5E-28D2-4819-A4A1-9DE02E3E2EEF}"/>
    <cellStyle name="20% - Accent2 4 3 3 3" xfId="22237" xr:uid="{4580B8CD-8AD4-4465-9C45-1DF134BB32F9}"/>
    <cellStyle name="20% - Accent2 4 3 3 4" xfId="13796" xr:uid="{63C6BAA7-1FE5-462C-BADB-0C128EF5A903}"/>
    <cellStyle name="20% - Accent2 4 3 4" xfId="26460" xr:uid="{56903B26-D80D-4A39-B290-D6E44C3D257E}"/>
    <cellStyle name="20% - Accent2 4 3 5" xfId="18019" xr:uid="{85B81D19-5DFE-48E7-AA99-A4C90A7F49C8}"/>
    <cellStyle name="20% - Accent2 4 3 6" xfId="9578" xr:uid="{5D624E00-146B-4D39-8223-79FCAF68B764}"/>
    <cellStyle name="20% - Accent2 4 4" xfId="1452" xr:uid="{00000000-0005-0000-0000-000023010000}"/>
    <cellStyle name="20% - Accent2 4 4 2" xfId="3682" xr:uid="{00000000-0005-0000-0000-000024010000}"/>
    <cellStyle name="20% - Accent2 4 4 2 2" xfId="7904" xr:uid="{00000000-0005-0000-0000-000025010000}"/>
    <cellStyle name="20% - Accent2 4 4 2 2 2" xfId="33236" xr:uid="{7C7DCBBF-BAE8-43D3-9995-E2211894F675}"/>
    <cellStyle name="20% - Accent2 4 4 2 2 3" xfId="24795" xr:uid="{E092BD60-643C-46A1-8AA0-C0DEC030E635}"/>
    <cellStyle name="20% - Accent2 4 4 2 2 4" xfId="16354" xr:uid="{0982582E-6488-4E5F-8BB4-223AF88C3257}"/>
    <cellStyle name="20% - Accent2 4 4 2 3" xfId="29018" xr:uid="{47D759B3-9753-48F8-B0AC-3C191A2949E3}"/>
    <cellStyle name="20% - Accent2 4 4 2 4" xfId="20577" xr:uid="{01500A86-8168-426E-B3CA-D9377BF221F7}"/>
    <cellStyle name="20% - Accent2 4 4 2 5" xfId="12136" xr:uid="{54422135-E640-4BED-BF0C-0A44B4FDB12B}"/>
    <cellStyle name="20% - Accent2 4 4 3" xfId="5759" xr:uid="{00000000-0005-0000-0000-000026010000}"/>
    <cellStyle name="20% - Accent2 4 4 3 2" xfId="31091" xr:uid="{DD1AC337-7094-4099-B4A0-1DBD1A92151F}"/>
    <cellStyle name="20% - Accent2 4 4 3 3" xfId="22650" xr:uid="{F10F8199-4B5E-433C-B651-5F9DE4F165AD}"/>
    <cellStyle name="20% - Accent2 4 4 3 4" xfId="14209" xr:uid="{4214D161-C98C-4F18-A17F-AE284DA86028}"/>
    <cellStyle name="20% - Accent2 4 4 4" xfId="26873" xr:uid="{7CBBB1AC-37C5-40E4-ADFE-B69DB84EAB95}"/>
    <cellStyle name="20% - Accent2 4 4 5" xfId="18432" xr:uid="{B91825CC-4D3E-4D5C-AEB1-685F878600B2}"/>
    <cellStyle name="20% - Accent2 4 4 6" xfId="9991" xr:uid="{97E5EBEC-9C34-467C-A3A7-5F1814FDDA11}"/>
    <cellStyle name="20% - Accent2 4 5" xfId="1866" xr:uid="{00000000-0005-0000-0000-000027010000}"/>
    <cellStyle name="20% - Accent2 4 5 2" xfId="4095" xr:uid="{00000000-0005-0000-0000-000028010000}"/>
    <cellStyle name="20% - Accent2 4 5 2 2" xfId="8317" xr:uid="{00000000-0005-0000-0000-000029010000}"/>
    <cellStyle name="20% - Accent2 4 5 2 2 2" xfId="33649" xr:uid="{EC493777-FC73-44B0-9C5B-A0A7BF6655D1}"/>
    <cellStyle name="20% - Accent2 4 5 2 2 3" xfId="25208" xr:uid="{097E073C-0F0E-4327-8FE1-DC99EF1057E0}"/>
    <cellStyle name="20% - Accent2 4 5 2 2 4" xfId="16767" xr:uid="{1336E295-2E2B-41CA-ABDE-D554E1C59074}"/>
    <cellStyle name="20% - Accent2 4 5 2 3" xfId="29431" xr:uid="{46A9AEC6-4CFA-464F-9B3B-4E23D716521C}"/>
    <cellStyle name="20% - Accent2 4 5 2 4" xfId="20990" xr:uid="{3AEC05B0-85FA-4E1A-8F79-F8F217C6F4DA}"/>
    <cellStyle name="20% - Accent2 4 5 2 5" xfId="12549" xr:uid="{5D383506-0941-4AA4-9A0B-B0B37B00476A}"/>
    <cellStyle name="20% - Accent2 4 5 3" xfId="6172" xr:uid="{00000000-0005-0000-0000-00002A010000}"/>
    <cellStyle name="20% - Accent2 4 5 3 2" xfId="31504" xr:uid="{F9AAFDE4-6591-4666-B298-A29CED51C739}"/>
    <cellStyle name="20% - Accent2 4 5 3 3" xfId="23063" xr:uid="{AF967982-4DA0-46E6-87C8-3E3767001AD0}"/>
    <cellStyle name="20% - Accent2 4 5 3 4" xfId="14622" xr:uid="{AB2E32C2-942E-4CFE-ABE8-9902AF8FA5B3}"/>
    <cellStyle name="20% - Accent2 4 5 4" xfId="27286" xr:uid="{57CCAD9D-5375-480C-AED7-4ECECD097985}"/>
    <cellStyle name="20% - Accent2 4 5 5" xfId="18845" xr:uid="{595BE6B5-C82B-42AF-9124-3C2EC2E0719B}"/>
    <cellStyle name="20% - Accent2 4 5 6" xfId="10404" xr:uid="{AE2220AF-DB1F-4E8B-B7BE-F36648477660}"/>
    <cellStyle name="20% - Accent2 4 6" xfId="2279" xr:uid="{00000000-0005-0000-0000-00002B010000}"/>
    <cellStyle name="20% - Accent2 4 6 2" xfId="6585" xr:uid="{00000000-0005-0000-0000-00002C010000}"/>
    <cellStyle name="20% - Accent2 4 6 2 2" xfId="31917" xr:uid="{4469AF9D-14D3-4C3B-B8EA-F37E0BC706E1}"/>
    <cellStyle name="20% - Accent2 4 6 2 3" xfId="23476" xr:uid="{3C48CB7A-E3A6-4D1C-A7C2-9BFC5A208DE5}"/>
    <cellStyle name="20% - Accent2 4 6 2 4" xfId="15035" xr:uid="{132C4E63-7FD6-40B5-AEEC-E50DCAE611C8}"/>
    <cellStyle name="20% - Accent2 4 6 3" xfId="27699" xr:uid="{7592D602-45A3-4443-A1C0-A3FC0F6F0FA9}"/>
    <cellStyle name="20% - Accent2 4 6 4" xfId="19258" xr:uid="{CA97BBCD-B22F-4414-B796-0692F706FB46}"/>
    <cellStyle name="20% - Accent2 4 6 5" xfId="10817" xr:uid="{E84AAA6C-529D-4E0F-A418-9C800C4372CD}"/>
    <cellStyle name="20% - Accent2 4 7" xfId="4519" xr:uid="{00000000-0005-0000-0000-00002D010000}"/>
    <cellStyle name="20% - Accent2 4 7 2" xfId="29851" xr:uid="{45D9C891-1BDD-4AF9-948E-43AB8E96491D}"/>
    <cellStyle name="20% - Accent2 4 7 3" xfId="21410" xr:uid="{5C78DDEC-583A-4EA0-A458-121EA3B62B50}"/>
    <cellStyle name="20% - Accent2 4 7 4" xfId="12969" xr:uid="{C4945E0B-291D-4112-8A84-C4234F925D54}"/>
    <cellStyle name="20% - Accent2 4 8" xfId="25633" xr:uid="{CE9FD3F0-6357-43D6-83C4-969E0A3891B5}"/>
    <cellStyle name="20% - Accent2 4 9" xfId="17192" xr:uid="{7CDF7E6A-2F6B-4D17-9B46-E331C9B3945D}"/>
    <cellStyle name="20% - Accent2 5" xfId="578" xr:uid="{00000000-0005-0000-0000-00002E010000}"/>
    <cellStyle name="20% - Accent2 5 2" xfId="2849" xr:uid="{00000000-0005-0000-0000-00002F010000}"/>
    <cellStyle name="20% - Accent2 5 2 2" xfId="7071" xr:uid="{00000000-0005-0000-0000-000030010000}"/>
    <cellStyle name="20% - Accent2 5 2 2 2" xfId="32403" xr:uid="{65855CB0-6E87-4A07-BE32-A6926CB838AC}"/>
    <cellStyle name="20% - Accent2 5 2 2 3" xfId="23962" xr:uid="{8A7635C5-D3C8-4C6F-AA52-DE256BE2F2F8}"/>
    <cellStyle name="20% - Accent2 5 2 2 4" xfId="15521" xr:uid="{133A935B-29EF-4707-B62C-9E18949EFBB3}"/>
    <cellStyle name="20% - Accent2 5 2 3" xfId="28185" xr:uid="{5FF7FE1A-B19F-4184-B3D1-008CB985CAA6}"/>
    <cellStyle name="20% - Accent2 5 2 4" xfId="19744" xr:uid="{654D55AF-EE77-48AF-84BB-5D41772B6931}"/>
    <cellStyle name="20% - Accent2 5 2 5" xfId="11303" xr:uid="{A519E495-6175-467F-88C6-B02986C22726}"/>
    <cellStyle name="20% - Accent2 5 3" xfId="4926" xr:uid="{00000000-0005-0000-0000-000031010000}"/>
    <cellStyle name="20% - Accent2 5 3 2" xfId="30258" xr:uid="{FFA247B3-33D7-4E2F-8C07-4B73467C5DAC}"/>
    <cellStyle name="20% - Accent2 5 3 3" xfId="21817" xr:uid="{F9C486E3-F001-43EE-AE11-295896368BDF}"/>
    <cellStyle name="20% - Accent2 5 3 4" xfId="13376" xr:uid="{CF1DF079-A425-4EF0-9805-EEF90AB11566}"/>
    <cellStyle name="20% - Accent2 5 4" xfId="26040" xr:uid="{AEB7B84E-F6EF-47EE-8835-9EDA455376AE}"/>
    <cellStyle name="20% - Accent2 5 5" xfId="17599" xr:uid="{55D3C569-8D94-4A63-BAD2-07504EEAE693}"/>
    <cellStyle name="20% - Accent2 5 6" xfId="9158" xr:uid="{F0793345-0A50-4768-9465-3938F4F56255}"/>
    <cellStyle name="20% - Accent2 6" xfId="1031" xr:uid="{00000000-0005-0000-0000-000032010000}"/>
    <cellStyle name="20% - Accent2 6 2" xfId="3262" xr:uid="{00000000-0005-0000-0000-000033010000}"/>
    <cellStyle name="20% - Accent2 6 2 2" xfId="7484" xr:uid="{00000000-0005-0000-0000-000034010000}"/>
    <cellStyle name="20% - Accent2 6 2 2 2" xfId="32816" xr:uid="{D0933ED5-DE1D-4C0A-B87E-9B413FB7FD5F}"/>
    <cellStyle name="20% - Accent2 6 2 2 3" xfId="24375" xr:uid="{20C1A46F-DFA3-49A9-92FA-46AFDC3864EE}"/>
    <cellStyle name="20% - Accent2 6 2 2 4" xfId="15934" xr:uid="{0E20DE81-DA82-4093-9875-7EBE8A310709}"/>
    <cellStyle name="20% - Accent2 6 2 3" xfId="28598" xr:uid="{128B7D1D-0730-4DDE-969A-25FDAE317289}"/>
    <cellStyle name="20% - Accent2 6 2 4" xfId="20157" xr:uid="{A92E7178-DC67-47ED-BC51-07BC8F780FE9}"/>
    <cellStyle name="20% - Accent2 6 2 5" xfId="11716" xr:uid="{2E3B43DB-4617-407B-88ED-92E3792ACC26}"/>
    <cellStyle name="20% - Accent2 6 3" xfId="5339" xr:uid="{00000000-0005-0000-0000-000035010000}"/>
    <cellStyle name="20% - Accent2 6 3 2" xfId="30671" xr:uid="{59485813-CE2E-404D-8DC0-C5E12CC4C6FF}"/>
    <cellStyle name="20% - Accent2 6 3 3" xfId="22230" xr:uid="{07CDDB61-1677-44F0-998C-63AA82342606}"/>
    <cellStyle name="20% - Accent2 6 3 4" xfId="13789" xr:uid="{D709AB85-9FEE-49E5-A92A-49E6AF52715D}"/>
    <cellStyle name="20% - Accent2 6 4" xfId="26453" xr:uid="{9AC9E1E6-4666-4D92-8F21-1044A67D9A54}"/>
    <cellStyle name="20% - Accent2 6 5" xfId="18012" xr:uid="{C4B708D1-C9FC-4C7B-96DA-8E1DFCF907BE}"/>
    <cellStyle name="20% - Accent2 6 6" xfId="9571" xr:uid="{69A66DC9-E261-4811-BB15-965ABB601B0D}"/>
    <cellStyle name="20% - Accent2 7" xfId="1445" xr:uid="{00000000-0005-0000-0000-000036010000}"/>
    <cellStyle name="20% - Accent2 7 2" xfId="3675" xr:uid="{00000000-0005-0000-0000-000037010000}"/>
    <cellStyle name="20% - Accent2 7 2 2" xfId="7897" xr:uid="{00000000-0005-0000-0000-000038010000}"/>
    <cellStyle name="20% - Accent2 7 2 2 2" xfId="33229" xr:uid="{7AC91394-A086-463E-A983-837D4BA95C2C}"/>
    <cellStyle name="20% - Accent2 7 2 2 3" xfId="24788" xr:uid="{D094F354-E227-4BD2-B41C-B428FF3204EE}"/>
    <cellStyle name="20% - Accent2 7 2 2 4" xfId="16347" xr:uid="{E7A2B527-62DF-4C68-87A8-1C5109E70E2A}"/>
    <cellStyle name="20% - Accent2 7 2 3" xfId="29011" xr:uid="{55F9D8E6-6F94-4414-B930-02056EE10538}"/>
    <cellStyle name="20% - Accent2 7 2 4" xfId="20570" xr:uid="{462BAAD0-4FDF-4DC8-B6D7-BC1D41101DF6}"/>
    <cellStyle name="20% - Accent2 7 2 5" xfId="12129" xr:uid="{9E44D510-1C41-47C1-8300-7333BEDBBC0F}"/>
    <cellStyle name="20% - Accent2 7 3" xfId="5752" xr:uid="{00000000-0005-0000-0000-000039010000}"/>
    <cellStyle name="20% - Accent2 7 3 2" xfId="31084" xr:uid="{DBDCBA5D-29FB-4004-84CD-7E2F47996CA5}"/>
    <cellStyle name="20% - Accent2 7 3 3" xfId="22643" xr:uid="{106304B5-B097-4E71-AB64-AADEEC88ED5C}"/>
    <cellStyle name="20% - Accent2 7 3 4" xfId="14202" xr:uid="{549B6FE2-99BC-49BB-B599-B55CD2657731}"/>
    <cellStyle name="20% - Accent2 7 4" xfId="26866" xr:uid="{129CC3E6-BC8B-4CEB-A05C-C36F9AA0AE3B}"/>
    <cellStyle name="20% - Accent2 7 5" xfId="18425" xr:uid="{3F5F6EF5-276D-481C-AF15-A11F4DDF591E}"/>
    <cellStyle name="20% - Accent2 7 6" xfId="9984" xr:uid="{1F400D47-5FFB-4045-8EA3-4A2D798BBF4D}"/>
    <cellStyle name="20% - Accent2 8" xfId="1859" xr:uid="{00000000-0005-0000-0000-00003A010000}"/>
    <cellStyle name="20% - Accent2 8 2" xfId="4088" xr:uid="{00000000-0005-0000-0000-00003B010000}"/>
    <cellStyle name="20% - Accent2 8 2 2" xfId="8310" xr:uid="{00000000-0005-0000-0000-00003C010000}"/>
    <cellStyle name="20% - Accent2 8 2 2 2" xfId="33642" xr:uid="{3C5E215E-94AD-4A0C-8BB9-FBB788FD5108}"/>
    <cellStyle name="20% - Accent2 8 2 2 3" xfId="25201" xr:uid="{3D8A2A40-4F5D-48DF-868D-B7A309B68365}"/>
    <cellStyle name="20% - Accent2 8 2 2 4" xfId="16760" xr:uid="{E25FCFC6-4843-4305-8DB3-093CA087FD46}"/>
    <cellStyle name="20% - Accent2 8 2 3" xfId="29424" xr:uid="{EE8548DE-471F-4FCD-9846-541B46E26566}"/>
    <cellStyle name="20% - Accent2 8 2 4" xfId="20983" xr:uid="{9A7A4881-5B7D-4AA1-A325-3B62ECB26B41}"/>
    <cellStyle name="20% - Accent2 8 2 5" xfId="12542" xr:uid="{F8F5ED30-FF6A-4F2D-B001-A3F1037315F7}"/>
    <cellStyle name="20% - Accent2 8 3" xfId="6165" xr:uid="{00000000-0005-0000-0000-00003D010000}"/>
    <cellStyle name="20% - Accent2 8 3 2" xfId="31497" xr:uid="{35D0349E-1CC8-4A4D-B884-B9B94677478C}"/>
    <cellStyle name="20% - Accent2 8 3 3" xfId="23056" xr:uid="{B0EC9E4F-1892-4F69-A97B-5FFD1203B01A}"/>
    <cellStyle name="20% - Accent2 8 3 4" xfId="14615" xr:uid="{9BE3801C-BDA2-46A4-AE5E-4013CE236B92}"/>
    <cellStyle name="20% - Accent2 8 4" xfId="27279" xr:uid="{FD4F40CE-A9A2-4257-9A15-3F7AFFB42469}"/>
    <cellStyle name="20% - Accent2 8 5" xfId="18838" xr:uid="{C246F2CF-9423-4E14-9D48-39D74DB724C7}"/>
    <cellStyle name="20% - Accent2 8 6" xfId="10397" xr:uid="{D7DE1006-D28C-45A0-A504-4AD49DC73B4E}"/>
    <cellStyle name="20% - Accent2 9" xfId="2272" xr:uid="{00000000-0005-0000-0000-00003E010000}"/>
    <cellStyle name="20% - Accent2 9 2" xfId="6578" xr:uid="{00000000-0005-0000-0000-00003F010000}"/>
    <cellStyle name="20% - Accent2 9 2 2" xfId="31910" xr:uid="{768ACEF1-FA15-4E87-B7F4-01CA528146B6}"/>
    <cellStyle name="20% - Accent2 9 2 3" xfId="23469" xr:uid="{85FE24EA-1606-498E-AA7C-B037081B5F27}"/>
    <cellStyle name="20% - Accent2 9 2 4" xfId="15028" xr:uid="{6ADE3AEE-436D-4A33-99FD-B85F9E929327}"/>
    <cellStyle name="20% - Accent2 9 3" xfId="27692" xr:uid="{3C39AA8B-1AE2-4DD5-95D0-6E7D89D329B6}"/>
    <cellStyle name="20% - Accent2 9 4" xfId="19251" xr:uid="{DB6181E6-B64E-4EC3-8F55-0ABB9EF6E095}"/>
    <cellStyle name="20% - Accent2 9 5" xfId="10810" xr:uid="{53DD6E11-ED66-4556-AF95-5E354301A64C}"/>
    <cellStyle name="20% - Accent3" xfId="17" builtinId="38" customBuiltin="1"/>
    <cellStyle name="20% - Accent3 10" xfId="4520" xr:uid="{00000000-0005-0000-0000-000041010000}"/>
    <cellStyle name="20% - Accent3 10 2" xfId="29852" xr:uid="{2CF8E7F8-03E8-4E1C-9F2C-BCEFF495296B}"/>
    <cellStyle name="20% - Accent3 10 3" xfId="21411" xr:uid="{2956FBE6-08C8-4B17-BD94-F0FE461D7634}"/>
    <cellStyle name="20% - Accent3 10 4" xfId="12970" xr:uid="{A6B855DD-8F38-4E5C-93D6-C57D9B267E57}"/>
    <cellStyle name="20% - Accent3 11" xfId="25634" xr:uid="{CC49EF68-865F-4320-96D9-32783BB8156D}"/>
    <cellStyle name="20% - Accent3 12" xfId="17193" xr:uid="{CD523A66-B25E-459D-886F-3E7A7530C152}"/>
    <cellStyle name="20% - Accent3 13" xfId="8752" xr:uid="{5B8E0543-58A1-4ABF-8B37-4434A2989A45}"/>
    <cellStyle name="20% - Accent3 2" xfId="18" xr:uid="{00000000-0005-0000-0000-000042010000}"/>
    <cellStyle name="20% - Accent3 2 10" xfId="25635" xr:uid="{A5893C0E-644A-40F6-87E0-812E1132663C}"/>
    <cellStyle name="20% - Accent3 2 11" xfId="17194" xr:uid="{5A8C24C3-D651-4419-8A02-75699F208881}"/>
    <cellStyle name="20% - Accent3 2 12" xfId="8753" xr:uid="{3A867459-3A6F-42FE-A376-EBA86C4E71C5}"/>
    <cellStyle name="20% - Accent3 2 2" xfId="19" xr:uid="{00000000-0005-0000-0000-000043010000}"/>
    <cellStyle name="20% - Accent3 2 2 10" xfId="17195" xr:uid="{A824A9E2-645F-4806-9E68-C47792B71993}"/>
    <cellStyle name="20% - Accent3 2 2 11" xfId="8754" xr:uid="{737F3EBD-F7EA-4F08-9161-2F6EFCCC51CD}"/>
    <cellStyle name="20% - Accent3 2 2 2" xfId="20" xr:uid="{00000000-0005-0000-0000-000044010000}"/>
    <cellStyle name="20% - Accent3 2 2 2 10" xfId="8755" xr:uid="{D089815D-0287-4769-8B1F-2C04897D683B}"/>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2 2 2" xfId="32414" xr:uid="{532341AE-CE7A-498D-96FD-36D570D89E63}"/>
    <cellStyle name="20% - Accent3 2 2 2 2 2 2 3" xfId="23973" xr:uid="{11E06DF3-F7CC-47EE-B771-554777376797}"/>
    <cellStyle name="20% - Accent3 2 2 2 2 2 2 4" xfId="15532" xr:uid="{42F1D83A-0FFB-4983-AE1B-57B494EB0531}"/>
    <cellStyle name="20% - Accent3 2 2 2 2 2 3" xfId="28196" xr:uid="{83F07207-DAE7-4256-A2D9-2639A256678D}"/>
    <cellStyle name="20% - Accent3 2 2 2 2 2 4" xfId="19755" xr:uid="{2DF4E35E-F10B-4561-9304-EEAAF2285CB6}"/>
    <cellStyle name="20% - Accent3 2 2 2 2 2 5" xfId="11314" xr:uid="{B41420E3-49E6-4C60-A8F6-827A7D47781A}"/>
    <cellStyle name="20% - Accent3 2 2 2 2 3" xfId="4937" xr:uid="{00000000-0005-0000-0000-000048010000}"/>
    <cellStyle name="20% - Accent3 2 2 2 2 3 2" xfId="30269" xr:uid="{30AFE4F8-FE64-4B29-82F7-DC08D9A58E69}"/>
    <cellStyle name="20% - Accent3 2 2 2 2 3 3" xfId="21828" xr:uid="{C9A32F91-50C5-4312-8D46-E6B5B6A54125}"/>
    <cellStyle name="20% - Accent3 2 2 2 2 3 4" xfId="13387" xr:uid="{AA43657F-196A-4D19-84F2-7D495201720A}"/>
    <cellStyle name="20% - Accent3 2 2 2 2 4" xfId="26051" xr:uid="{A1EC23A5-9D6F-41BC-9C08-3044D51E9788}"/>
    <cellStyle name="20% - Accent3 2 2 2 2 5" xfId="17610" xr:uid="{70A4309C-4805-4B1B-BD06-53FF4E0199AF}"/>
    <cellStyle name="20% - Accent3 2 2 2 2 6" xfId="9169" xr:uid="{CD81B511-5472-4C42-959C-4139FD3782F6}"/>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2 2 2" xfId="32827" xr:uid="{1C935F3D-F421-49EE-855B-21F209CB26F6}"/>
    <cellStyle name="20% - Accent3 2 2 2 3 2 2 3" xfId="24386" xr:uid="{E6CC5EFD-637F-4927-A71C-D20F5545FF7A}"/>
    <cellStyle name="20% - Accent3 2 2 2 3 2 2 4" xfId="15945" xr:uid="{BE926A40-6BEB-4AAA-B7CD-46C87763FD45}"/>
    <cellStyle name="20% - Accent3 2 2 2 3 2 3" xfId="28609" xr:uid="{09E8F499-2828-4B60-82CE-8EA7FFE65A8F}"/>
    <cellStyle name="20% - Accent3 2 2 2 3 2 4" xfId="20168" xr:uid="{15179BD3-348B-4039-BD1B-3B0848E1E673}"/>
    <cellStyle name="20% - Accent3 2 2 2 3 2 5" xfId="11727" xr:uid="{3B3E23F0-0AB2-4D85-BB4C-E3AEC1E1A9FF}"/>
    <cellStyle name="20% - Accent3 2 2 2 3 3" xfId="5350" xr:uid="{00000000-0005-0000-0000-00004C010000}"/>
    <cellStyle name="20% - Accent3 2 2 2 3 3 2" xfId="30682" xr:uid="{752AAB05-69F3-4BDD-8205-90C9E2DD7A60}"/>
    <cellStyle name="20% - Accent3 2 2 2 3 3 3" xfId="22241" xr:uid="{7238E98E-0975-4A56-878A-BDB2E0263B8F}"/>
    <cellStyle name="20% - Accent3 2 2 2 3 3 4" xfId="13800" xr:uid="{C48F024A-9940-48EC-9FAC-47F1CD147868}"/>
    <cellStyle name="20% - Accent3 2 2 2 3 4" xfId="26464" xr:uid="{32389CBB-8666-45A9-BBCB-DD8638C63B7B}"/>
    <cellStyle name="20% - Accent3 2 2 2 3 5" xfId="18023" xr:uid="{86EC08A3-D51D-4C1D-B6DC-91CF212E3B8E}"/>
    <cellStyle name="20% - Accent3 2 2 2 3 6" xfId="9582" xr:uid="{1DF54C00-995D-49F2-AC29-9A8A859FDA5D}"/>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2 2 2" xfId="33240" xr:uid="{68A05898-A887-4AE2-8D4B-2572AB3B4863}"/>
    <cellStyle name="20% - Accent3 2 2 2 4 2 2 3" xfId="24799" xr:uid="{CE553593-9342-4805-80F0-F12A6FEF42BC}"/>
    <cellStyle name="20% - Accent3 2 2 2 4 2 2 4" xfId="16358" xr:uid="{808F1539-5428-40C3-B84C-4FC8F91B7122}"/>
    <cellStyle name="20% - Accent3 2 2 2 4 2 3" xfId="29022" xr:uid="{5C2BEBC4-CC25-450A-A18E-E6BE4578A717}"/>
    <cellStyle name="20% - Accent3 2 2 2 4 2 4" xfId="20581" xr:uid="{3F9E48C4-740F-4D82-954E-78B7B713310D}"/>
    <cellStyle name="20% - Accent3 2 2 2 4 2 5" xfId="12140" xr:uid="{D74A5219-A4FC-41B5-A999-C1DDCAABF368}"/>
    <cellStyle name="20% - Accent3 2 2 2 4 3" xfId="5763" xr:uid="{00000000-0005-0000-0000-000050010000}"/>
    <cellStyle name="20% - Accent3 2 2 2 4 3 2" xfId="31095" xr:uid="{44B9CFB1-53E8-4525-862D-B31DED96E864}"/>
    <cellStyle name="20% - Accent3 2 2 2 4 3 3" xfId="22654" xr:uid="{E91BEE7E-0E5A-461A-B4E1-58652775FD22}"/>
    <cellStyle name="20% - Accent3 2 2 2 4 3 4" xfId="14213" xr:uid="{9CD9BEAA-7B7A-4510-95B6-2412EE76859A}"/>
    <cellStyle name="20% - Accent3 2 2 2 4 4" xfId="26877" xr:uid="{AADAB953-7D45-434F-ACA0-0E9271CC4935}"/>
    <cellStyle name="20% - Accent3 2 2 2 4 5" xfId="18436" xr:uid="{6810E4F8-8121-4D88-90A0-D5DD48FE0BEA}"/>
    <cellStyle name="20% - Accent3 2 2 2 4 6" xfId="9995" xr:uid="{9C305B9A-5A2E-4477-8792-62521BD2EB25}"/>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2 2 2" xfId="33653" xr:uid="{B495D231-78C0-4FE7-BFF5-23FA375510CA}"/>
    <cellStyle name="20% - Accent3 2 2 2 5 2 2 3" xfId="25212" xr:uid="{507C200C-47CF-4BB6-9DF1-7A1F7DD16632}"/>
    <cellStyle name="20% - Accent3 2 2 2 5 2 2 4" xfId="16771" xr:uid="{AC7CC5DF-BB85-42B2-AA36-2B245DE187EB}"/>
    <cellStyle name="20% - Accent3 2 2 2 5 2 3" xfId="29435" xr:uid="{5E48C37A-B442-40AB-AE20-B4AC2BE39CE6}"/>
    <cellStyle name="20% - Accent3 2 2 2 5 2 4" xfId="20994" xr:uid="{7958D67D-FA59-4ED4-8B39-3EFBE7087CC0}"/>
    <cellStyle name="20% - Accent3 2 2 2 5 2 5" xfId="12553" xr:uid="{608196CD-0ABE-4832-8CC5-74B20C3767E7}"/>
    <cellStyle name="20% - Accent3 2 2 2 5 3" xfId="6176" xr:uid="{00000000-0005-0000-0000-000054010000}"/>
    <cellStyle name="20% - Accent3 2 2 2 5 3 2" xfId="31508" xr:uid="{0146518F-4C07-479D-8A82-45AE0D48B3D7}"/>
    <cellStyle name="20% - Accent3 2 2 2 5 3 3" xfId="23067" xr:uid="{4D26269F-C844-429C-A19C-6CC88EC609EF}"/>
    <cellStyle name="20% - Accent3 2 2 2 5 3 4" xfId="14626" xr:uid="{191A31CC-EB3C-4CEE-B12C-576FA4467B9A}"/>
    <cellStyle name="20% - Accent3 2 2 2 5 4" xfId="27290" xr:uid="{EA227D56-4C69-4065-9468-5DD81C78187E}"/>
    <cellStyle name="20% - Accent3 2 2 2 5 5" xfId="18849" xr:uid="{4BA12B75-8A5D-479A-855D-0B8217C7FCE3}"/>
    <cellStyle name="20% - Accent3 2 2 2 5 6" xfId="10408" xr:uid="{2CE1D85A-5C01-4D12-9457-EBD6A568DDBE}"/>
    <cellStyle name="20% - Accent3 2 2 2 6" xfId="2283" xr:uid="{00000000-0005-0000-0000-000055010000}"/>
    <cellStyle name="20% - Accent3 2 2 2 6 2" xfId="6589" xr:uid="{00000000-0005-0000-0000-000056010000}"/>
    <cellStyle name="20% - Accent3 2 2 2 6 2 2" xfId="31921" xr:uid="{DD62FC4D-9962-47DB-B58F-504241E5AB74}"/>
    <cellStyle name="20% - Accent3 2 2 2 6 2 3" xfId="23480" xr:uid="{49F7AFB2-1B0C-42DE-9294-81ABDC63E01F}"/>
    <cellStyle name="20% - Accent3 2 2 2 6 2 4" xfId="15039" xr:uid="{44DBDDEB-4CFF-42F5-AA77-304FCF31F204}"/>
    <cellStyle name="20% - Accent3 2 2 2 6 3" xfId="27703" xr:uid="{FEDBF5D3-24D4-4743-8E13-8F1E8D8733DC}"/>
    <cellStyle name="20% - Accent3 2 2 2 6 4" xfId="19262" xr:uid="{1305140A-34D6-449F-A9D3-CEC491FA0C45}"/>
    <cellStyle name="20% - Accent3 2 2 2 6 5" xfId="10821" xr:uid="{9205007D-9EBB-4075-B3DC-8893D9705637}"/>
    <cellStyle name="20% - Accent3 2 2 2 7" xfId="4523" xr:uid="{00000000-0005-0000-0000-000057010000}"/>
    <cellStyle name="20% - Accent3 2 2 2 7 2" xfId="29855" xr:uid="{BCAF8A04-6805-4969-9D9B-4350DAE66AC5}"/>
    <cellStyle name="20% - Accent3 2 2 2 7 3" xfId="21414" xr:uid="{03DA5223-B8F8-4767-8E72-1896B0A0BA79}"/>
    <cellStyle name="20% - Accent3 2 2 2 7 4" xfId="12973" xr:uid="{1CECCAC4-84F7-4412-AEE1-00ED12CE05D7}"/>
    <cellStyle name="20% - Accent3 2 2 2 8" xfId="25637" xr:uid="{A62AD99B-88ED-4710-8F5F-F114F22DDC4B}"/>
    <cellStyle name="20% - Accent3 2 2 2 9" xfId="17196" xr:uid="{E7D57545-5434-4A25-A6FF-824514B01D27}"/>
    <cellStyle name="20% - Accent3 2 2 3" xfId="588" xr:uid="{00000000-0005-0000-0000-000058010000}"/>
    <cellStyle name="20% - Accent3 2 2 3 2" xfId="2859" xr:uid="{00000000-0005-0000-0000-000059010000}"/>
    <cellStyle name="20% - Accent3 2 2 3 2 2" xfId="7081" xr:uid="{00000000-0005-0000-0000-00005A010000}"/>
    <cellStyle name="20% - Accent3 2 2 3 2 2 2" xfId="32413" xr:uid="{D9516A63-7AD2-461D-8604-8D50CCC8D49A}"/>
    <cellStyle name="20% - Accent3 2 2 3 2 2 3" xfId="23972" xr:uid="{D4F23F0D-9DAD-4061-9991-1DD32350C714}"/>
    <cellStyle name="20% - Accent3 2 2 3 2 2 4" xfId="15531" xr:uid="{7A47986C-7DD6-4DA9-82F8-5D1EC1DA96E3}"/>
    <cellStyle name="20% - Accent3 2 2 3 2 3" xfId="28195" xr:uid="{DE79143D-CD01-4192-9FAF-C6E8BA4C68FF}"/>
    <cellStyle name="20% - Accent3 2 2 3 2 4" xfId="19754" xr:uid="{206C8FED-1C4F-42D7-971B-86F46C594119}"/>
    <cellStyle name="20% - Accent3 2 2 3 2 5" xfId="11313" xr:uid="{4CC02A30-C6EC-4E31-8D1E-456FDCBF8544}"/>
    <cellStyle name="20% - Accent3 2 2 3 3" xfId="4936" xr:uid="{00000000-0005-0000-0000-00005B010000}"/>
    <cellStyle name="20% - Accent3 2 2 3 3 2" xfId="30268" xr:uid="{F89923B4-B703-4F5C-844E-4447CD32979E}"/>
    <cellStyle name="20% - Accent3 2 2 3 3 3" xfId="21827" xr:uid="{57B9F913-4C84-4B71-9572-ACA7EA00E46B}"/>
    <cellStyle name="20% - Accent3 2 2 3 3 4" xfId="13386" xr:uid="{BFFE6F0B-C074-4FBD-8232-B848AD613F38}"/>
    <cellStyle name="20% - Accent3 2 2 3 4" xfId="26050" xr:uid="{CEE9D287-DB91-455D-B645-B6E83139C862}"/>
    <cellStyle name="20% - Accent3 2 2 3 5" xfId="17609" xr:uid="{841646E0-AD31-4121-927B-2415D98C742D}"/>
    <cellStyle name="20% - Accent3 2 2 3 6" xfId="9168" xr:uid="{87EA351D-D34E-4510-919B-7F36A6894FE1}"/>
    <cellStyle name="20% - Accent3 2 2 4" xfId="1041" xr:uid="{00000000-0005-0000-0000-00005C010000}"/>
    <cellStyle name="20% - Accent3 2 2 4 2" xfId="3272" xr:uid="{00000000-0005-0000-0000-00005D010000}"/>
    <cellStyle name="20% - Accent3 2 2 4 2 2" xfId="7494" xr:uid="{00000000-0005-0000-0000-00005E010000}"/>
    <cellStyle name="20% - Accent3 2 2 4 2 2 2" xfId="32826" xr:uid="{9DA4E96C-F925-4539-8356-808CAE03489C}"/>
    <cellStyle name="20% - Accent3 2 2 4 2 2 3" xfId="24385" xr:uid="{2F8423A8-46D4-4AF3-9ACC-4EC146A1461A}"/>
    <cellStyle name="20% - Accent3 2 2 4 2 2 4" xfId="15944" xr:uid="{FAECD22C-6A91-416D-9089-01F1CE503853}"/>
    <cellStyle name="20% - Accent3 2 2 4 2 3" xfId="28608" xr:uid="{BF5D37FF-03B2-452D-B2A7-79EFE0C128E7}"/>
    <cellStyle name="20% - Accent3 2 2 4 2 4" xfId="20167" xr:uid="{38A2F27F-02F2-40A2-A341-1C452DF43093}"/>
    <cellStyle name="20% - Accent3 2 2 4 2 5" xfId="11726" xr:uid="{6E5D08C4-6286-4BE7-8B3C-6149D64AE437}"/>
    <cellStyle name="20% - Accent3 2 2 4 3" xfId="5349" xr:uid="{00000000-0005-0000-0000-00005F010000}"/>
    <cellStyle name="20% - Accent3 2 2 4 3 2" xfId="30681" xr:uid="{C4C7CE3A-E503-4D97-8934-06EEDD16A3E6}"/>
    <cellStyle name="20% - Accent3 2 2 4 3 3" xfId="22240" xr:uid="{4B86B5D6-8997-42A4-9688-4AB380BD11C8}"/>
    <cellStyle name="20% - Accent3 2 2 4 3 4" xfId="13799" xr:uid="{A0A5FF6F-2B3D-4615-B731-9474943576F1}"/>
    <cellStyle name="20% - Accent3 2 2 4 4" xfId="26463" xr:uid="{74E7EA77-3AC4-41D1-A8F1-2ED591FE5411}"/>
    <cellStyle name="20% - Accent3 2 2 4 5" xfId="18022" xr:uid="{5251E16A-45FD-4024-8B94-467F726236A6}"/>
    <cellStyle name="20% - Accent3 2 2 4 6" xfId="9581" xr:uid="{28F6BB73-1CC9-4290-89C2-4FD41FDF8C4D}"/>
    <cellStyle name="20% - Accent3 2 2 5" xfId="1455" xr:uid="{00000000-0005-0000-0000-000060010000}"/>
    <cellStyle name="20% - Accent3 2 2 5 2" xfId="3685" xr:uid="{00000000-0005-0000-0000-000061010000}"/>
    <cellStyle name="20% - Accent3 2 2 5 2 2" xfId="7907" xr:uid="{00000000-0005-0000-0000-000062010000}"/>
    <cellStyle name="20% - Accent3 2 2 5 2 2 2" xfId="33239" xr:uid="{85086464-5776-42EE-BE69-B73292C27579}"/>
    <cellStyle name="20% - Accent3 2 2 5 2 2 3" xfId="24798" xr:uid="{E83EFB9E-2175-4174-A65F-61D1FDFD0E5A}"/>
    <cellStyle name="20% - Accent3 2 2 5 2 2 4" xfId="16357" xr:uid="{FFE55B08-03C1-4CC4-B203-C7A6B943605F}"/>
    <cellStyle name="20% - Accent3 2 2 5 2 3" xfId="29021" xr:uid="{F714CD27-3A2E-4EA6-886E-50BEEB7AE519}"/>
    <cellStyle name="20% - Accent3 2 2 5 2 4" xfId="20580" xr:uid="{3FDF8953-1AC7-4E93-839B-EED4F50B3CF3}"/>
    <cellStyle name="20% - Accent3 2 2 5 2 5" xfId="12139" xr:uid="{CE1B3AC7-51B6-40DB-907F-E144624AC5C8}"/>
    <cellStyle name="20% - Accent3 2 2 5 3" xfId="5762" xr:uid="{00000000-0005-0000-0000-000063010000}"/>
    <cellStyle name="20% - Accent3 2 2 5 3 2" xfId="31094" xr:uid="{789E4B9B-641F-4C90-A4F4-22B036ECD869}"/>
    <cellStyle name="20% - Accent3 2 2 5 3 3" xfId="22653" xr:uid="{8493DD00-13BC-4FAD-ACBA-608C26EC3C1C}"/>
    <cellStyle name="20% - Accent3 2 2 5 3 4" xfId="14212" xr:uid="{86C61673-5044-46C6-A58A-82F7E742E2EE}"/>
    <cellStyle name="20% - Accent3 2 2 5 4" xfId="26876" xr:uid="{4D08776E-B331-4D90-B655-F3798EA53333}"/>
    <cellStyle name="20% - Accent3 2 2 5 5" xfId="18435" xr:uid="{7025AE31-BB37-41AB-9CEA-86B3A1226587}"/>
    <cellStyle name="20% - Accent3 2 2 5 6" xfId="9994" xr:uid="{C1669D44-387B-4193-87F3-0FC78D6C1C83}"/>
    <cellStyle name="20% - Accent3 2 2 6" xfId="1869" xr:uid="{00000000-0005-0000-0000-000064010000}"/>
    <cellStyle name="20% - Accent3 2 2 6 2" xfId="4098" xr:uid="{00000000-0005-0000-0000-000065010000}"/>
    <cellStyle name="20% - Accent3 2 2 6 2 2" xfId="8320" xr:uid="{00000000-0005-0000-0000-000066010000}"/>
    <cellStyle name="20% - Accent3 2 2 6 2 2 2" xfId="33652" xr:uid="{2495697C-B5B3-4E1E-BD57-6DC5B0E88A97}"/>
    <cellStyle name="20% - Accent3 2 2 6 2 2 3" xfId="25211" xr:uid="{06C44998-2C89-4762-A48D-DAA1C0F9F25B}"/>
    <cellStyle name="20% - Accent3 2 2 6 2 2 4" xfId="16770" xr:uid="{CF32CF8F-8F2D-4CD7-B6E6-213F953A6CA8}"/>
    <cellStyle name="20% - Accent3 2 2 6 2 3" xfId="29434" xr:uid="{74B6C416-A426-4783-B4BE-09B279DA1377}"/>
    <cellStyle name="20% - Accent3 2 2 6 2 4" xfId="20993" xr:uid="{4DF7592A-A619-4688-87B2-76BCF2307D19}"/>
    <cellStyle name="20% - Accent3 2 2 6 2 5" xfId="12552" xr:uid="{3BBBC2AD-4461-4045-9B92-DEE51E22E4DA}"/>
    <cellStyle name="20% - Accent3 2 2 6 3" xfId="6175" xr:uid="{00000000-0005-0000-0000-000067010000}"/>
    <cellStyle name="20% - Accent3 2 2 6 3 2" xfId="31507" xr:uid="{BCE671B1-C281-45B5-97C6-EEB55F9B1016}"/>
    <cellStyle name="20% - Accent3 2 2 6 3 3" xfId="23066" xr:uid="{6E5E4399-5F46-4A58-82E2-5A766B78EB4F}"/>
    <cellStyle name="20% - Accent3 2 2 6 3 4" xfId="14625" xr:uid="{A1EBB9C5-385D-41C2-8766-1860D42209E4}"/>
    <cellStyle name="20% - Accent3 2 2 6 4" xfId="27289" xr:uid="{28057B20-F234-413D-BF73-A200329385EC}"/>
    <cellStyle name="20% - Accent3 2 2 6 5" xfId="18848" xr:uid="{69F22ECF-5D14-4CFB-AE41-7E4A32D39EF1}"/>
    <cellStyle name="20% - Accent3 2 2 6 6" xfId="10407" xr:uid="{420344F0-9C71-4B42-ABC2-EEAC1860D1C7}"/>
    <cellStyle name="20% - Accent3 2 2 7" xfId="2282" xr:uid="{00000000-0005-0000-0000-000068010000}"/>
    <cellStyle name="20% - Accent3 2 2 7 2" xfId="6588" xr:uid="{00000000-0005-0000-0000-000069010000}"/>
    <cellStyle name="20% - Accent3 2 2 7 2 2" xfId="31920" xr:uid="{96A2CDFD-ADB7-4D78-AAA2-0E46F9857A49}"/>
    <cellStyle name="20% - Accent3 2 2 7 2 3" xfId="23479" xr:uid="{49B63FD5-23EF-40E2-8C99-4032EE96FB46}"/>
    <cellStyle name="20% - Accent3 2 2 7 2 4" xfId="15038" xr:uid="{A3F2D33C-6B6B-4B12-80D2-DDE69EE90802}"/>
    <cellStyle name="20% - Accent3 2 2 7 3" xfId="27702" xr:uid="{1F35E13A-5201-4864-943E-8399788BA111}"/>
    <cellStyle name="20% - Accent3 2 2 7 4" xfId="19261" xr:uid="{3C19335E-656F-4D7E-B299-7B09828DF01D}"/>
    <cellStyle name="20% - Accent3 2 2 7 5" xfId="10820" xr:uid="{959EA977-0ECC-4115-A64D-6D7D88EEDBAD}"/>
    <cellStyle name="20% - Accent3 2 2 8" xfId="4522" xr:uid="{00000000-0005-0000-0000-00006A010000}"/>
    <cellStyle name="20% - Accent3 2 2 8 2" xfId="29854" xr:uid="{772825AA-4D5E-41DA-B386-95F164B5D262}"/>
    <cellStyle name="20% - Accent3 2 2 8 3" xfId="21413" xr:uid="{C531E0E6-F85E-4CBC-A847-989408914BB8}"/>
    <cellStyle name="20% - Accent3 2 2 8 4" xfId="12972" xr:uid="{EE1F8918-65AD-45DD-AE5B-A5BCE9C1FE4E}"/>
    <cellStyle name="20% - Accent3 2 2 9" xfId="25636" xr:uid="{F14202C9-7459-48D4-B54D-3A9C688032A6}"/>
    <cellStyle name="20% - Accent3 2 3" xfId="21" xr:uid="{00000000-0005-0000-0000-00006B010000}"/>
    <cellStyle name="20% - Accent3 2 3 10" xfId="8756" xr:uid="{E9BF365F-A825-4702-ACFA-9EDB8B4A15E6}"/>
    <cellStyle name="20% - Accent3 2 3 2" xfId="590" xr:uid="{00000000-0005-0000-0000-00006C010000}"/>
    <cellStyle name="20% - Accent3 2 3 2 2" xfId="2861" xr:uid="{00000000-0005-0000-0000-00006D010000}"/>
    <cellStyle name="20% - Accent3 2 3 2 2 2" xfId="7083" xr:uid="{00000000-0005-0000-0000-00006E010000}"/>
    <cellStyle name="20% - Accent3 2 3 2 2 2 2" xfId="32415" xr:uid="{6D813CD3-C992-47AC-8FF3-6A531F73FF47}"/>
    <cellStyle name="20% - Accent3 2 3 2 2 2 3" xfId="23974" xr:uid="{5653BC01-1719-4305-B7EE-7CBC7806FC3C}"/>
    <cellStyle name="20% - Accent3 2 3 2 2 2 4" xfId="15533" xr:uid="{45017CAC-1CAE-4F6C-A21A-8736D9E441A5}"/>
    <cellStyle name="20% - Accent3 2 3 2 2 3" xfId="28197" xr:uid="{3EC891F1-9607-4B87-896C-4FAE76A03C77}"/>
    <cellStyle name="20% - Accent3 2 3 2 2 4" xfId="19756" xr:uid="{560D9A1C-0A81-41C2-9B1D-D9BBA60BDDE1}"/>
    <cellStyle name="20% - Accent3 2 3 2 2 5" xfId="11315" xr:uid="{81864305-77C8-4A83-AA04-31E4A06F78FC}"/>
    <cellStyle name="20% - Accent3 2 3 2 3" xfId="4938" xr:uid="{00000000-0005-0000-0000-00006F010000}"/>
    <cellStyle name="20% - Accent3 2 3 2 3 2" xfId="30270" xr:uid="{0301E8D5-FFF7-4FDD-8794-304EB8BA5003}"/>
    <cellStyle name="20% - Accent3 2 3 2 3 3" xfId="21829" xr:uid="{C9A4B378-2065-49B9-9B43-735BA44CA98F}"/>
    <cellStyle name="20% - Accent3 2 3 2 3 4" xfId="13388" xr:uid="{A6C3B93E-46E6-4796-9F00-3772224803CF}"/>
    <cellStyle name="20% - Accent3 2 3 2 4" xfId="26052" xr:uid="{169FD2DB-AD7B-4603-83A7-4C67D7A64CEC}"/>
    <cellStyle name="20% - Accent3 2 3 2 5" xfId="17611" xr:uid="{F506E24D-5BE6-4E26-B801-AC71C54A5BB4}"/>
    <cellStyle name="20% - Accent3 2 3 2 6" xfId="9170" xr:uid="{5C9CC8B3-4F30-41A9-AB71-F1F44BC00DC1}"/>
    <cellStyle name="20% - Accent3 2 3 3" xfId="1043" xr:uid="{00000000-0005-0000-0000-000070010000}"/>
    <cellStyle name="20% - Accent3 2 3 3 2" xfId="3274" xr:uid="{00000000-0005-0000-0000-000071010000}"/>
    <cellStyle name="20% - Accent3 2 3 3 2 2" xfId="7496" xr:uid="{00000000-0005-0000-0000-000072010000}"/>
    <cellStyle name="20% - Accent3 2 3 3 2 2 2" xfId="32828" xr:uid="{7C1016AE-C3D3-4AD4-A6B2-3433499F7A89}"/>
    <cellStyle name="20% - Accent3 2 3 3 2 2 3" xfId="24387" xr:uid="{79184787-FDC1-41FC-940D-D5FC536F3ABA}"/>
    <cellStyle name="20% - Accent3 2 3 3 2 2 4" xfId="15946" xr:uid="{00AD49F0-163B-4B7E-BB48-D38C9EFACED8}"/>
    <cellStyle name="20% - Accent3 2 3 3 2 3" xfId="28610" xr:uid="{B6CBF4BC-760C-46CB-B584-89E622FBAFBB}"/>
    <cellStyle name="20% - Accent3 2 3 3 2 4" xfId="20169" xr:uid="{DA7E89F9-0ADE-48E1-B3CA-A9B414914955}"/>
    <cellStyle name="20% - Accent3 2 3 3 2 5" xfId="11728" xr:uid="{A76FAD0E-3A12-44B8-97C6-83E5F9BDEB1B}"/>
    <cellStyle name="20% - Accent3 2 3 3 3" xfId="5351" xr:uid="{00000000-0005-0000-0000-000073010000}"/>
    <cellStyle name="20% - Accent3 2 3 3 3 2" xfId="30683" xr:uid="{A9E1B512-B5A6-420C-BDCC-93AD0CEE6CCE}"/>
    <cellStyle name="20% - Accent3 2 3 3 3 3" xfId="22242" xr:uid="{96A3CC63-68BF-4AF0-98F1-B03556BCE924}"/>
    <cellStyle name="20% - Accent3 2 3 3 3 4" xfId="13801" xr:uid="{F97FB493-F4ED-4D15-B90E-5BE02C018501}"/>
    <cellStyle name="20% - Accent3 2 3 3 4" xfId="26465" xr:uid="{F573B4FE-B232-48CC-8E56-99BAD10C7BEA}"/>
    <cellStyle name="20% - Accent3 2 3 3 5" xfId="18024" xr:uid="{A48F5D6C-4CFC-46E6-8EA1-249FE602F9A3}"/>
    <cellStyle name="20% - Accent3 2 3 3 6" xfId="9583" xr:uid="{E4A6D2EF-5EA2-416E-B147-B6BE6CA63483}"/>
    <cellStyle name="20% - Accent3 2 3 4" xfId="1457" xr:uid="{00000000-0005-0000-0000-000074010000}"/>
    <cellStyle name="20% - Accent3 2 3 4 2" xfId="3687" xr:uid="{00000000-0005-0000-0000-000075010000}"/>
    <cellStyle name="20% - Accent3 2 3 4 2 2" xfId="7909" xr:uid="{00000000-0005-0000-0000-000076010000}"/>
    <cellStyle name="20% - Accent3 2 3 4 2 2 2" xfId="33241" xr:uid="{E205F469-6D7F-4F5D-9A4E-05FE5E6674FC}"/>
    <cellStyle name="20% - Accent3 2 3 4 2 2 3" xfId="24800" xr:uid="{7252C0DA-5B77-4051-867C-B7ED9DD259B3}"/>
    <cellStyle name="20% - Accent3 2 3 4 2 2 4" xfId="16359" xr:uid="{8CA6D1F8-A8E2-477E-BCCA-91E8B9E7E337}"/>
    <cellStyle name="20% - Accent3 2 3 4 2 3" xfId="29023" xr:uid="{DEA1E351-3896-4ED5-824F-0FBACE28EE20}"/>
    <cellStyle name="20% - Accent3 2 3 4 2 4" xfId="20582" xr:uid="{E2C0F484-A7DF-4598-B66F-E5F0A0A84085}"/>
    <cellStyle name="20% - Accent3 2 3 4 2 5" xfId="12141" xr:uid="{4173DADD-614A-4417-A1EC-EA6EC3AF788B}"/>
    <cellStyle name="20% - Accent3 2 3 4 3" xfId="5764" xr:uid="{00000000-0005-0000-0000-000077010000}"/>
    <cellStyle name="20% - Accent3 2 3 4 3 2" xfId="31096" xr:uid="{C5EF1EEE-1940-460D-BDE3-B83D89DBB46A}"/>
    <cellStyle name="20% - Accent3 2 3 4 3 3" xfId="22655" xr:uid="{F822F8A8-DC6B-4180-B0C2-70B86B49FD70}"/>
    <cellStyle name="20% - Accent3 2 3 4 3 4" xfId="14214" xr:uid="{6F1D5383-2199-49D5-9433-87E4B9A3A4FA}"/>
    <cellStyle name="20% - Accent3 2 3 4 4" xfId="26878" xr:uid="{2A1DEAF2-69B1-4E2E-BE31-B5A4B50D825C}"/>
    <cellStyle name="20% - Accent3 2 3 4 5" xfId="18437" xr:uid="{74394A22-FA18-417C-B031-8153451A6106}"/>
    <cellStyle name="20% - Accent3 2 3 4 6" xfId="9996" xr:uid="{37700BD1-A40B-45AA-955C-2AF79762ADB4}"/>
    <cellStyle name="20% - Accent3 2 3 5" xfId="1871" xr:uid="{00000000-0005-0000-0000-000078010000}"/>
    <cellStyle name="20% - Accent3 2 3 5 2" xfId="4100" xr:uid="{00000000-0005-0000-0000-000079010000}"/>
    <cellStyle name="20% - Accent3 2 3 5 2 2" xfId="8322" xr:uid="{00000000-0005-0000-0000-00007A010000}"/>
    <cellStyle name="20% - Accent3 2 3 5 2 2 2" xfId="33654" xr:uid="{23D722E4-64E5-4207-93FB-5CF951E5F438}"/>
    <cellStyle name="20% - Accent3 2 3 5 2 2 3" xfId="25213" xr:uid="{B09E795E-0A86-4E0B-ADB1-180A80B9464E}"/>
    <cellStyle name="20% - Accent3 2 3 5 2 2 4" xfId="16772" xr:uid="{D6B23FB7-02D0-4039-AA32-0C2570A230A9}"/>
    <cellStyle name="20% - Accent3 2 3 5 2 3" xfId="29436" xr:uid="{32A79E0A-941C-4D5F-BFCB-21C1034AB8E1}"/>
    <cellStyle name="20% - Accent3 2 3 5 2 4" xfId="20995" xr:uid="{021788A0-E966-4E29-844D-F40AA32FCD72}"/>
    <cellStyle name="20% - Accent3 2 3 5 2 5" xfId="12554" xr:uid="{19C6A971-737A-4748-B857-0A04CEE9A483}"/>
    <cellStyle name="20% - Accent3 2 3 5 3" xfId="6177" xr:uid="{00000000-0005-0000-0000-00007B010000}"/>
    <cellStyle name="20% - Accent3 2 3 5 3 2" xfId="31509" xr:uid="{6F7D7CAB-BE2D-4E50-969B-74C83A0FB2AD}"/>
    <cellStyle name="20% - Accent3 2 3 5 3 3" xfId="23068" xr:uid="{07B23F83-6DBA-4184-975F-CA53D51ADC5D}"/>
    <cellStyle name="20% - Accent3 2 3 5 3 4" xfId="14627" xr:uid="{0949658D-63F5-4FAC-A700-EB32C283C115}"/>
    <cellStyle name="20% - Accent3 2 3 5 4" xfId="27291" xr:uid="{16B4B3EF-04AE-4927-B1F3-DB0D54978B05}"/>
    <cellStyle name="20% - Accent3 2 3 5 5" xfId="18850" xr:uid="{5D3CD961-54FE-4F48-8392-FF454E9AD852}"/>
    <cellStyle name="20% - Accent3 2 3 5 6" xfId="10409" xr:uid="{886B8B8D-9473-427E-B4DB-D71F4A552D59}"/>
    <cellStyle name="20% - Accent3 2 3 6" xfId="2284" xr:uid="{00000000-0005-0000-0000-00007C010000}"/>
    <cellStyle name="20% - Accent3 2 3 6 2" xfId="6590" xr:uid="{00000000-0005-0000-0000-00007D010000}"/>
    <cellStyle name="20% - Accent3 2 3 6 2 2" xfId="31922" xr:uid="{124236F5-1514-45D4-AEDC-4C966024C3AB}"/>
    <cellStyle name="20% - Accent3 2 3 6 2 3" xfId="23481" xr:uid="{E5E05F84-F8AE-45C2-ADA5-0A017CF62745}"/>
    <cellStyle name="20% - Accent3 2 3 6 2 4" xfId="15040" xr:uid="{05A4BE18-E886-4717-A23C-445E3D89DA45}"/>
    <cellStyle name="20% - Accent3 2 3 6 3" xfId="27704" xr:uid="{AB3CB470-63DF-4052-8BC9-2D2AEDA120F9}"/>
    <cellStyle name="20% - Accent3 2 3 6 4" xfId="19263" xr:uid="{2DD6EF17-C8F3-4772-AD0D-1DA9E2A789AA}"/>
    <cellStyle name="20% - Accent3 2 3 6 5" xfId="10822" xr:uid="{18CFA4A7-7811-467A-9588-B4ADC77960F0}"/>
    <cellStyle name="20% - Accent3 2 3 7" xfId="4524" xr:uid="{00000000-0005-0000-0000-00007E010000}"/>
    <cellStyle name="20% - Accent3 2 3 7 2" xfId="29856" xr:uid="{C98604B6-C2C5-4E59-8491-665CCD027A15}"/>
    <cellStyle name="20% - Accent3 2 3 7 3" xfId="21415" xr:uid="{D952C831-68C6-4FCD-8EA5-97C2B3490C2E}"/>
    <cellStyle name="20% - Accent3 2 3 7 4" xfId="12974" xr:uid="{CEED18A0-5F58-4F20-8E61-F5CD396B348A}"/>
    <cellStyle name="20% - Accent3 2 3 8" xfId="25638" xr:uid="{FCFBF8CB-CA19-4293-826A-B42558A8BC35}"/>
    <cellStyle name="20% - Accent3 2 3 9" xfId="17197" xr:uid="{82698645-A0B6-45CD-B25D-38AD38204040}"/>
    <cellStyle name="20% - Accent3 2 4" xfId="587" xr:uid="{00000000-0005-0000-0000-00007F010000}"/>
    <cellStyle name="20% - Accent3 2 4 2" xfId="2858" xr:uid="{00000000-0005-0000-0000-000080010000}"/>
    <cellStyle name="20% - Accent3 2 4 2 2" xfId="7080" xr:uid="{00000000-0005-0000-0000-000081010000}"/>
    <cellStyle name="20% - Accent3 2 4 2 2 2" xfId="32412" xr:uid="{C33799CE-527B-449B-86B6-F9208F23DB67}"/>
    <cellStyle name="20% - Accent3 2 4 2 2 3" xfId="23971" xr:uid="{8B7D3536-F71A-40CB-BCCD-9CA104B44F27}"/>
    <cellStyle name="20% - Accent3 2 4 2 2 4" xfId="15530" xr:uid="{50F0FBB2-98DA-45A6-AD07-F0F59C0DBD32}"/>
    <cellStyle name="20% - Accent3 2 4 2 3" xfId="28194" xr:uid="{DF063050-DF9C-42CD-928A-C60623B49145}"/>
    <cellStyle name="20% - Accent3 2 4 2 4" xfId="19753" xr:uid="{211FC5F4-F034-4D14-A0A0-5969F194CA22}"/>
    <cellStyle name="20% - Accent3 2 4 2 5" xfId="11312" xr:uid="{D75738C1-C762-4553-8982-35EEE2F7B35D}"/>
    <cellStyle name="20% - Accent3 2 4 3" xfId="4935" xr:uid="{00000000-0005-0000-0000-000082010000}"/>
    <cellStyle name="20% - Accent3 2 4 3 2" xfId="30267" xr:uid="{C03FFAC8-95E1-427C-9703-E4AB5CF0AB7F}"/>
    <cellStyle name="20% - Accent3 2 4 3 3" xfId="21826" xr:uid="{20DFA208-0ED3-43EE-8D34-D9D8FAEBB55F}"/>
    <cellStyle name="20% - Accent3 2 4 3 4" xfId="13385" xr:uid="{89901F07-F0AA-4779-B94B-56E2E8BAC459}"/>
    <cellStyle name="20% - Accent3 2 4 4" xfId="26049" xr:uid="{B1CA6E5A-5E4E-4210-BF46-398C163EF1FB}"/>
    <cellStyle name="20% - Accent3 2 4 5" xfId="17608" xr:uid="{B1147DCF-29B6-43D7-B131-C670C61DA04E}"/>
    <cellStyle name="20% - Accent3 2 4 6" xfId="9167" xr:uid="{B6975E51-2BA4-4747-8D50-6ACC835A1211}"/>
    <cellStyle name="20% - Accent3 2 5" xfId="1040" xr:uid="{00000000-0005-0000-0000-000083010000}"/>
    <cellStyle name="20% - Accent3 2 5 2" xfId="3271" xr:uid="{00000000-0005-0000-0000-000084010000}"/>
    <cellStyle name="20% - Accent3 2 5 2 2" xfId="7493" xr:uid="{00000000-0005-0000-0000-000085010000}"/>
    <cellStyle name="20% - Accent3 2 5 2 2 2" xfId="32825" xr:uid="{E9F8A8E1-0E1E-45A6-8CA9-10F632B3EB27}"/>
    <cellStyle name="20% - Accent3 2 5 2 2 3" xfId="24384" xr:uid="{9C023ECD-5FBF-43FA-97EE-CA831F17164A}"/>
    <cellStyle name="20% - Accent3 2 5 2 2 4" xfId="15943" xr:uid="{6119EC56-CE5F-4834-9BBC-A866C70F58D1}"/>
    <cellStyle name="20% - Accent3 2 5 2 3" xfId="28607" xr:uid="{2B4416CA-518B-4A99-AE37-23CED4854BDA}"/>
    <cellStyle name="20% - Accent3 2 5 2 4" xfId="20166" xr:uid="{E7EA971F-95BE-4F12-8FBF-D5D349B255F1}"/>
    <cellStyle name="20% - Accent3 2 5 2 5" xfId="11725" xr:uid="{E05F2666-8986-46E6-BA81-DC22949D88DE}"/>
    <cellStyle name="20% - Accent3 2 5 3" xfId="5348" xr:uid="{00000000-0005-0000-0000-000086010000}"/>
    <cellStyle name="20% - Accent3 2 5 3 2" xfId="30680" xr:uid="{7E172E61-93A5-4637-8D66-7D7741E8BF0D}"/>
    <cellStyle name="20% - Accent3 2 5 3 3" xfId="22239" xr:uid="{ECE1728C-09A4-442E-A3B2-33C863D258CA}"/>
    <cellStyle name="20% - Accent3 2 5 3 4" xfId="13798" xr:uid="{AEFD069F-F48B-4093-AF36-33F2C42E2654}"/>
    <cellStyle name="20% - Accent3 2 5 4" xfId="26462" xr:uid="{35FFF2C3-98A9-46CE-AE0F-6E1B5B7BA6D8}"/>
    <cellStyle name="20% - Accent3 2 5 5" xfId="18021" xr:uid="{CB03EA56-70F8-4680-8C43-CF333380842C}"/>
    <cellStyle name="20% - Accent3 2 5 6" xfId="9580" xr:uid="{1B05B173-9945-49EF-983B-1D84B1270EC8}"/>
    <cellStyle name="20% - Accent3 2 6" xfId="1454" xr:uid="{00000000-0005-0000-0000-000087010000}"/>
    <cellStyle name="20% - Accent3 2 6 2" xfId="3684" xr:uid="{00000000-0005-0000-0000-000088010000}"/>
    <cellStyle name="20% - Accent3 2 6 2 2" xfId="7906" xr:uid="{00000000-0005-0000-0000-000089010000}"/>
    <cellStyle name="20% - Accent3 2 6 2 2 2" xfId="33238" xr:uid="{FA6A83E4-9DBC-4D35-8509-A37FEA74987B}"/>
    <cellStyle name="20% - Accent3 2 6 2 2 3" xfId="24797" xr:uid="{4C936ACB-74CF-4073-81E7-C66FF4CEBAE7}"/>
    <cellStyle name="20% - Accent3 2 6 2 2 4" xfId="16356" xr:uid="{4C93A1A5-2538-43A9-B62E-A68417D607E1}"/>
    <cellStyle name="20% - Accent3 2 6 2 3" xfId="29020" xr:uid="{FFDA5066-8DB3-4D7E-A2DC-EBE92727EBBF}"/>
    <cellStyle name="20% - Accent3 2 6 2 4" xfId="20579" xr:uid="{65EA334D-7884-40DF-965B-5C7D828C926F}"/>
    <cellStyle name="20% - Accent3 2 6 2 5" xfId="12138" xr:uid="{D4127FF8-4070-47F6-901C-4DB2048D3B10}"/>
    <cellStyle name="20% - Accent3 2 6 3" xfId="5761" xr:uid="{00000000-0005-0000-0000-00008A010000}"/>
    <cellStyle name="20% - Accent3 2 6 3 2" xfId="31093" xr:uid="{F5DB1D63-CD7E-4700-B61A-FBD9069F2CA2}"/>
    <cellStyle name="20% - Accent3 2 6 3 3" xfId="22652" xr:uid="{E0524A05-74C5-4344-B099-F72ACAFB80B5}"/>
    <cellStyle name="20% - Accent3 2 6 3 4" xfId="14211" xr:uid="{1B5946ED-9C08-4F5B-B944-4140313AF9EC}"/>
    <cellStyle name="20% - Accent3 2 6 4" xfId="26875" xr:uid="{48E61412-2AE4-4B13-845C-CEC0AB091C85}"/>
    <cellStyle name="20% - Accent3 2 6 5" xfId="18434" xr:uid="{53B0CF13-1E4C-423F-9E8E-656670C41DFB}"/>
    <cellStyle name="20% - Accent3 2 6 6" xfId="9993" xr:uid="{E857D125-9494-41B8-8CC5-0348C293D5C6}"/>
    <cellStyle name="20% - Accent3 2 7" xfId="1868" xr:uid="{00000000-0005-0000-0000-00008B010000}"/>
    <cellStyle name="20% - Accent3 2 7 2" xfId="4097" xr:uid="{00000000-0005-0000-0000-00008C010000}"/>
    <cellStyle name="20% - Accent3 2 7 2 2" xfId="8319" xr:uid="{00000000-0005-0000-0000-00008D010000}"/>
    <cellStyle name="20% - Accent3 2 7 2 2 2" xfId="33651" xr:uid="{A51E11F0-F4AC-4A52-A473-0453468A93BE}"/>
    <cellStyle name="20% - Accent3 2 7 2 2 3" xfId="25210" xr:uid="{6F7ADD4F-F599-4201-961F-CDA3DBFB0C22}"/>
    <cellStyle name="20% - Accent3 2 7 2 2 4" xfId="16769" xr:uid="{82C96F34-81AC-4C88-9F95-2F76AEE06538}"/>
    <cellStyle name="20% - Accent3 2 7 2 3" xfId="29433" xr:uid="{7F012B7D-1A4B-4812-AAB1-03730F4BBAB0}"/>
    <cellStyle name="20% - Accent3 2 7 2 4" xfId="20992" xr:uid="{678A95CE-66D7-46AE-9B91-7C1A64B27878}"/>
    <cellStyle name="20% - Accent3 2 7 2 5" xfId="12551" xr:uid="{8F296118-5AFC-42C7-A7B4-233EA5C11DE2}"/>
    <cellStyle name="20% - Accent3 2 7 3" xfId="6174" xr:uid="{00000000-0005-0000-0000-00008E010000}"/>
    <cellStyle name="20% - Accent3 2 7 3 2" xfId="31506" xr:uid="{E4CFC92C-DA08-4EEF-9198-EF7280B2E549}"/>
    <cellStyle name="20% - Accent3 2 7 3 3" xfId="23065" xr:uid="{828E1EBB-9EF0-4944-89F7-CB281D28DC84}"/>
    <cellStyle name="20% - Accent3 2 7 3 4" xfId="14624" xr:uid="{873D97D0-B703-4FBA-A47B-59031D4B6425}"/>
    <cellStyle name="20% - Accent3 2 7 4" xfId="27288" xr:uid="{31B4B691-A72A-4E9F-8D2E-46FA7C51A08E}"/>
    <cellStyle name="20% - Accent3 2 7 5" xfId="18847" xr:uid="{1D711A24-FC44-46E8-BA8D-397D10973614}"/>
    <cellStyle name="20% - Accent3 2 7 6" xfId="10406" xr:uid="{746004DC-49C9-4A07-BD0A-1C358AECE59D}"/>
    <cellStyle name="20% - Accent3 2 8" xfId="2281" xr:uid="{00000000-0005-0000-0000-00008F010000}"/>
    <cellStyle name="20% - Accent3 2 8 2" xfId="6587" xr:uid="{00000000-0005-0000-0000-000090010000}"/>
    <cellStyle name="20% - Accent3 2 8 2 2" xfId="31919" xr:uid="{B48B806C-2A5A-402F-9692-C37B9FFD4854}"/>
    <cellStyle name="20% - Accent3 2 8 2 3" xfId="23478" xr:uid="{DAB75E36-B237-49BC-BDB7-E80AAFE95719}"/>
    <cellStyle name="20% - Accent3 2 8 2 4" xfId="15037" xr:uid="{39F2D779-BD5A-470D-B629-EA8C5CC4AC25}"/>
    <cellStyle name="20% - Accent3 2 8 3" xfId="27701" xr:uid="{25A3D76F-1607-4B1A-B49D-BA97D37FB746}"/>
    <cellStyle name="20% - Accent3 2 8 4" xfId="19260" xr:uid="{E3D4CB45-6C39-4EDB-82BC-CFF3AAF2D997}"/>
    <cellStyle name="20% - Accent3 2 8 5" xfId="10819" xr:uid="{7C004B43-8FC4-44CF-AD3D-6DEF372722FB}"/>
    <cellStyle name="20% - Accent3 2 9" xfId="4521" xr:uid="{00000000-0005-0000-0000-000091010000}"/>
    <cellStyle name="20% - Accent3 2 9 2" xfId="29853" xr:uid="{061D31A7-F136-4C08-AC5D-971F9BD16FB1}"/>
    <cellStyle name="20% - Accent3 2 9 3" xfId="21412" xr:uid="{E6C3FFD2-D8C1-4AA5-8FCE-585822E16393}"/>
    <cellStyle name="20% - Accent3 2 9 4" xfId="12971" xr:uid="{20B9DFB4-B58B-4398-9BE2-77D5CF4421E4}"/>
    <cellStyle name="20% - Accent3 3" xfId="22" xr:uid="{00000000-0005-0000-0000-000092010000}"/>
    <cellStyle name="20% - Accent3 3 10" xfId="17198" xr:uid="{A1AC68C8-CBC5-42F6-98F5-907A21839639}"/>
    <cellStyle name="20% - Accent3 3 11" xfId="8757" xr:uid="{1037AC32-8672-4938-9D69-8BEDB94E74AC}"/>
    <cellStyle name="20% - Accent3 3 2" xfId="23" xr:uid="{00000000-0005-0000-0000-000093010000}"/>
    <cellStyle name="20% - Accent3 3 2 10" xfId="8758" xr:uid="{B1EA3659-7070-4F06-A95B-A11E4C4F38AA}"/>
    <cellStyle name="20% - Accent3 3 2 2" xfId="592" xr:uid="{00000000-0005-0000-0000-000094010000}"/>
    <cellStyle name="20% - Accent3 3 2 2 2" xfId="2863" xr:uid="{00000000-0005-0000-0000-000095010000}"/>
    <cellStyle name="20% - Accent3 3 2 2 2 2" xfId="7085" xr:uid="{00000000-0005-0000-0000-000096010000}"/>
    <cellStyle name="20% - Accent3 3 2 2 2 2 2" xfId="32417" xr:uid="{EB8E755E-2724-4740-A313-AB90F199DFF7}"/>
    <cellStyle name="20% - Accent3 3 2 2 2 2 3" xfId="23976" xr:uid="{15AD56C6-F915-46EB-B15C-075E59D213A4}"/>
    <cellStyle name="20% - Accent3 3 2 2 2 2 4" xfId="15535" xr:uid="{708CBB04-15F0-4DA8-A5A0-063E72C79D27}"/>
    <cellStyle name="20% - Accent3 3 2 2 2 3" xfId="28199" xr:uid="{93173BCD-C363-45BB-9B30-5EF75DBE3A6E}"/>
    <cellStyle name="20% - Accent3 3 2 2 2 4" xfId="19758" xr:uid="{EA6FF4F4-7BC5-4818-9D8C-BB5C22114D93}"/>
    <cellStyle name="20% - Accent3 3 2 2 2 5" xfId="11317" xr:uid="{CACF3136-F4A6-4E1B-B745-F2743C7B31BB}"/>
    <cellStyle name="20% - Accent3 3 2 2 3" xfId="4940" xr:uid="{00000000-0005-0000-0000-000097010000}"/>
    <cellStyle name="20% - Accent3 3 2 2 3 2" xfId="30272" xr:uid="{5D412078-634F-47CF-B6BC-14B8C228F3A0}"/>
    <cellStyle name="20% - Accent3 3 2 2 3 3" xfId="21831" xr:uid="{3A2D7E5C-89B9-4B79-85E5-5405B72A0186}"/>
    <cellStyle name="20% - Accent3 3 2 2 3 4" xfId="13390" xr:uid="{106E6CFF-CEEA-4441-8466-3EA94480DE1A}"/>
    <cellStyle name="20% - Accent3 3 2 2 4" xfId="26054" xr:uid="{89482BB7-A468-4294-8D58-8AA7A0F750AC}"/>
    <cellStyle name="20% - Accent3 3 2 2 5" xfId="17613" xr:uid="{D8F4AC4A-F4BC-4EBE-882D-8E5946BDA81F}"/>
    <cellStyle name="20% - Accent3 3 2 2 6" xfId="9172" xr:uid="{641779AD-FCD3-40BD-9042-1989B6A7692E}"/>
    <cellStyle name="20% - Accent3 3 2 3" xfId="1045" xr:uid="{00000000-0005-0000-0000-000098010000}"/>
    <cellStyle name="20% - Accent3 3 2 3 2" xfId="3276" xr:uid="{00000000-0005-0000-0000-000099010000}"/>
    <cellStyle name="20% - Accent3 3 2 3 2 2" xfId="7498" xr:uid="{00000000-0005-0000-0000-00009A010000}"/>
    <cellStyle name="20% - Accent3 3 2 3 2 2 2" xfId="32830" xr:uid="{F2F498B9-6AE0-4F8A-97B3-F792F1FEC2E3}"/>
    <cellStyle name="20% - Accent3 3 2 3 2 2 3" xfId="24389" xr:uid="{AC96B546-2D4C-444B-9664-B1D930B4B54F}"/>
    <cellStyle name="20% - Accent3 3 2 3 2 2 4" xfId="15948" xr:uid="{2A78ECAD-9A5D-4872-9629-6B6C4E07CB91}"/>
    <cellStyle name="20% - Accent3 3 2 3 2 3" xfId="28612" xr:uid="{1D4F7827-B5BB-4353-AB0B-C410555DD3E5}"/>
    <cellStyle name="20% - Accent3 3 2 3 2 4" xfId="20171" xr:uid="{580DC4F4-34BB-49BE-BDD7-C4A767C314EE}"/>
    <cellStyle name="20% - Accent3 3 2 3 2 5" xfId="11730" xr:uid="{598C1FB3-4970-4CB8-8C91-526C8998F382}"/>
    <cellStyle name="20% - Accent3 3 2 3 3" xfId="5353" xr:uid="{00000000-0005-0000-0000-00009B010000}"/>
    <cellStyle name="20% - Accent3 3 2 3 3 2" xfId="30685" xr:uid="{D7D9C6F7-E0A6-4BFA-AD4B-9F1C2E25DA4D}"/>
    <cellStyle name="20% - Accent3 3 2 3 3 3" xfId="22244" xr:uid="{1BD73A66-03C9-4500-9D92-D99F247B2847}"/>
    <cellStyle name="20% - Accent3 3 2 3 3 4" xfId="13803" xr:uid="{381D1B1E-71C7-44A7-B283-19CC9ADC0A7D}"/>
    <cellStyle name="20% - Accent3 3 2 3 4" xfId="26467" xr:uid="{A3BA4300-FEED-403B-A23B-6EBB24FBB67C}"/>
    <cellStyle name="20% - Accent3 3 2 3 5" xfId="18026" xr:uid="{07BD3195-BB26-4265-A64F-87A1B806FA42}"/>
    <cellStyle name="20% - Accent3 3 2 3 6" xfId="9585" xr:uid="{6ADBF42C-2694-48B2-971C-C8B025506BA5}"/>
    <cellStyle name="20% - Accent3 3 2 4" xfId="1459" xr:uid="{00000000-0005-0000-0000-00009C010000}"/>
    <cellStyle name="20% - Accent3 3 2 4 2" xfId="3689" xr:uid="{00000000-0005-0000-0000-00009D010000}"/>
    <cellStyle name="20% - Accent3 3 2 4 2 2" xfId="7911" xr:uid="{00000000-0005-0000-0000-00009E010000}"/>
    <cellStyle name="20% - Accent3 3 2 4 2 2 2" xfId="33243" xr:uid="{81D533D2-79FC-4816-8506-4A17214079AB}"/>
    <cellStyle name="20% - Accent3 3 2 4 2 2 3" xfId="24802" xr:uid="{ABCEEBD8-E4FF-466B-ADFE-1460309626A9}"/>
    <cellStyle name="20% - Accent3 3 2 4 2 2 4" xfId="16361" xr:uid="{F0D0956B-C160-4EAF-9EC3-910ED328CCE0}"/>
    <cellStyle name="20% - Accent3 3 2 4 2 3" xfId="29025" xr:uid="{4C6C9DE0-6B4A-4DFC-9C00-C3F3A0EE3596}"/>
    <cellStyle name="20% - Accent3 3 2 4 2 4" xfId="20584" xr:uid="{0546A12B-622A-43BC-9C78-F86D0926EE76}"/>
    <cellStyle name="20% - Accent3 3 2 4 2 5" xfId="12143" xr:uid="{881DEC4F-378E-4D2D-A77C-53A25777A3CE}"/>
    <cellStyle name="20% - Accent3 3 2 4 3" xfId="5766" xr:uid="{00000000-0005-0000-0000-00009F010000}"/>
    <cellStyle name="20% - Accent3 3 2 4 3 2" xfId="31098" xr:uid="{0BE6E887-57D7-47B3-85F0-289EC4A4545D}"/>
    <cellStyle name="20% - Accent3 3 2 4 3 3" xfId="22657" xr:uid="{7C1977CD-49BE-4510-B9FE-9B7250E9979D}"/>
    <cellStyle name="20% - Accent3 3 2 4 3 4" xfId="14216" xr:uid="{2481BBE2-D8AA-4C39-9489-669E165EF858}"/>
    <cellStyle name="20% - Accent3 3 2 4 4" xfId="26880" xr:uid="{77692F67-5106-4970-8AF9-2537903C0541}"/>
    <cellStyle name="20% - Accent3 3 2 4 5" xfId="18439" xr:uid="{A0E41685-3282-4C9B-A044-F10535581A02}"/>
    <cellStyle name="20% - Accent3 3 2 4 6" xfId="9998" xr:uid="{C069049E-3336-4DFE-A6FB-C22E76FD600E}"/>
    <cellStyle name="20% - Accent3 3 2 5" xfId="1873" xr:uid="{00000000-0005-0000-0000-0000A0010000}"/>
    <cellStyle name="20% - Accent3 3 2 5 2" xfId="4102" xr:uid="{00000000-0005-0000-0000-0000A1010000}"/>
    <cellStyle name="20% - Accent3 3 2 5 2 2" xfId="8324" xr:uid="{00000000-0005-0000-0000-0000A2010000}"/>
    <cellStyle name="20% - Accent3 3 2 5 2 2 2" xfId="33656" xr:uid="{F2728983-7721-4C25-B8EE-8CFC050E0915}"/>
    <cellStyle name="20% - Accent3 3 2 5 2 2 3" xfId="25215" xr:uid="{514BA924-8ABC-40A0-94AF-6B880F234845}"/>
    <cellStyle name="20% - Accent3 3 2 5 2 2 4" xfId="16774" xr:uid="{3E4FD90B-5080-4BBA-BA25-FA314AA0710F}"/>
    <cellStyle name="20% - Accent3 3 2 5 2 3" xfId="29438" xr:uid="{EE9F895C-DCB7-4607-9C58-B41F18388F2A}"/>
    <cellStyle name="20% - Accent3 3 2 5 2 4" xfId="20997" xr:uid="{AB5262D5-312A-423A-B96E-CC27A2153900}"/>
    <cellStyle name="20% - Accent3 3 2 5 2 5" xfId="12556" xr:uid="{846FDBE1-E057-4532-AEDB-E8E8C28EA1BE}"/>
    <cellStyle name="20% - Accent3 3 2 5 3" xfId="6179" xr:uid="{00000000-0005-0000-0000-0000A3010000}"/>
    <cellStyle name="20% - Accent3 3 2 5 3 2" xfId="31511" xr:uid="{138594DE-F8C6-493A-8D31-04BAEAE51756}"/>
    <cellStyle name="20% - Accent3 3 2 5 3 3" xfId="23070" xr:uid="{82870485-14B1-428B-95FC-9D4FFB2DCF4A}"/>
    <cellStyle name="20% - Accent3 3 2 5 3 4" xfId="14629" xr:uid="{BC955D6A-B260-42BC-B1F0-6CBFC3AA1F6A}"/>
    <cellStyle name="20% - Accent3 3 2 5 4" xfId="27293" xr:uid="{D0FCAE91-B775-4553-A72F-892495C68B4D}"/>
    <cellStyle name="20% - Accent3 3 2 5 5" xfId="18852" xr:uid="{EEAAF907-F707-44D1-8DFD-667DA664BBF6}"/>
    <cellStyle name="20% - Accent3 3 2 5 6" xfId="10411" xr:uid="{28EA1A76-95FB-4E1A-8CB7-8AE2EC368861}"/>
    <cellStyle name="20% - Accent3 3 2 6" xfId="2286" xr:uid="{00000000-0005-0000-0000-0000A4010000}"/>
    <cellStyle name="20% - Accent3 3 2 6 2" xfId="6592" xr:uid="{00000000-0005-0000-0000-0000A5010000}"/>
    <cellStyle name="20% - Accent3 3 2 6 2 2" xfId="31924" xr:uid="{4DB4AA6A-CEC4-47F3-818D-0937EBFDFCCF}"/>
    <cellStyle name="20% - Accent3 3 2 6 2 3" xfId="23483" xr:uid="{019B419B-FA0C-42E1-B3BD-25FAAC222172}"/>
    <cellStyle name="20% - Accent3 3 2 6 2 4" xfId="15042" xr:uid="{480B8F34-74C7-4B08-AD32-058867808E0A}"/>
    <cellStyle name="20% - Accent3 3 2 6 3" xfId="27706" xr:uid="{5ECD1FFF-0144-4394-8C2B-E82FF76439CE}"/>
    <cellStyle name="20% - Accent3 3 2 6 4" xfId="19265" xr:uid="{03D4F717-03A6-45ED-BFF6-ADA494120D4F}"/>
    <cellStyle name="20% - Accent3 3 2 6 5" xfId="10824" xr:uid="{4DA32295-BC84-4CC9-8920-8F91D22812EA}"/>
    <cellStyle name="20% - Accent3 3 2 7" xfId="4526" xr:uid="{00000000-0005-0000-0000-0000A6010000}"/>
    <cellStyle name="20% - Accent3 3 2 7 2" xfId="29858" xr:uid="{D2EC8A9C-8F15-4DC4-93C2-E9A831859D45}"/>
    <cellStyle name="20% - Accent3 3 2 7 3" xfId="21417" xr:uid="{C087324B-3601-463C-8A5E-B8592E943AF5}"/>
    <cellStyle name="20% - Accent3 3 2 7 4" xfId="12976" xr:uid="{622089EC-F585-464D-BCE1-9461AF6D68EF}"/>
    <cellStyle name="20% - Accent3 3 2 8" xfId="25640" xr:uid="{837A6291-5FE0-48D4-9204-DBEFB9A7F00F}"/>
    <cellStyle name="20% - Accent3 3 2 9" xfId="17199" xr:uid="{99061A51-E103-4708-B057-B00999CAB92F}"/>
    <cellStyle name="20% - Accent3 3 3" xfId="591" xr:uid="{00000000-0005-0000-0000-0000A7010000}"/>
    <cellStyle name="20% - Accent3 3 3 2" xfId="2862" xr:uid="{00000000-0005-0000-0000-0000A8010000}"/>
    <cellStyle name="20% - Accent3 3 3 2 2" xfId="7084" xr:uid="{00000000-0005-0000-0000-0000A9010000}"/>
    <cellStyle name="20% - Accent3 3 3 2 2 2" xfId="32416" xr:uid="{9547A3D6-1790-4FA9-BE88-1B618E7FF0D6}"/>
    <cellStyle name="20% - Accent3 3 3 2 2 3" xfId="23975" xr:uid="{6D360232-C98B-48A2-86A9-F7AF4D72F293}"/>
    <cellStyle name="20% - Accent3 3 3 2 2 4" xfId="15534" xr:uid="{F2122774-145C-4088-9E10-47B9A69663C3}"/>
    <cellStyle name="20% - Accent3 3 3 2 3" xfId="28198" xr:uid="{87F58D77-E899-4235-8584-CC0B5619912C}"/>
    <cellStyle name="20% - Accent3 3 3 2 4" xfId="19757" xr:uid="{0D59E126-FB6B-48CD-9197-3EFA6FA7795A}"/>
    <cellStyle name="20% - Accent3 3 3 2 5" xfId="11316" xr:uid="{7701EB46-5F94-4189-9EE9-E8389C078CF8}"/>
    <cellStyle name="20% - Accent3 3 3 3" xfId="4939" xr:uid="{00000000-0005-0000-0000-0000AA010000}"/>
    <cellStyle name="20% - Accent3 3 3 3 2" xfId="30271" xr:uid="{0B303042-FD6F-4682-9BAE-B90E07AA1B5F}"/>
    <cellStyle name="20% - Accent3 3 3 3 3" xfId="21830" xr:uid="{4EAD737A-8ABC-4FF0-96C8-1AF74B6DDA12}"/>
    <cellStyle name="20% - Accent3 3 3 3 4" xfId="13389" xr:uid="{4A4B9345-0CE5-4CDA-969D-973FAD79C60C}"/>
    <cellStyle name="20% - Accent3 3 3 4" xfId="26053" xr:uid="{932CDF26-8CED-4534-A45E-65CC5AD97015}"/>
    <cellStyle name="20% - Accent3 3 3 5" xfId="17612" xr:uid="{5FDF4918-721A-4B8A-A0F5-73F9DF06A808}"/>
    <cellStyle name="20% - Accent3 3 3 6" xfId="9171" xr:uid="{B94433B2-E4F0-4764-A295-88DB27C6EF39}"/>
    <cellStyle name="20% - Accent3 3 4" xfId="1044" xr:uid="{00000000-0005-0000-0000-0000AB010000}"/>
    <cellStyle name="20% - Accent3 3 4 2" xfId="3275" xr:uid="{00000000-0005-0000-0000-0000AC010000}"/>
    <cellStyle name="20% - Accent3 3 4 2 2" xfId="7497" xr:uid="{00000000-0005-0000-0000-0000AD010000}"/>
    <cellStyle name="20% - Accent3 3 4 2 2 2" xfId="32829" xr:uid="{51AFA9E7-C03C-4CF8-A187-CECD1617FBCF}"/>
    <cellStyle name="20% - Accent3 3 4 2 2 3" xfId="24388" xr:uid="{E5BB2F91-7247-445D-A013-BA2E42FA2AA3}"/>
    <cellStyle name="20% - Accent3 3 4 2 2 4" xfId="15947" xr:uid="{D2A9C454-FCA0-4016-AEA2-8B0FEB3C6279}"/>
    <cellStyle name="20% - Accent3 3 4 2 3" xfId="28611" xr:uid="{F580A4E3-DC58-4C2B-8062-2A3E4CAE53CC}"/>
    <cellStyle name="20% - Accent3 3 4 2 4" xfId="20170" xr:uid="{4A977A43-F804-4173-B48D-F43105A3EEF0}"/>
    <cellStyle name="20% - Accent3 3 4 2 5" xfId="11729" xr:uid="{A4E17D1B-92F7-45EF-8633-7E4913416DE4}"/>
    <cellStyle name="20% - Accent3 3 4 3" xfId="5352" xr:uid="{00000000-0005-0000-0000-0000AE010000}"/>
    <cellStyle name="20% - Accent3 3 4 3 2" xfId="30684" xr:uid="{F942A9D2-BDE0-4947-9FCF-D60455A23363}"/>
    <cellStyle name="20% - Accent3 3 4 3 3" xfId="22243" xr:uid="{E117D5B0-364D-499F-88E3-2370746652B3}"/>
    <cellStyle name="20% - Accent3 3 4 3 4" xfId="13802" xr:uid="{8975ED0F-B270-45DE-8EEF-B51312A0B626}"/>
    <cellStyle name="20% - Accent3 3 4 4" xfId="26466" xr:uid="{8F1BA698-5C5D-42D9-97EB-CA9EE2E57259}"/>
    <cellStyle name="20% - Accent3 3 4 5" xfId="18025" xr:uid="{F89C6B44-02E2-4CEB-9A8C-C683B91853E1}"/>
    <cellStyle name="20% - Accent3 3 4 6" xfId="9584" xr:uid="{6A1915ED-3E7F-4727-AEFA-52A797243B7B}"/>
    <cellStyle name="20% - Accent3 3 5" xfId="1458" xr:uid="{00000000-0005-0000-0000-0000AF010000}"/>
    <cellStyle name="20% - Accent3 3 5 2" xfId="3688" xr:uid="{00000000-0005-0000-0000-0000B0010000}"/>
    <cellStyle name="20% - Accent3 3 5 2 2" xfId="7910" xr:uid="{00000000-0005-0000-0000-0000B1010000}"/>
    <cellStyle name="20% - Accent3 3 5 2 2 2" xfId="33242" xr:uid="{18AB7786-FB10-43C2-AA25-601980538906}"/>
    <cellStyle name="20% - Accent3 3 5 2 2 3" xfId="24801" xr:uid="{0F127689-2D2A-44C6-BDAC-8AD9DEEBD140}"/>
    <cellStyle name="20% - Accent3 3 5 2 2 4" xfId="16360" xr:uid="{3F4120C2-6787-47BC-868F-1A9C36039158}"/>
    <cellStyle name="20% - Accent3 3 5 2 3" xfId="29024" xr:uid="{F4EE6B83-93E0-4041-8262-E6004980D5FD}"/>
    <cellStyle name="20% - Accent3 3 5 2 4" xfId="20583" xr:uid="{2B2A7958-6880-4612-BFED-12DBEC8B8F29}"/>
    <cellStyle name="20% - Accent3 3 5 2 5" xfId="12142" xr:uid="{1BB8ED51-BE2A-4A72-A369-81B4D7BA8576}"/>
    <cellStyle name="20% - Accent3 3 5 3" xfId="5765" xr:uid="{00000000-0005-0000-0000-0000B2010000}"/>
    <cellStyle name="20% - Accent3 3 5 3 2" xfId="31097" xr:uid="{44CB858A-41ED-4FBE-9076-845F35D06C9A}"/>
    <cellStyle name="20% - Accent3 3 5 3 3" xfId="22656" xr:uid="{272DC7A2-4D28-4A71-A501-122EED6F38DD}"/>
    <cellStyle name="20% - Accent3 3 5 3 4" xfId="14215" xr:uid="{93FC3C11-0770-4D6C-8AE1-8807BBAF4B61}"/>
    <cellStyle name="20% - Accent3 3 5 4" xfId="26879" xr:uid="{5C8E0F60-2733-43B3-A403-7D7D10A4FCA1}"/>
    <cellStyle name="20% - Accent3 3 5 5" xfId="18438" xr:uid="{80846252-8EE9-4C03-AF10-A0A4CF76147B}"/>
    <cellStyle name="20% - Accent3 3 5 6" xfId="9997" xr:uid="{DA88C9C6-31E6-486D-9B17-BCBE35D966D4}"/>
    <cellStyle name="20% - Accent3 3 6" xfId="1872" xr:uid="{00000000-0005-0000-0000-0000B3010000}"/>
    <cellStyle name="20% - Accent3 3 6 2" xfId="4101" xr:uid="{00000000-0005-0000-0000-0000B4010000}"/>
    <cellStyle name="20% - Accent3 3 6 2 2" xfId="8323" xr:uid="{00000000-0005-0000-0000-0000B5010000}"/>
    <cellStyle name="20% - Accent3 3 6 2 2 2" xfId="33655" xr:uid="{12FA9E5B-05E1-429B-80CE-4ECC70B859A1}"/>
    <cellStyle name="20% - Accent3 3 6 2 2 3" xfId="25214" xr:uid="{BEED838A-27C5-4895-8AEC-E7096E5CAEC3}"/>
    <cellStyle name="20% - Accent3 3 6 2 2 4" xfId="16773" xr:uid="{EE972D9B-E5EB-421D-A41E-68F9ACB6CD49}"/>
    <cellStyle name="20% - Accent3 3 6 2 3" xfId="29437" xr:uid="{D1D04732-5F58-4674-A654-66D0861CE9C0}"/>
    <cellStyle name="20% - Accent3 3 6 2 4" xfId="20996" xr:uid="{07A5FD63-C09C-4AF3-8395-5C8DCE2E2DBF}"/>
    <cellStyle name="20% - Accent3 3 6 2 5" xfId="12555" xr:uid="{F948C418-549B-45BD-805C-63911DD4CDCE}"/>
    <cellStyle name="20% - Accent3 3 6 3" xfId="6178" xr:uid="{00000000-0005-0000-0000-0000B6010000}"/>
    <cellStyle name="20% - Accent3 3 6 3 2" xfId="31510" xr:uid="{54C70E22-AE84-4E32-B8B6-C606D7DA99B1}"/>
    <cellStyle name="20% - Accent3 3 6 3 3" xfId="23069" xr:uid="{ED5936D2-52BD-4FF4-A26A-1579DFCF1AAF}"/>
    <cellStyle name="20% - Accent3 3 6 3 4" xfId="14628" xr:uid="{27DCA5DD-ED0F-437E-B51B-709B59C8A8E7}"/>
    <cellStyle name="20% - Accent3 3 6 4" xfId="27292" xr:uid="{B92BB5F6-C1E7-4496-9294-36F1B99FB7B1}"/>
    <cellStyle name="20% - Accent3 3 6 5" xfId="18851" xr:uid="{32C12361-8D3A-4A85-AA67-BC3F9376C078}"/>
    <cellStyle name="20% - Accent3 3 6 6" xfId="10410" xr:uid="{26F9E7AE-ECC6-4C91-8BF8-F257EE705C21}"/>
    <cellStyle name="20% - Accent3 3 7" xfId="2285" xr:uid="{00000000-0005-0000-0000-0000B7010000}"/>
    <cellStyle name="20% - Accent3 3 7 2" xfId="6591" xr:uid="{00000000-0005-0000-0000-0000B8010000}"/>
    <cellStyle name="20% - Accent3 3 7 2 2" xfId="31923" xr:uid="{0AFA68CB-3EC0-4E4F-95E1-C24C84A00450}"/>
    <cellStyle name="20% - Accent3 3 7 2 3" xfId="23482" xr:uid="{BAB956D7-7DD3-48C6-BD84-29BD2835B5D2}"/>
    <cellStyle name="20% - Accent3 3 7 2 4" xfId="15041" xr:uid="{D97D7C45-D91A-42EF-BC8B-6BCE809259BC}"/>
    <cellStyle name="20% - Accent3 3 7 3" xfId="27705" xr:uid="{AB3B5827-0FEA-44B9-A88D-48ACA9860A77}"/>
    <cellStyle name="20% - Accent3 3 7 4" xfId="19264" xr:uid="{36E5D2CB-6B75-46FF-BBDF-A44F54C44188}"/>
    <cellStyle name="20% - Accent3 3 7 5" xfId="10823" xr:uid="{2FF33BF1-8921-4DCE-A0DD-0768A95C1FDB}"/>
    <cellStyle name="20% - Accent3 3 8" xfId="4525" xr:uid="{00000000-0005-0000-0000-0000B9010000}"/>
    <cellStyle name="20% - Accent3 3 8 2" xfId="29857" xr:uid="{6C51429F-46E4-4B36-8A1A-01E6FDEE6149}"/>
    <cellStyle name="20% - Accent3 3 8 3" xfId="21416" xr:uid="{5B021981-561D-4540-A56F-2B3161E51089}"/>
    <cellStyle name="20% - Accent3 3 8 4" xfId="12975" xr:uid="{59D26003-6F3D-49F9-9270-C431148D1174}"/>
    <cellStyle name="20% - Accent3 3 9" xfId="25639" xr:uid="{944DE632-D0F1-434E-ADD7-57EF9C28DA0D}"/>
    <cellStyle name="20% - Accent3 4" xfId="24" xr:uid="{00000000-0005-0000-0000-0000BA010000}"/>
    <cellStyle name="20% - Accent3 4 10" xfId="8759" xr:uid="{A629D125-27B9-44D2-A8B2-668919AC5C66}"/>
    <cellStyle name="20% - Accent3 4 2" xfId="593" xr:uid="{00000000-0005-0000-0000-0000BB010000}"/>
    <cellStyle name="20% - Accent3 4 2 2" xfId="2864" xr:uid="{00000000-0005-0000-0000-0000BC010000}"/>
    <cellStyle name="20% - Accent3 4 2 2 2" xfId="7086" xr:uid="{00000000-0005-0000-0000-0000BD010000}"/>
    <cellStyle name="20% - Accent3 4 2 2 2 2" xfId="32418" xr:uid="{2E0443D2-9742-498C-922C-1B7A0F290C36}"/>
    <cellStyle name="20% - Accent3 4 2 2 2 3" xfId="23977" xr:uid="{6C025A49-A881-4EF2-B819-CDAE32A3108C}"/>
    <cellStyle name="20% - Accent3 4 2 2 2 4" xfId="15536" xr:uid="{27494504-731C-4116-AD90-3ACD8974BF53}"/>
    <cellStyle name="20% - Accent3 4 2 2 3" xfId="28200" xr:uid="{AAF6820B-8FC7-430A-BF9B-9E11B2F84CBB}"/>
    <cellStyle name="20% - Accent3 4 2 2 4" xfId="19759" xr:uid="{8739D0C2-1475-4F24-847F-6ACDF90E56E7}"/>
    <cellStyle name="20% - Accent3 4 2 2 5" xfId="11318" xr:uid="{440C7999-531F-433F-8FB8-6643D52EDF09}"/>
    <cellStyle name="20% - Accent3 4 2 3" xfId="4941" xr:uid="{00000000-0005-0000-0000-0000BE010000}"/>
    <cellStyle name="20% - Accent3 4 2 3 2" xfId="30273" xr:uid="{9797DC39-704D-4E36-A5E0-AF89B611CB20}"/>
    <cellStyle name="20% - Accent3 4 2 3 3" xfId="21832" xr:uid="{D49F22EC-049B-4B19-852B-AD569A5E12D9}"/>
    <cellStyle name="20% - Accent3 4 2 3 4" xfId="13391" xr:uid="{59BFA48E-A8B0-4821-BC11-65C6C1C82953}"/>
    <cellStyle name="20% - Accent3 4 2 4" xfId="26055" xr:uid="{58251C04-5326-4108-9F96-5C431F4707C0}"/>
    <cellStyle name="20% - Accent3 4 2 5" xfId="17614" xr:uid="{9C0EA71B-21B4-46B2-A8BE-C3CC736222DF}"/>
    <cellStyle name="20% - Accent3 4 2 6" xfId="9173" xr:uid="{8B2B82B7-0BDC-45B6-A8A0-B9F563B8BA4B}"/>
    <cellStyle name="20% - Accent3 4 3" xfId="1046" xr:uid="{00000000-0005-0000-0000-0000BF010000}"/>
    <cellStyle name="20% - Accent3 4 3 2" xfId="3277" xr:uid="{00000000-0005-0000-0000-0000C0010000}"/>
    <cellStyle name="20% - Accent3 4 3 2 2" xfId="7499" xr:uid="{00000000-0005-0000-0000-0000C1010000}"/>
    <cellStyle name="20% - Accent3 4 3 2 2 2" xfId="32831" xr:uid="{3CF1DD93-2DDF-4E6A-8821-BB2A0F3F0145}"/>
    <cellStyle name="20% - Accent3 4 3 2 2 3" xfId="24390" xr:uid="{42CE41D6-A775-4A57-A802-BE7F05665AD5}"/>
    <cellStyle name="20% - Accent3 4 3 2 2 4" xfId="15949" xr:uid="{9DFE2B3F-76B3-4F1E-B663-EF3F9B3EE566}"/>
    <cellStyle name="20% - Accent3 4 3 2 3" xfId="28613" xr:uid="{BCE5F636-7E32-4342-BC02-5F9EE72B77A9}"/>
    <cellStyle name="20% - Accent3 4 3 2 4" xfId="20172" xr:uid="{679AE4E7-F4CF-4734-99D8-272FD5694440}"/>
    <cellStyle name="20% - Accent3 4 3 2 5" xfId="11731" xr:uid="{9B777168-D6F1-4811-9D46-1127D0ED35C0}"/>
    <cellStyle name="20% - Accent3 4 3 3" xfId="5354" xr:uid="{00000000-0005-0000-0000-0000C2010000}"/>
    <cellStyle name="20% - Accent3 4 3 3 2" xfId="30686" xr:uid="{6288B6FE-2F43-4327-80ED-68F3AE94F885}"/>
    <cellStyle name="20% - Accent3 4 3 3 3" xfId="22245" xr:uid="{18CFC653-220A-4D10-A6B4-4B555D78DC64}"/>
    <cellStyle name="20% - Accent3 4 3 3 4" xfId="13804" xr:uid="{94A42D56-96B0-43F0-B37E-2E4608D8698B}"/>
    <cellStyle name="20% - Accent3 4 3 4" xfId="26468" xr:uid="{DE9EAD3E-714C-413E-8627-AE46AF3140C5}"/>
    <cellStyle name="20% - Accent3 4 3 5" xfId="18027" xr:uid="{2CCB8DD8-8E55-4011-963A-9E59C8ABD6DA}"/>
    <cellStyle name="20% - Accent3 4 3 6" xfId="9586" xr:uid="{F7F1EADB-744B-4942-84E7-338364E16B76}"/>
    <cellStyle name="20% - Accent3 4 4" xfId="1460" xr:uid="{00000000-0005-0000-0000-0000C3010000}"/>
    <cellStyle name="20% - Accent3 4 4 2" xfId="3690" xr:uid="{00000000-0005-0000-0000-0000C4010000}"/>
    <cellStyle name="20% - Accent3 4 4 2 2" xfId="7912" xr:uid="{00000000-0005-0000-0000-0000C5010000}"/>
    <cellStyle name="20% - Accent3 4 4 2 2 2" xfId="33244" xr:uid="{16842C48-9910-4284-9794-88A5E5F7B350}"/>
    <cellStyle name="20% - Accent3 4 4 2 2 3" xfId="24803" xr:uid="{B5B075A3-40F2-4C10-BC3B-F482D16E4AD8}"/>
    <cellStyle name="20% - Accent3 4 4 2 2 4" xfId="16362" xr:uid="{98CFC857-1855-45C7-A0FB-DA0DF001F6DD}"/>
    <cellStyle name="20% - Accent3 4 4 2 3" xfId="29026" xr:uid="{8D5BB7F1-1EC0-47DD-B728-5474566EBF23}"/>
    <cellStyle name="20% - Accent3 4 4 2 4" xfId="20585" xr:uid="{3574A5DD-C547-44B7-93F0-62BD79F78D61}"/>
    <cellStyle name="20% - Accent3 4 4 2 5" xfId="12144" xr:uid="{FCD22867-EEFD-43F6-9BF8-DB3801D72118}"/>
    <cellStyle name="20% - Accent3 4 4 3" xfId="5767" xr:uid="{00000000-0005-0000-0000-0000C6010000}"/>
    <cellStyle name="20% - Accent3 4 4 3 2" xfId="31099" xr:uid="{05253C1E-6C1E-49DD-8613-C400EBAE7FA9}"/>
    <cellStyle name="20% - Accent3 4 4 3 3" xfId="22658" xr:uid="{B233A543-4F76-467A-A632-7DD147FA2247}"/>
    <cellStyle name="20% - Accent3 4 4 3 4" xfId="14217" xr:uid="{30E94C0E-83A6-4E28-83EC-7DAA78F03C88}"/>
    <cellStyle name="20% - Accent3 4 4 4" xfId="26881" xr:uid="{2DE4EA64-CE49-4496-BD28-B7FA6B377D41}"/>
    <cellStyle name="20% - Accent3 4 4 5" xfId="18440" xr:uid="{17CE5940-AF15-47DE-87CE-1D939371B7D9}"/>
    <cellStyle name="20% - Accent3 4 4 6" xfId="9999" xr:uid="{E717F11F-3963-47EC-8C55-361C85CE9B39}"/>
    <cellStyle name="20% - Accent3 4 5" xfId="1874" xr:uid="{00000000-0005-0000-0000-0000C7010000}"/>
    <cellStyle name="20% - Accent3 4 5 2" xfId="4103" xr:uid="{00000000-0005-0000-0000-0000C8010000}"/>
    <cellStyle name="20% - Accent3 4 5 2 2" xfId="8325" xr:uid="{00000000-0005-0000-0000-0000C9010000}"/>
    <cellStyle name="20% - Accent3 4 5 2 2 2" xfId="33657" xr:uid="{45ACAC9A-8D27-48DA-AB3C-70A195B06610}"/>
    <cellStyle name="20% - Accent3 4 5 2 2 3" xfId="25216" xr:uid="{5868D04E-8F56-44DB-B474-0821715D3C47}"/>
    <cellStyle name="20% - Accent3 4 5 2 2 4" xfId="16775" xr:uid="{08A8A469-3574-4867-9908-EF5F9EB64389}"/>
    <cellStyle name="20% - Accent3 4 5 2 3" xfId="29439" xr:uid="{9359FEE1-926D-4AD9-AB00-5B49AFB47554}"/>
    <cellStyle name="20% - Accent3 4 5 2 4" xfId="20998" xr:uid="{A86822EB-0BC9-4D45-A7DE-0538FC0E3B55}"/>
    <cellStyle name="20% - Accent3 4 5 2 5" xfId="12557" xr:uid="{AD7F9CD6-B6BF-4B01-ACFA-808B62C57044}"/>
    <cellStyle name="20% - Accent3 4 5 3" xfId="6180" xr:uid="{00000000-0005-0000-0000-0000CA010000}"/>
    <cellStyle name="20% - Accent3 4 5 3 2" xfId="31512" xr:uid="{EE0296EB-D7E6-452E-A33D-2C9E59A0AA5B}"/>
    <cellStyle name="20% - Accent3 4 5 3 3" xfId="23071" xr:uid="{47BA5BF1-7CEA-485C-BDB3-587C1AAFA72C}"/>
    <cellStyle name="20% - Accent3 4 5 3 4" xfId="14630" xr:uid="{34560E8B-72B5-4719-A190-A18C6235A545}"/>
    <cellStyle name="20% - Accent3 4 5 4" xfId="27294" xr:uid="{B4919BB5-D4C4-486D-8140-A88539965CAD}"/>
    <cellStyle name="20% - Accent3 4 5 5" xfId="18853" xr:uid="{8089981E-5C13-473A-B9FF-88D03AAB4FC9}"/>
    <cellStyle name="20% - Accent3 4 5 6" xfId="10412" xr:uid="{A1D3E8FD-46F9-493C-B75B-D9477F9CF8B8}"/>
    <cellStyle name="20% - Accent3 4 6" xfId="2287" xr:uid="{00000000-0005-0000-0000-0000CB010000}"/>
    <cellStyle name="20% - Accent3 4 6 2" xfId="6593" xr:uid="{00000000-0005-0000-0000-0000CC010000}"/>
    <cellStyle name="20% - Accent3 4 6 2 2" xfId="31925" xr:uid="{D182E763-88FE-43DB-BD75-21AECDE2D7CC}"/>
    <cellStyle name="20% - Accent3 4 6 2 3" xfId="23484" xr:uid="{F1BFBE27-3BD4-4057-91FF-2F8921C39AEF}"/>
    <cellStyle name="20% - Accent3 4 6 2 4" xfId="15043" xr:uid="{56D60C08-71DF-4D36-9C74-7E0FD11B724C}"/>
    <cellStyle name="20% - Accent3 4 6 3" xfId="27707" xr:uid="{92A6645B-D895-4DA4-8351-E5F8014C5646}"/>
    <cellStyle name="20% - Accent3 4 6 4" xfId="19266" xr:uid="{2F13DC97-D079-4C37-B20D-ADD301CC439D}"/>
    <cellStyle name="20% - Accent3 4 6 5" xfId="10825" xr:uid="{456A383F-3D44-4A3F-99DC-3FF2826AE6B1}"/>
    <cellStyle name="20% - Accent3 4 7" xfId="4527" xr:uid="{00000000-0005-0000-0000-0000CD010000}"/>
    <cellStyle name="20% - Accent3 4 7 2" xfId="29859" xr:uid="{211A09C1-9A52-4F4B-9128-31892BC0E67F}"/>
    <cellStyle name="20% - Accent3 4 7 3" xfId="21418" xr:uid="{CC08799F-6B8C-402A-B6D1-6CE790F53A9B}"/>
    <cellStyle name="20% - Accent3 4 7 4" xfId="12977" xr:uid="{C3725787-3442-483A-9978-D3359C1699E4}"/>
    <cellStyle name="20% - Accent3 4 8" xfId="25641" xr:uid="{11A14FE0-8952-465B-9F70-6065FFF5655B}"/>
    <cellStyle name="20% - Accent3 4 9" xfId="17200" xr:uid="{AB0F2F89-D6F1-4DEA-90B2-2634829360F7}"/>
    <cellStyle name="20% - Accent3 5" xfId="586" xr:uid="{00000000-0005-0000-0000-0000CE010000}"/>
    <cellStyle name="20% - Accent3 5 2" xfId="2857" xr:uid="{00000000-0005-0000-0000-0000CF010000}"/>
    <cellStyle name="20% - Accent3 5 2 2" xfId="7079" xr:uid="{00000000-0005-0000-0000-0000D0010000}"/>
    <cellStyle name="20% - Accent3 5 2 2 2" xfId="32411" xr:uid="{5AB1A149-6E08-45FA-A13A-EBF1B363ED0F}"/>
    <cellStyle name="20% - Accent3 5 2 2 3" xfId="23970" xr:uid="{B72AEC40-9CDA-4EA8-A7C7-602FDEC26DA3}"/>
    <cellStyle name="20% - Accent3 5 2 2 4" xfId="15529" xr:uid="{FA5832A8-641A-46C8-9913-E5A9757F7A56}"/>
    <cellStyle name="20% - Accent3 5 2 3" xfId="28193" xr:uid="{9C19D64C-ACA8-4A1C-BD78-4D9EC6F605E0}"/>
    <cellStyle name="20% - Accent3 5 2 4" xfId="19752" xr:uid="{09108ED4-534E-479B-AF9B-3F4CD1FFAA09}"/>
    <cellStyle name="20% - Accent3 5 2 5" xfId="11311" xr:uid="{AAE37335-2C0D-4740-8E61-B663992537D4}"/>
    <cellStyle name="20% - Accent3 5 3" xfId="4934" xr:uid="{00000000-0005-0000-0000-0000D1010000}"/>
    <cellStyle name="20% - Accent3 5 3 2" xfId="30266" xr:uid="{39A1DFF7-36A9-4557-808F-160842E5B501}"/>
    <cellStyle name="20% - Accent3 5 3 3" xfId="21825" xr:uid="{05AAF56E-4A6E-410A-9141-39A2050444FB}"/>
    <cellStyle name="20% - Accent3 5 3 4" xfId="13384" xr:uid="{21CA0444-FA2F-4618-BAEF-5AA154231821}"/>
    <cellStyle name="20% - Accent3 5 4" xfId="26048" xr:uid="{E25D8306-4BB7-40AC-B85B-1D4A27046ED5}"/>
    <cellStyle name="20% - Accent3 5 5" xfId="17607" xr:uid="{5FB0CF12-74DF-4303-BB54-EA3CF9349600}"/>
    <cellStyle name="20% - Accent3 5 6" xfId="9166" xr:uid="{E2209180-8DFD-45A8-834B-D1DDD470A6A0}"/>
    <cellStyle name="20% - Accent3 6" xfId="1039" xr:uid="{00000000-0005-0000-0000-0000D2010000}"/>
    <cellStyle name="20% - Accent3 6 2" xfId="3270" xr:uid="{00000000-0005-0000-0000-0000D3010000}"/>
    <cellStyle name="20% - Accent3 6 2 2" xfId="7492" xr:uid="{00000000-0005-0000-0000-0000D4010000}"/>
    <cellStyle name="20% - Accent3 6 2 2 2" xfId="32824" xr:uid="{9D5BBC08-CF1C-4C1B-B270-869A352DED63}"/>
    <cellStyle name="20% - Accent3 6 2 2 3" xfId="24383" xr:uid="{88162AE6-8C69-4936-92EB-CC0F14267A27}"/>
    <cellStyle name="20% - Accent3 6 2 2 4" xfId="15942" xr:uid="{7B4B9F60-2492-4FFD-86D3-B384E2E13997}"/>
    <cellStyle name="20% - Accent3 6 2 3" xfId="28606" xr:uid="{697BB4CD-ADC0-4DED-A127-F1FA2ED0B70E}"/>
    <cellStyle name="20% - Accent3 6 2 4" xfId="20165" xr:uid="{7951DD6E-CCD4-42F2-AB17-F1F146AA695F}"/>
    <cellStyle name="20% - Accent3 6 2 5" xfId="11724" xr:uid="{8AFDE16E-6F78-434F-AF15-3FAA3025775F}"/>
    <cellStyle name="20% - Accent3 6 3" xfId="5347" xr:uid="{00000000-0005-0000-0000-0000D5010000}"/>
    <cellStyle name="20% - Accent3 6 3 2" xfId="30679" xr:uid="{F5769066-756D-4E42-8D30-A5971A1B91C6}"/>
    <cellStyle name="20% - Accent3 6 3 3" xfId="22238" xr:uid="{514948EB-7B49-4E44-BEBE-1D24737486E0}"/>
    <cellStyle name="20% - Accent3 6 3 4" xfId="13797" xr:uid="{9D7608BD-C066-48E6-A996-41F8B4981208}"/>
    <cellStyle name="20% - Accent3 6 4" xfId="26461" xr:uid="{FC86E692-C8AF-4060-BA3F-270CF6931FC1}"/>
    <cellStyle name="20% - Accent3 6 5" xfId="18020" xr:uid="{3368087C-50C9-4F53-A067-792CB31A1E6A}"/>
    <cellStyle name="20% - Accent3 6 6" xfId="9579" xr:uid="{D99D186B-1960-42CF-92A9-365659EEF056}"/>
    <cellStyle name="20% - Accent3 7" xfId="1453" xr:uid="{00000000-0005-0000-0000-0000D6010000}"/>
    <cellStyle name="20% - Accent3 7 2" xfId="3683" xr:uid="{00000000-0005-0000-0000-0000D7010000}"/>
    <cellStyle name="20% - Accent3 7 2 2" xfId="7905" xr:uid="{00000000-0005-0000-0000-0000D8010000}"/>
    <cellStyle name="20% - Accent3 7 2 2 2" xfId="33237" xr:uid="{9CCB14E4-0EBD-49AC-B1E3-1B5E967B031B}"/>
    <cellStyle name="20% - Accent3 7 2 2 3" xfId="24796" xr:uid="{F1B00190-717B-469F-A417-2878363D62D6}"/>
    <cellStyle name="20% - Accent3 7 2 2 4" xfId="16355" xr:uid="{8101A999-CE9B-437C-A46E-6A7A6820928D}"/>
    <cellStyle name="20% - Accent3 7 2 3" xfId="29019" xr:uid="{8F6D4CC0-BBD6-40F9-AEDE-1B98DEA85558}"/>
    <cellStyle name="20% - Accent3 7 2 4" xfId="20578" xr:uid="{0196D04F-C52A-4098-AE70-CF9648B7EF41}"/>
    <cellStyle name="20% - Accent3 7 2 5" xfId="12137" xr:uid="{135993D4-D791-4EF3-9FF8-69F289523B1F}"/>
    <cellStyle name="20% - Accent3 7 3" xfId="5760" xr:uid="{00000000-0005-0000-0000-0000D9010000}"/>
    <cellStyle name="20% - Accent3 7 3 2" xfId="31092" xr:uid="{3A6BBB25-F27A-461D-947C-D5A083E7112C}"/>
    <cellStyle name="20% - Accent3 7 3 3" xfId="22651" xr:uid="{041C36AC-13D7-4CDC-A76C-D403E62F83F1}"/>
    <cellStyle name="20% - Accent3 7 3 4" xfId="14210" xr:uid="{3175CF01-A2E2-4AA7-B882-5366745AACCA}"/>
    <cellStyle name="20% - Accent3 7 4" xfId="26874" xr:uid="{117E6A43-C013-4BEC-95B2-F4288B372BB0}"/>
    <cellStyle name="20% - Accent3 7 5" xfId="18433" xr:uid="{C1D6BF5C-7B11-4B4B-91D1-B2C391574187}"/>
    <cellStyle name="20% - Accent3 7 6" xfId="9992" xr:uid="{E8ADCDC1-D516-4948-AB6E-B27EAF3EDC86}"/>
    <cellStyle name="20% - Accent3 8" xfId="1867" xr:uid="{00000000-0005-0000-0000-0000DA010000}"/>
    <cellStyle name="20% - Accent3 8 2" xfId="4096" xr:uid="{00000000-0005-0000-0000-0000DB010000}"/>
    <cellStyle name="20% - Accent3 8 2 2" xfId="8318" xr:uid="{00000000-0005-0000-0000-0000DC010000}"/>
    <cellStyle name="20% - Accent3 8 2 2 2" xfId="33650" xr:uid="{94376093-E747-41B0-84E8-D95CF6EC4D91}"/>
    <cellStyle name="20% - Accent3 8 2 2 3" xfId="25209" xr:uid="{4D943F6B-6FE7-4A28-A459-E6DA363D54D8}"/>
    <cellStyle name="20% - Accent3 8 2 2 4" xfId="16768" xr:uid="{AB17F898-E155-4D9D-8C31-973BFA74439A}"/>
    <cellStyle name="20% - Accent3 8 2 3" xfId="29432" xr:uid="{8011760D-387D-4F58-A40B-8AB6C1E3FF77}"/>
    <cellStyle name="20% - Accent3 8 2 4" xfId="20991" xr:uid="{967B614F-6169-4267-90FD-B07EF92BBEDA}"/>
    <cellStyle name="20% - Accent3 8 2 5" xfId="12550" xr:uid="{1A8773E9-F384-4D24-95E8-CF731E0D0736}"/>
    <cellStyle name="20% - Accent3 8 3" xfId="6173" xr:uid="{00000000-0005-0000-0000-0000DD010000}"/>
    <cellStyle name="20% - Accent3 8 3 2" xfId="31505" xr:uid="{7F567806-89F6-4A02-A8B4-50A50FA0E6DB}"/>
    <cellStyle name="20% - Accent3 8 3 3" xfId="23064" xr:uid="{AFD66ECF-79A0-45F6-A1EB-DAD0F38F492E}"/>
    <cellStyle name="20% - Accent3 8 3 4" xfId="14623" xr:uid="{C7DD2152-5946-4ED7-B1CD-2E43FA2A79D4}"/>
    <cellStyle name="20% - Accent3 8 4" xfId="27287" xr:uid="{397479C0-7459-4BCA-8DB7-E15F388782E4}"/>
    <cellStyle name="20% - Accent3 8 5" xfId="18846" xr:uid="{69173BFE-AF9C-4A2A-AD96-10B5F74B96E5}"/>
    <cellStyle name="20% - Accent3 8 6" xfId="10405" xr:uid="{5A1D6C49-A208-4839-BBC4-93177ABA8EF9}"/>
    <cellStyle name="20% - Accent3 9" xfId="2280" xr:uid="{00000000-0005-0000-0000-0000DE010000}"/>
    <cellStyle name="20% - Accent3 9 2" xfId="6586" xr:uid="{00000000-0005-0000-0000-0000DF010000}"/>
    <cellStyle name="20% - Accent3 9 2 2" xfId="31918" xr:uid="{28587467-17BF-4510-892B-F04AC3B35A23}"/>
    <cellStyle name="20% - Accent3 9 2 3" xfId="23477" xr:uid="{7AA8E385-672D-41BE-B4CF-846C4894EF69}"/>
    <cellStyle name="20% - Accent3 9 2 4" xfId="15036" xr:uid="{7E28D50B-6B9F-4A7C-B795-9045DB4E6087}"/>
    <cellStyle name="20% - Accent3 9 3" xfId="27700" xr:uid="{1B851103-4FDF-48C6-8183-3D11DF797221}"/>
    <cellStyle name="20% - Accent3 9 4" xfId="19259" xr:uid="{E096ACA6-A4C6-40A9-9398-0E994CBF9E95}"/>
    <cellStyle name="20% - Accent3 9 5" xfId="10818" xr:uid="{8F37A000-6768-4ED4-A537-AAEFFE5CE4D9}"/>
    <cellStyle name="20% - Accent4" xfId="25" builtinId="42" customBuiltin="1"/>
    <cellStyle name="20% - Accent4 10" xfId="4528" xr:uid="{00000000-0005-0000-0000-0000E1010000}"/>
    <cellStyle name="20% - Accent4 10 2" xfId="29860" xr:uid="{9CD784EE-2E7B-4535-A879-16C4D86B260D}"/>
    <cellStyle name="20% - Accent4 10 3" xfId="21419" xr:uid="{767D3972-27CF-4CDF-B645-695AA2DBD7D4}"/>
    <cellStyle name="20% - Accent4 10 4" xfId="12978" xr:uid="{0C2BF964-858C-4AFD-B707-7A333BADBD34}"/>
    <cellStyle name="20% - Accent4 11" xfId="25642" xr:uid="{51784636-4F7A-49DE-89C8-0D9AC066050E}"/>
    <cellStyle name="20% - Accent4 12" xfId="17201" xr:uid="{A6F7C4A1-1999-4348-A56A-61F82D15B249}"/>
    <cellStyle name="20% - Accent4 13" xfId="8760" xr:uid="{992F9042-ABC3-4FB3-AD3E-96107990331D}"/>
    <cellStyle name="20% - Accent4 2" xfId="26" xr:uid="{00000000-0005-0000-0000-0000E2010000}"/>
    <cellStyle name="20% - Accent4 2 10" xfId="25643" xr:uid="{C5D91BEB-3DF9-4D1B-B114-DD7A6D8D9FAF}"/>
    <cellStyle name="20% - Accent4 2 11" xfId="17202" xr:uid="{E899578A-3B56-4D5B-9F9B-C3FC46CAB57A}"/>
    <cellStyle name="20% - Accent4 2 12" xfId="8761" xr:uid="{E6BE7913-163E-4841-85EA-A31EF51C5457}"/>
    <cellStyle name="20% - Accent4 2 2" xfId="27" xr:uid="{00000000-0005-0000-0000-0000E3010000}"/>
    <cellStyle name="20% - Accent4 2 2 10" xfId="17203" xr:uid="{D1BBA347-E96C-410D-9FD4-1D98BE44E38E}"/>
    <cellStyle name="20% - Accent4 2 2 11" xfId="8762" xr:uid="{809C3334-DEA2-4AA5-86F9-BF57289173B5}"/>
    <cellStyle name="20% - Accent4 2 2 2" xfId="28" xr:uid="{00000000-0005-0000-0000-0000E4010000}"/>
    <cellStyle name="20% - Accent4 2 2 2 10" xfId="8763" xr:uid="{2B7CFDFC-74C7-4296-A1D9-6D8EB4579C62}"/>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2 2 2" xfId="32422" xr:uid="{3E32A882-E34E-4FEE-B3D1-030AF1C3A0CA}"/>
    <cellStyle name="20% - Accent4 2 2 2 2 2 2 3" xfId="23981" xr:uid="{F7CE5D01-7F76-4527-B1CA-0D025EE3C9CC}"/>
    <cellStyle name="20% - Accent4 2 2 2 2 2 2 4" xfId="15540" xr:uid="{942DE41C-B184-4811-A6AA-295BC0DA2493}"/>
    <cellStyle name="20% - Accent4 2 2 2 2 2 3" xfId="28204" xr:uid="{8BA3A754-85F1-41A8-9620-535D3CF13045}"/>
    <cellStyle name="20% - Accent4 2 2 2 2 2 4" xfId="19763" xr:uid="{828BDB54-E25D-4ABA-9AE7-906E5BBAD6FE}"/>
    <cellStyle name="20% - Accent4 2 2 2 2 2 5" xfId="11322" xr:uid="{6D707F8F-317E-4329-AB11-D6CCEA46607E}"/>
    <cellStyle name="20% - Accent4 2 2 2 2 3" xfId="4945" xr:uid="{00000000-0005-0000-0000-0000E8010000}"/>
    <cellStyle name="20% - Accent4 2 2 2 2 3 2" xfId="30277" xr:uid="{A1C87B57-92EF-4AEE-B38C-0A8C9E4CDE06}"/>
    <cellStyle name="20% - Accent4 2 2 2 2 3 3" xfId="21836" xr:uid="{1A42E133-8A80-43F1-ACFF-606429A11757}"/>
    <cellStyle name="20% - Accent4 2 2 2 2 3 4" xfId="13395" xr:uid="{4651501E-9ADB-48C9-B091-7BCDE5EBEFC7}"/>
    <cellStyle name="20% - Accent4 2 2 2 2 4" xfId="26059" xr:uid="{404F278D-1036-49A9-9A65-6E589216CD86}"/>
    <cellStyle name="20% - Accent4 2 2 2 2 5" xfId="17618" xr:uid="{A86C91FD-65DC-458A-B5AB-438AA350513A}"/>
    <cellStyle name="20% - Accent4 2 2 2 2 6" xfId="9177" xr:uid="{CADEBA77-A094-4372-9FFE-1073E2EE3818}"/>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2 2 2" xfId="32835" xr:uid="{876DD99C-CB78-4011-868A-F5C93BB5094F}"/>
    <cellStyle name="20% - Accent4 2 2 2 3 2 2 3" xfId="24394" xr:uid="{A78FC8D5-58CC-4B54-B3F6-45FE6CA93BE3}"/>
    <cellStyle name="20% - Accent4 2 2 2 3 2 2 4" xfId="15953" xr:uid="{DB779B5F-2AA2-43B3-89D9-5971C7C5EFCE}"/>
    <cellStyle name="20% - Accent4 2 2 2 3 2 3" xfId="28617" xr:uid="{C678E3C1-F6F7-4455-88E4-07A64044ABDB}"/>
    <cellStyle name="20% - Accent4 2 2 2 3 2 4" xfId="20176" xr:uid="{3EE58870-E912-4663-8A2B-425BDE4F7BDE}"/>
    <cellStyle name="20% - Accent4 2 2 2 3 2 5" xfId="11735" xr:uid="{003EC864-BC8E-4C15-98B9-28FEF9301B00}"/>
    <cellStyle name="20% - Accent4 2 2 2 3 3" xfId="5358" xr:uid="{00000000-0005-0000-0000-0000EC010000}"/>
    <cellStyle name="20% - Accent4 2 2 2 3 3 2" xfId="30690" xr:uid="{3BD41DF0-075F-42BB-8D11-2DE4B1D16F63}"/>
    <cellStyle name="20% - Accent4 2 2 2 3 3 3" xfId="22249" xr:uid="{B44DD733-C342-4321-A18D-F638471BC9F6}"/>
    <cellStyle name="20% - Accent4 2 2 2 3 3 4" xfId="13808" xr:uid="{69ACD0C6-11BF-492A-95CE-E3D02B89A28E}"/>
    <cellStyle name="20% - Accent4 2 2 2 3 4" xfId="26472" xr:uid="{7CEC75AC-A7A5-49CB-B85D-1E36B7301E8A}"/>
    <cellStyle name="20% - Accent4 2 2 2 3 5" xfId="18031" xr:uid="{D65F19E7-8D88-4F35-A80C-6482A4C622CF}"/>
    <cellStyle name="20% - Accent4 2 2 2 3 6" xfId="9590" xr:uid="{2093C5EB-679E-405C-829F-3D7F2E77A407}"/>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2 2 2" xfId="33248" xr:uid="{1AC03EE5-F8EE-4369-89A5-2E3796D2AF3C}"/>
    <cellStyle name="20% - Accent4 2 2 2 4 2 2 3" xfId="24807" xr:uid="{9C77109A-51D3-4637-8CE5-CF2571B9979A}"/>
    <cellStyle name="20% - Accent4 2 2 2 4 2 2 4" xfId="16366" xr:uid="{EDEE4400-F728-46D9-A212-0D4290D8B27A}"/>
    <cellStyle name="20% - Accent4 2 2 2 4 2 3" xfId="29030" xr:uid="{B2285A5E-30FC-497A-828D-AE395C21DE90}"/>
    <cellStyle name="20% - Accent4 2 2 2 4 2 4" xfId="20589" xr:uid="{D6024C3E-4621-4F76-968B-903C11D1D6DA}"/>
    <cellStyle name="20% - Accent4 2 2 2 4 2 5" xfId="12148" xr:uid="{78D00444-9619-4124-B563-EF8F9B0FC3B9}"/>
    <cellStyle name="20% - Accent4 2 2 2 4 3" xfId="5771" xr:uid="{00000000-0005-0000-0000-0000F0010000}"/>
    <cellStyle name="20% - Accent4 2 2 2 4 3 2" xfId="31103" xr:uid="{D6E9BF5E-1E5D-4FAF-9B8C-9F4768737D17}"/>
    <cellStyle name="20% - Accent4 2 2 2 4 3 3" xfId="22662" xr:uid="{E8C64462-8935-49CF-A48C-D9107872CAAC}"/>
    <cellStyle name="20% - Accent4 2 2 2 4 3 4" xfId="14221" xr:uid="{E7A5F37E-5C22-4FAA-82AB-128F467435E9}"/>
    <cellStyle name="20% - Accent4 2 2 2 4 4" xfId="26885" xr:uid="{2B407129-CB19-4D89-AF94-CD4EEC4FD586}"/>
    <cellStyle name="20% - Accent4 2 2 2 4 5" xfId="18444" xr:uid="{740B8B82-E544-4836-8137-B65CD48569EE}"/>
    <cellStyle name="20% - Accent4 2 2 2 4 6" xfId="10003" xr:uid="{D67D5B99-71EC-4E2A-BBA3-197B6FF72587}"/>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2 2 2" xfId="33661" xr:uid="{940434D5-9B4B-4933-8752-616C640D5183}"/>
    <cellStyle name="20% - Accent4 2 2 2 5 2 2 3" xfId="25220" xr:uid="{8834EB4C-5AA6-4FAA-A821-CF783CE8446F}"/>
    <cellStyle name="20% - Accent4 2 2 2 5 2 2 4" xfId="16779" xr:uid="{B4ADA6BE-5591-47BD-BCF3-141B64D6AFDC}"/>
    <cellStyle name="20% - Accent4 2 2 2 5 2 3" xfId="29443" xr:uid="{E07B6BFB-81C9-4C7C-AF4D-96A379FFDEEA}"/>
    <cellStyle name="20% - Accent4 2 2 2 5 2 4" xfId="21002" xr:uid="{83E0795C-0BAD-47DA-8AEC-C8483CECB4CA}"/>
    <cellStyle name="20% - Accent4 2 2 2 5 2 5" xfId="12561" xr:uid="{A2E9615C-1BEF-4B6F-A825-EAEF78F23979}"/>
    <cellStyle name="20% - Accent4 2 2 2 5 3" xfId="6184" xr:uid="{00000000-0005-0000-0000-0000F4010000}"/>
    <cellStyle name="20% - Accent4 2 2 2 5 3 2" xfId="31516" xr:uid="{A5D3A923-3F13-4BBD-9BE9-DAC2E399C832}"/>
    <cellStyle name="20% - Accent4 2 2 2 5 3 3" xfId="23075" xr:uid="{0CB4ED19-ACC2-419B-AF27-446653660742}"/>
    <cellStyle name="20% - Accent4 2 2 2 5 3 4" xfId="14634" xr:uid="{DC2B275C-09DF-4E0A-B08E-12C52281A6DD}"/>
    <cellStyle name="20% - Accent4 2 2 2 5 4" xfId="27298" xr:uid="{BEA922DF-787F-4FDF-A4DD-5CAA819BDF00}"/>
    <cellStyle name="20% - Accent4 2 2 2 5 5" xfId="18857" xr:uid="{1E5A0F09-7EF4-4B39-A7E2-A4DA010BE8F7}"/>
    <cellStyle name="20% - Accent4 2 2 2 5 6" xfId="10416" xr:uid="{808E3B13-7DA1-454F-ACAA-6E25CF9A5B99}"/>
    <cellStyle name="20% - Accent4 2 2 2 6" xfId="2291" xr:uid="{00000000-0005-0000-0000-0000F5010000}"/>
    <cellStyle name="20% - Accent4 2 2 2 6 2" xfId="6597" xr:uid="{00000000-0005-0000-0000-0000F6010000}"/>
    <cellStyle name="20% - Accent4 2 2 2 6 2 2" xfId="31929" xr:uid="{C38155B5-416E-421F-86E5-864623D21C3D}"/>
    <cellStyle name="20% - Accent4 2 2 2 6 2 3" xfId="23488" xr:uid="{0EBF4DEA-C3BF-466D-B8D7-526AD35299EE}"/>
    <cellStyle name="20% - Accent4 2 2 2 6 2 4" xfId="15047" xr:uid="{1D3A9FE4-1384-4582-A2A2-D35A801228C3}"/>
    <cellStyle name="20% - Accent4 2 2 2 6 3" xfId="27711" xr:uid="{7E603591-51FB-46A4-A03C-8FBD1DCB1836}"/>
    <cellStyle name="20% - Accent4 2 2 2 6 4" xfId="19270" xr:uid="{F9D1B2A8-FD2F-4BAC-9C9D-FBD80456C456}"/>
    <cellStyle name="20% - Accent4 2 2 2 6 5" xfId="10829" xr:uid="{6473C3FD-29CA-46EC-977D-B60B7FE9DD69}"/>
    <cellStyle name="20% - Accent4 2 2 2 7" xfId="4531" xr:uid="{00000000-0005-0000-0000-0000F7010000}"/>
    <cellStyle name="20% - Accent4 2 2 2 7 2" xfId="29863" xr:uid="{E48B6F4F-A2AC-4123-B393-E0CE93FB513D}"/>
    <cellStyle name="20% - Accent4 2 2 2 7 3" xfId="21422" xr:uid="{90DEF793-9369-4C8B-86BD-A6A1B8ADC9CA}"/>
    <cellStyle name="20% - Accent4 2 2 2 7 4" xfId="12981" xr:uid="{A880365F-4130-441F-AEB3-87F5F9F1A0E3}"/>
    <cellStyle name="20% - Accent4 2 2 2 8" xfId="25645" xr:uid="{212DD600-F097-44D0-8F03-720074505A46}"/>
    <cellStyle name="20% - Accent4 2 2 2 9" xfId="17204" xr:uid="{3E8C5D20-48A5-42D6-894D-C6AA24A8EEAF}"/>
    <cellStyle name="20% - Accent4 2 2 3" xfId="596" xr:uid="{00000000-0005-0000-0000-0000F8010000}"/>
    <cellStyle name="20% - Accent4 2 2 3 2" xfId="2867" xr:uid="{00000000-0005-0000-0000-0000F9010000}"/>
    <cellStyle name="20% - Accent4 2 2 3 2 2" xfId="7089" xr:uid="{00000000-0005-0000-0000-0000FA010000}"/>
    <cellStyle name="20% - Accent4 2 2 3 2 2 2" xfId="32421" xr:uid="{6326C5FE-7A33-4C14-A82E-1261A1292A1E}"/>
    <cellStyle name="20% - Accent4 2 2 3 2 2 3" xfId="23980" xr:uid="{D6C0FCEB-A89D-4DEA-8884-8DDC2C597E4B}"/>
    <cellStyle name="20% - Accent4 2 2 3 2 2 4" xfId="15539" xr:uid="{E83D1B2F-A1FC-4B0E-BB08-382C0E0D5383}"/>
    <cellStyle name="20% - Accent4 2 2 3 2 3" xfId="28203" xr:uid="{00E12353-0F5E-4480-9831-0F5C4DC2B15D}"/>
    <cellStyle name="20% - Accent4 2 2 3 2 4" xfId="19762" xr:uid="{D6F2CC7C-3CF2-4699-B498-8F12840A5E6D}"/>
    <cellStyle name="20% - Accent4 2 2 3 2 5" xfId="11321" xr:uid="{2872EE06-6B92-41B2-A4EE-C10A94E67186}"/>
    <cellStyle name="20% - Accent4 2 2 3 3" xfId="4944" xr:uid="{00000000-0005-0000-0000-0000FB010000}"/>
    <cellStyle name="20% - Accent4 2 2 3 3 2" xfId="30276" xr:uid="{C81E2912-E731-4BD9-ACB9-453FD6A3CCF1}"/>
    <cellStyle name="20% - Accent4 2 2 3 3 3" xfId="21835" xr:uid="{B6A45F93-55CC-4D3D-89DE-91910CE908BE}"/>
    <cellStyle name="20% - Accent4 2 2 3 3 4" xfId="13394" xr:uid="{8F12C0EE-9DAE-44CA-A0C7-E7D2D48201AA}"/>
    <cellStyle name="20% - Accent4 2 2 3 4" xfId="26058" xr:uid="{11FA948D-C154-48A7-AAF0-ED8EBC25C036}"/>
    <cellStyle name="20% - Accent4 2 2 3 5" xfId="17617" xr:uid="{12D0D180-3B74-4786-9938-A20AB42881E9}"/>
    <cellStyle name="20% - Accent4 2 2 3 6" xfId="9176" xr:uid="{308980CD-8DB3-43D8-A45B-7CFDE2C9DD18}"/>
    <cellStyle name="20% - Accent4 2 2 4" xfId="1049" xr:uid="{00000000-0005-0000-0000-0000FC010000}"/>
    <cellStyle name="20% - Accent4 2 2 4 2" xfId="3280" xr:uid="{00000000-0005-0000-0000-0000FD010000}"/>
    <cellStyle name="20% - Accent4 2 2 4 2 2" xfId="7502" xr:uid="{00000000-0005-0000-0000-0000FE010000}"/>
    <cellStyle name="20% - Accent4 2 2 4 2 2 2" xfId="32834" xr:uid="{DE9DA7EF-CFF5-4CAE-89B6-207116C6C9A1}"/>
    <cellStyle name="20% - Accent4 2 2 4 2 2 3" xfId="24393" xr:uid="{28293C80-342A-43EC-A002-2FAF8E8D39C3}"/>
    <cellStyle name="20% - Accent4 2 2 4 2 2 4" xfId="15952" xr:uid="{12670D6C-FC60-4594-AD3B-F3D3D5442FF2}"/>
    <cellStyle name="20% - Accent4 2 2 4 2 3" xfId="28616" xr:uid="{04BE618C-9E80-4562-8521-C08AFFDC95AA}"/>
    <cellStyle name="20% - Accent4 2 2 4 2 4" xfId="20175" xr:uid="{077F0140-D333-430E-9CA0-A6CEAE973653}"/>
    <cellStyle name="20% - Accent4 2 2 4 2 5" xfId="11734" xr:uid="{4A7B062E-E3A2-4F82-AD88-4B01606CD9DF}"/>
    <cellStyle name="20% - Accent4 2 2 4 3" xfId="5357" xr:uid="{00000000-0005-0000-0000-0000FF010000}"/>
    <cellStyle name="20% - Accent4 2 2 4 3 2" xfId="30689" xr:uid="{7DD94901-F6F2-4392-B391-198EEC5086F6}"/>
    <cellStyle name="20% - Accent4 2 2 4 3 3" xfId="22248" xr:uid="{D3920FC0-93ED-43AA-A218-DCEC292384F5}"/>
    <cellStyle name="20% - Accent4 2 2 4 3 4" xfId="13807" xr:uid="{84A17324-A300-48FF-AB2D-DBBA91ABD219}"/>
    <cellStyle name="20% - Accent4 2 2 4 4" xfId="26471" xr:uid="{280A4DA0-66F5-4AB0-B01B-BF7102AEA777}"/>
    <cellStyle name="20% - Accent4 2 2 4 5" xfId="18030" xr:uid="{075868E3-04CF-474C-9CFE-AEEFEF193D01}"/>
    <cellStyle name="20% - Accent4 2 2 4 6" xfId="9589" xr:uid="{5C23E824-CAB5-4FD0-AAC1-E9BD8E23A101}"/>
    <cellStyle name="20% - Accent4 2 2 5" xfId="1463" xr:uid="{00000000-0005-0000-0000-000000020000}"/>
    <cellStyle name="20% - Accent4 2 2 5 2" xfId="3693" xr:uid="{00000000-0005-0000-0000-000001020000}"/>
    <cellStyle name="20% - Accent4 2 2 5 2 2" xfId="7915" xr:uid="{00000000-0005-0000-0000-000002020000}"/>
    <cellStyle name="20% - Accent4 2 2 5 2 2 2" xfId="33247" xr:uid="{560FCB9D-6CC9-4822-8C59-B1768A0E5B38}"/>
    <cellStyle name="20% - Accent4 2 2 5 2 2 3" xfId="24806" xr:uid="{4CC30B4E-C54A-41DC-80F0-DA9D4E1B9D13}"/>
    <cellStyle name="20% - Accent4 2 2 5 2 2 4" xfId="16365" xr:uid="{7DF1D6A4-8253-4DCF-9453-50574B05D039}"/>
    <cellStyle name="20% - Accent4 2 2 5 2 3" xfId="29029" xr:uid="{B468B1BA-1E5C-4A33-9E6C-A57EF05B193A}"/>
    <cellStyle name="20% - Accent4 2 2 5 2 4" xfId="20588" xr:uid="{070A66F2-75F6-4FD1-A86E-A853059DFBB4}"/>
    <cellStyle name="20% - Accent4 2 2 5 2 5" xfId="12147" xr:uid="{86008979-432F-43B0-9E31-70C810FAC45F}"/>
    <cellStyle name="20% - Accent4 2 2 5 3" xfId="5770" xr:uid="{00000000-0005-0000-0000-000003020000}"/>
    <cellStyle name="20% - Accent4 2 2 5 3 2" xfId="31102" xr:uid="{995B0E3B-1092-4269-B1B5-434A4500660D}"/>
    <cellStyle name="20% - Accent4 2 2 5 3 3" xfId="22661" xr:uid="{D59D3208-F493-4B8A-8AD2-37D8C12B100D}"/>
    <cellStyle name="20% - Accent4 2 2 5 3 4" xfId="14220" xr:uid="{FFDFDC4D-F72B-49FA-AC24-99185F6DD023}"/>
    <cellStyle name="20% - Accent4 2 2 5 4" xfId="26884" xr:uid="{E426A15E-68F4-48A9-8D38-CE8C19EDBF6B}"/>
    <cellStyle name="20% - Accent4 2 2 5 5" xfId="18443" xr:uid="{13D31715-788C-4C59-9CEA-6B561DD5ED9F}"/>
    <cellStyle name="20% - Accent4 2 2 5 6" xfId="10002" xr:uid="{9086D2C8-AA23-457A-BB0D-179BCD8DDDCC}"/>
    <cellStyle name="20% - Accent4 2 2 6" xfId="1877" xr:uid="{00000000-0005-0000-0000-000004020000}"/>
    <cellStyle name="20% - Accent4 2 2 6 2" xfId="4106" xr:uid="{00000000-0005-0000-0000-000005020000}"/>
    <cellStyle name="20% - Accent4 2 2 6 2 2" xfId="8328" xr:uid="{00000000-0005-0000-0000-000006020000}"/>
    <cellStyle name="20% - Accent4 2 2 6 2 2 2" xfId="33660" xr:uid="{E63C2417-907B-4BF8-8391-7209948F3BE2}"/>
    <cellStyle name="20% - Accent4 2 2 6 2 2 3" xfId="25219" xr:uid="{9FC8AF6C-303F-4F08-B009-42C139E649FD}"/>
    <cellStyle name="20% - Accent4 2 2 6 2 2 4" xfId="16778" xr:uid="{4900165A-2357-4D15-894A-CC742A881F48}"/>
    <cellStyle name="20% - Accent4 2 2 6 2 3" xfId="29442" xr:uid="{A2F3CA09-6C74-49CA-BAA0-C7E4CFD6DB8D}"/>
    <cellStyle name="20% - Accent4 2 2 6 2 4" xfId="21001" xr:uid="{B6419C88-FBE8-4828-B28D-92BA49C0FC42}"/>
    <cellStyle name="20% - Accent4 2 2 6 2 5" xfId="12560" xr:uid="{BCCABB98-C673-4832-A30A-DB78398419EA}"/>
    <cellStyle name="20% - Accent4 2 2 6 3" xfId="6183" xr:uid="{00000000-0005-0000-0000-000007020000}"/>
    <cellStyle name="20% - Accent4 2 2 6 3 2" xfId="31515" xr:uid="{05768831-F2F6-42B4-82BC-DEFC588FE6C3}"/>
    <cellStyle name="20% - Accent4 2 2 6 3 3" xfId="23074" xr:uid="{95DCA1E8-FE9D-4C47-B9D8-F3E65FD4631D}"/>
    <cellStyle name="20% - Accent4 2 2 6 3 4" xfId="14633" xr:uid="{488A37EC-03EB-47A1-AF5A-6F9BF5092717}"/>
    <cellStyle name="20% - Accent4 2 2 6 4" xfId="27297" xr:uid="{5AF3A3CE-E7B3-4565-94EF-42AB03D42D96}"/>
    <cellStyle name="20% - Accent4 2 2 6 5" xfId="18856" xr:uid="{F6A1BB75-FB6E-4922-8DC6-3957552C82E7}"/>
    <cellStyle name="20% - Accent4 2 2 6 6" xfId="10415" xr:uid="{D8447EB3-8B19-4D32-8222-061AA4586404}"/>
    <cellStyle name="20% - Accent4 2 2 7" xfId="2290" xr:uid="{00000000-0005-0000-0000-000008020000}"/>
    <cellStyle name="20% - Accent4 2 2 7 2" xfId="6596" xr:uid="{00000000-0005-0000-0000-000009020000}"/>
    <cellStyle name="20% - Accent4 2 2 7 2 2" xfId="31928" xr:uid="{E9A75014-D82D-4F7B-835A-A0CE48D0D28D}"/>
    <cellStyle name="20% - Accent4 2 2 7 2 3" xfId="23487" xr:uid="{7C96EB6C-770E-4464-9243-59D9EBB4070E}"/>
    <cellStyle name="20% - Accent4 2 2 7 2 4" xfId="15046" xr:uid="{CFE2E462-3BDC-498D-9DA0-059767F4AAFA}"/>
    <cellStyle name="20% - Accent4 2 2 7 3" xfId="27710" xr:uid="{BE3C8F39-0321-47C1-9C2E-98F0E3E00BDF}"/>
    <cellStyle name="20% - Accent4 2 2 7 4" xfId="19269" xr:uid="{060C68BC-3AEF-41BD-B598-67F53055648C}"/>
    <cellStyle name="20% - Accent4 2 2 7 5" xfId="10828" xr:uid="{AD564750-73DA-4409-8E50-9EA975521687}"/>
    <cellStyle name="20% - Accent4 2 2 8" xfId="4530" xr:uid="{00000000-0005-0000-0000-00000A020000}"/>
    <cellStyle name="20% - Accent4 2 2 8 2" xfId="29862" xr:uid="{AAFB36B4-0FDC-4549-824E-3BD2EE314ACB}"/>
    <cellStyle name="20% - Accent4 2 2 8 3" xfId="21421" xr:uid="{E457B9F6-F98C-4EAB-ACDC-2A473B4F6E05}"/>
    <cellStyle name="20% - Accent4 2 2 8 4" xfId="12980" xr:uid="{5DE41702-99DC-4BC0-86DE-07A758C43F45}"/>
    <cellStyle name="20% - Accent4 2 2 9" xfId="25644" xr:uid="{9EB28388-9146-4BA5-9FA7-7CC102C2DB6D}"/>
    <cellStyle name="20% - Accent4 2 3" xfId="29" xr:uid="{00000000-0005-0000-0000-00000B020000}"/>
    <cellStyle name="20% - Accent4 2 3 10" xfId="8764" xr:uid="{FC862E6F-1160-48A2-9057-04427C92D4BA}"/>
    <cellStyle name="20% - Accent4 2 3 2" xfId="598" xr:uid="{00000000-0005-0000-0000-00000C020000}"/>
    <cellStyle name="20% - Accent4 2 3 2 2" xfId="2869" xr:uid="{00000000-0005-0000-0000-00000D020000}"/>
    <cellStyle name="20% - Accent4 2 3 2 2 2" xfId="7091" xr:uid="{00000000-0005-0000-0000-00000E020000}"/>
    <cellStyle name="20% - Accent4 2 3 2 2 2 2" xfId="32423" xr:uid="{A5A6F308-BA28-4264-A994-7C344072AB18}"/>
    <cellStyle name="20% - Accent4 2 3 2 2 2 3" xfId="23982" xr:uid="{DE37F569-1566-4F24-B4FF-1DD6D21EECB5}"/>
    <cellStyle name="20% - Accent4 2 3 2 2 2 4" xfId="15541" xr:uid="{30711452-ED3B-4166-9571-47901241696B}"/>
    <cellStyle name="20% - Accent4 2 3 2 2 3" xfId="28205" xr:uid="{7AA63724-CDFB-4E64-9B1D-7CB49B781563}"/>
    <cellStyle name="20% - Accent4 2 3 2 2 4" xfId="19764" xr:uid="{C567EFC3-2680-4D7F-832A-28ABA9AA17E1}"/>
    <cellStyle name="20% - Accent4 2 3 2 2 5" xfId="11323" xr:uid="{A701D9B2-CA7B-4746-AE40-1CE04E8FE345}"/>
    <cellStyle name="20% - Accent4 2 3 2 3" xfId="4946" xr:uid="{00000000-0005-0000-0000-00000F020000}"/>
    <cellStyle name="20% - Accent4 2 3 2 3 2" xfId="30278" xr:uid="{2B9A27A0-F156-4209-940D-C32B3E0AA6F5}"/>
    <cellStyle name="20% - Accent4 2 3 2 3 3" xfId="21837" xr:uid="{5C89992F-B902-4A96-A7DA-3B0A795216F8}"/>
    <cellStyle name="20% - Accent4 2 3 2 3 4" xfId="13396" xr:uid="{8123FA33-ED6F-45A3-9627-B1CD0B07B757}"/>
    <cellStyle name="20% - Accent4 2 3 2 4" xfId="26060" xr:uid="{674572FC-E66E-4D97-9D01-8072D17713C6}"/>
    <cellStyle name="20% - Accent4 2 3 2 5" xfId="17619" xr:uid="{8F6188F7-48E4-4274-9CEF-D5A2F9A7D331}"/>
    <cellStyle name="20% - Accent4 2 3 2 6" xfId="9178" xr:uid="{84C7BEC8-3180-4C20-9C98-1753246361EF}"/>
    <cellStyle name="20% - Accent4 2 3 3" xfId="1051" xr:uid="{00000000-0005-0000-0000-000010020000}"/>
    <cellStyle name="20% - Accent4 2 3 3 2" xfId="3282" xr:uid="{00000000-0005-0000-0000-000011020000}"/>
    <cellStyle name="20% - Accent4 2 3 3 2 2" xfId="7504" xr:uid="{00000000-0005-0000-0000-000012020000}"/>
    <cellStyle name="20% - Accent4 2 3 3 2 2 2" xfId="32836" xr:uid="{6419606F-07E2-44F4-9357-1FEBBF5F3541}"/>
    <cellStyle name="20% - Accent4 2 3 3 2 2 3" xfId="24395" xr:uid="{FC89B073-A595-4044-A821-013BDB86DBAF}"/>
    <cellStyle name="20% - Accent4 2 3 3 2 2 4" xfId="15954" xr:uid="{F42DBE59-8B40-4872-8917-8DCCEF771ACD}"/>
    <cellStyle name="20% - Accent4 2 3 3 2 3" xfId="28618" xr:uid="{3A3DF688-939B-468C-BA6B-2AF3311DFB46}"/>
    <cellStyle name="20% - Accent4 2 3 3 2 4" xfId="20177" xr:uid="{49EDAD37-A261-49A1-91E6-7190F722AC37}"/>
    <cellStyle name="20% - Accent4 2 3 3 2 5" xfId="11736" xr:uid="{317159AD-35C4-4C80-A3FA-A41E6B2E1723}"/>
    <cellStyle name="20% - Accent4 2 3 3 3" xfId="5359" xr:uid="{00000000-0005-0000-0000-000013020000}"/>
    <cellStyle name="20% - Accent4 2 3 3 3 2" xfId="30691" xr:uid="{DC8736F4-7934-425D-A48E-FCB3711F0F1F}"/>
    <cellStyle name="20% - Accent4 2 3 3 3 3" xfId="22250" xr:uid="{39315C35-776E-4575-A890-2446B0AE21CA}"/>
    <cellStyle name="20% - Accent4 2 3 3 3 4" xfId="13809" xr:uid="{99A2FE83-7DFF-4185-BBA8-881CC572DF75}"/>
    <cellStyle name="20% - Accent4 2 3 3 4" xfId="26473" xr:uid="{4178FF4E-3950-44A0-B4C5-53621037AD15}"/>
    <cellStyle name="20% - Accent4 2 3 3 5" xfId="18032" xr:uid="{67370DD1-D2FD-45E8-BFEA-4FF7264C6C9B}"/>
    <cellStyle name="20% - Accent4 2 3 3 6" xfId="9591" xr:uid="{169DE2AD-2D7F-4C46-A10C-62E12E03EDD1}"/>
    <cellStyle name="20% - Accent4 2 3 4" xfId="1465" xr:uid="{00000000-0005-0000-0000-000014020000}"/>
    <cellStyle name="20% - Accent4 2 3 4 2" xfId="3695" xr:uid="{00000000-0005-0000-0000-000015020000}"/>
    <cellStyle name="20% - Accent4 2 3 4 2 2" xfId="7917" xr:uid="{00000000-0005-0000-0000-000016020000}"/>
    <cellStyle name="20% - Accent4 2 3 4 2 2 2" xfId="33249" xr:uid="{1DADD22E-AD3A-42F6-987A-E484E398A08B}"/>
    <cellStyle name="20% - Accent4 2 3 4 2 2 3" xfId="24808" xr:uid="{8D598E8B-0BD9-4619-AAB7-22FAF710C1EB}"/>
    <cellStyle name="20% - Accent4 2 3 4 2 2 4" xfId="16367" xr:uid="{73585762-5F71-4F36-AB18-D51A4D76DF8D}"/>
    <cellStyle name="20% - Accent4 2 3 4 2 3" xfId="29031" xr:uid="{75EF0425-6A14-4AEB-B32D-287CBD1076D7}"/>
    <cellStyle name="20% - Accent4 2 3 4 2 4" xfId="20590" xr:uid="{15672626-EDEE-4607-B974-B36394B9FB63}"/>
    <cellStyle name="20% - Accent4 2 3 4 2 5" xfId="12149" xr:uid="{213E01EA-C47B-4364-A1A2-1C6C0FD3CEED}"/>
    <cellStyle name="20% - Accent4 2 3 4 3" xfId="5772" xr:uid="{00000000-0005-0000-0000-000017020000}"/>
    <cellStyle name="20% - Accent4 2 3 4 3 2" xfId="31104" xr:uid="{ACA3163B-7836-4BA2-AF11-ADCBEB85C3DC}"/>
    <cellStyle name="20% - Accent4 2 3 4 3 3" xfId="22663" xr:uid="{D52861DA-B188-48D9-BD15-F91DAE3B0709}"/>
    <cellStyle name="20% - Accent4 2 3 4 3 4" xfId="14222" xr:uid="{97865C5C-F49D-4E42-B9F8-14F0615D0FED}"/>
    <cellStyle name="20% - Accent4 2 3 4 4" xfId="26886" xr:uid="{81DD2C02-2620-4CA8-B98B-62901FE98665}"/>
    <cellStyle name="20% - Accent4 2 3 4 5" xfId="18445" xr:uid="{1609293F-1B04-4DF4-902A-765EF60096C5}"/>
    <cellStyle name="20% - Accent4 2 3 4 6" xfId="10004" xr:uid="{C1763482-4C63-4907-98B1-206D2668CD02}"/>
    <cellStyle name="20% - Accent4 2 3 5" xfId="1879" xr:uid="{00000000-0005-0000-0000-000018020000}"/>
    <cellStyle name="20% - Accent4 2 3 5 2" xfId="4108" xr:uid="{00000000-0005-0000-0000-000019020000}"/>
    <cellStyle name="20% - Accent4 2 3 5 2 2" xfId="8330" xr:uid="{00000000-0005-0000-0000-00001A020000}"/>
    <cellStyle name="20% - Accent4 2 3 5 2 2 2" xfId="33662" xr:uid="{A6057696-00D5-42FF-B13F-086230031239}"/>
    <cellStyle name="20% - Accent4 2 3 5 2 2 3" xfId="25221" xr:uid="{C2955304-224B-4CF8-8AE3-F7AF55E83F27}"/>
    <cellStyle name="20% - Accent4 2 3 5 2 2 4" xfId="16780" xr:uid="{6CB731DC-7D16-4F03-B9AB-69E608CC5947}"/>
    <cellStyle name="20% - Accent4 2 3 5 2 3" xfId="29444" xr:uid="{157E9332-4FBD-4D56-93A1-3E0B8362B385}"/>
    <cellStyle name="20% - Accent4 2 3 5 2 4" xfId="21003" xr:uid="{FFED3A1D-98E3-4B28-B45D-13B12F4EB69C}"/>
    <cellStyle name="20% - Accent4 2 3 5 2 5" xfId="12562" xr:uid="{73875D80-6D42-4331-8F62-A907304D1994}"/>
    <cellStyle name="20% - Accent4 2 3 5 3" xfId="6185" xr:uid="{00000000-0005-0000-0000-00001B020000}"/>
    <cellStyle name="20% - Accent4 2 3 5 3 2" xfId="31517" xr:uid="{9DD4E01B-5F2F-4F66-875D-4F7875E85FEA}"/>
    <cellStyle name="20% - Accent4 2 3 5 3 3" xfId="23076" xr:uid="{8CBBB447-BC1E-40BA-ABBC-95976374142D}"/>
    <cellStyle name="20% - Accent4 2 3 5 3 4" xfId="14635" xr:uid="{F7A44390-486F-4A5D-B764-89D783B9E6E4}"/>
    <cellStyle name="20% - Accent4 2 3 5 4" xfId="27299" xr:uid="{EA029C1D-1AAE-49B8-8E45-04377F6F63A8}"/>
    <cellStyle name="20% - Accent4 2 3 5 5" xfId="18858" xr:uid="{6C0C8C4D-DA4A-4689-9F24-F6DA56A62DF7}"/>
    <cellStyle name="20% - Accent4 2 3 5 6" xfId="10417" xr:uid="{B8522FF5-ADA2-4298-B7B2-68E66C860697}"/>
    <cellStyle name="20% - Accent4 2 3 6" xfId="2292" xr:uid="{00000000-0005-0000-0000-00001C020000}"/>
    <cellStyle name="20% - Accent4 2 3 6 2" xfId="6598" xr:uid="{00000000-0005-0000-0000-00001D020000}"/>
    <cellStyle name="20% - Accent4 2 3 6 2 2" xfId="31930" xr:uid="{D370C5A7-B1E4-4503-9D80-913EA4939CEB}"/>
    <cellStyle name="20% - Accent4 2 3 6 2 3" xfId="23489" xr:uid="{1CD37227-47BC-48A0-A193-F34C01E029CA}"/>
    <cellStyle name="20% - Accent4 2 3 6 2 4" xfId="15048" xr:uid="{45DE0B75-17A6-451E-9EB8-9D5DFCB66397}"/>
    <cellStyle name="20% - Accent4 2 3 6 3" xfId="27712" xr:uid="{74BAE067-B63B-437E-9D4D-48EB0CA782A4}"/>
    <cellStyle name="20% - Accent4 2 3 6 4" xfId="19271" xr:uid="{A3FE6445-328B-4E7B-8E76-E14A3329479C}"/>
    <cellStyle name="20% - Accent4 2 3 6 5" xfId="10830" xr:uid="{3A40D9FF-20E4-452A-83CD-80C883ECC957}"/>
    <cellStyle name="20% - Accent4 2 3 7" xfId="4532" xr:uid="{00000000-0005-0000-0000-00001E020000}"/>
    <cellStyle name="20% - Accent4 2 3 7 2" xfId="29864" xr:uid="{EF49EB8D-B655-4DDB-AADE-FC164355D4DA}"/>
    <cellStyle name="20% - Accent4 2 3 7 3" xfId="21423" xr:uid="{F5E53C85-8D07-4E68-B73A-6B3DA0DE5909}"/>
    <cellStyle name="20% - Accent4 2 3 7 4" xfId="12982" xr:uid="{76D5F519-CF6F-4B42-B47F-E74440214CE7}"/>
    <cellStyle name="20% - Accent4 2 3 8" xfId="25646" xr:uid="{F6A2D62C-FB7E-4203-8EF6-3EDCDC787F5A}"/>
    <cellStyle name="20% - Accent4 2 3 9" xfId="17205" xr:uid="{99F51EB6-759A-428C-8EF2-C27FB09DFBB0}"/>
    <cellStyle name="20% - Accent4 2 4" xfId="595" xr:uid="{00000000-0005-0000-0000-00001F020000}"/>
    <cellStyle name="20% - Accent4 2 4 2" xfId="2866" xr:uid="{00000000-0005-0000-0000-000020020000}"/>
    <cellStyle name="20% - Accent4 2 4 2 2" xfId="7088" xr:uid="{00000000-0005-0000-0000-000021020000}"/>
    <cellStyle name="20% - Accent4 2 4 2 2 2" xfId="32420" xr:uid="{5BE4AD39-A134-4DCF-90F4-5B6FEF6772E3}"/>
    <cellStyle name="20% - Accent4 2 4 2 2 3" xfId="23979" xr:uid="{AAA6F32E-6131-427A-B6D9-29F753B9207B}"/>
    <cellStyle name="20% - Accent4 2 4 2 2 4" xfId="15538" xr:uid="{0BBFF5BA-6AF3-4568-AB45-564109AEDBA6}"/>
    <cellStyle name="20% - Accent4 2 4 2 3" xfId="28202" xr:uid="{CD472F33-2371-44F5-A6E6-3317F61A769C}"/>
    <cellStyle name="20% - Accent4 2 4 2 4" xfId="19761" xr:uid="{51EC729C-7425-4972-90CC-4025796B906C}"/>
    <cellStyle name="20% - Accent4 2 4 2 5" xfId="11320" xr:uid="{258A001F-487D-40C3-8CEC-D4BF7B83B8EF}"/>
    <cellStyle name="20% - Accent4 2 4 3" xfId="4943" xr:uid="{00000000-0005-0000-0000-000022020000}"/>
    <cellStyle name="20% - Accent4 2 4 3 2" xfId="30275" xr:uid="{D47D3239-5170-4AC8-BEF1-7DE734C0CB59}"/>
    <cellStyle name="20% - Accent4 2 4 3 3" xfId="21834" xr:uid="{9065C545-201B-4B6F-BCDF-A57D1751D6AF}"/>
    <cellStyle name="20% - Accent4 2 4 3 4" xfId="13393" xr:uid="{15BAB755-5509-4C86-A36D-6D72E17A1AA3}"/>
    <cellStyle name="20% - Accent4 2 4 4" xfId="26057" xr:uid="{5D0AE0CB-09B8-4B69-B70B-6ADEA9E9FDC5}"/>
    <cellStyle name="20% - Accent4 2 4 5" xfId="17616" xr:uid="{AC327EEE-B468-4FA1-AE32-80F4540D2F02}"/>
    <cellStyle name="20% - Accent4 2 4 6" xfId="9175" xr:uid="{61277572-48E6-41CF-A249-57AF1BADD1B0}"/>
    <cellStyle name="20% - Accent4 2 5" xfId="1048" xr:uid="{00000000-0005-0000-0000-000023020000}"/>
    <cellStyle name="20% - Accent4 2 5 2" xfId="3279" xr:uid="{00000000-0005-0000-0000-000024020000}"/>
    <cellStyle name="20% - Accent4 2 5 2 2" xfId="7501" xr:uid="{00000000-0005-0000-0000-000025020000}"/>
    <cellStyle name="20% - Accent4 2 5 2 2 2" xfId="32833" xr:uid="{89B1756F-7988-44B9-A210-D4D1D66C5206}"/>
    <cellStyle name="20% - Accent4 2 5 2 2 3" xfId="24392" xr:uid="{462CB165-97D1-42A6-992D-265F25870E48}"/>
    <cellStyle name="20% - Accent4 2 5 2 2 4" xfId="15951" xr:uid="{19E3BFA3-3F07-4AA5-A80C-BAF99C0A5CAE}"/>
    <cellStyle name="20% - Accent4 2 5 2 3" xfId="28615" xr:uid="{9C5C9DBD-4671-4E93-A3B8-80232E52D31F}"/>
    <cellStyle name="20% - Accent4 2 5 2 4" xfId="20174" xr:uid="{1FBD65CD-ED55-41B8-AFAF-553233A6CA2F}"/>
    <cellStyle name="20% - Accent4 2 5 2 5" xfId="11733" xr:uid="{25FA0AD9-BDBB-447B-AF83-3626381E9915}"/>
    <cellStyle name="20% - Accent4 2 5 3" xfId="5356" xr:uid="{00000000-0005-0000-0000-000026020000}"/>
    <cellStyle name="20% - Accent4 2 5 3 2" xfId="30688" xr:uid="{4EABF378-5296-4EA4-BA44-594034E53872}"/>
    <cellStyle name="20% - Accent4 2 5 3 3" xfId="22247" xr:uid="{06F18EE0-7FBE-467D-87CC-BB231FE1A7CF}"/>
    <cellStyle name="20% - Accent4 2 5 3 4" xfId="13806" xr:uid="{DD07E6A4-95D4-4291-A880-54019484A20E}"/>
    <cellStyle name="20% - Accent4 2 5 4" xfId="26470" xr:uid="{CCD86845-F120-48D1-897B-3E7C34467AFA}"/>
    <cellStyle name="20% - Accent4 2 5 5" xfId="18029" xr:uid="{8EFF4C42-7EF0-41D6-8BA9-32CD67C67460}"/>
    <cellStyle name="20% - Accent4 2 5 6" xfId="9588" xr:uid="{F3CE5B59-8514-4EFC-848C-DCDB018B7ED2}"/>
    <cellStyle name="20% - Accent4 2 6" xfId="1462" xr:uid="{00000000-0005-0000-0000-000027020000}"/>
    <cellStyle name="20% - Accent4 2 6 2" xfId="3692" xr:uid="{00000000-0005-0000-0000-000028020000}"/>
    <cellStyle name="20% - Accent4 2 6 2 2" xfId="7914" xr:uid="{00000000-0005-0000-0000-000029020000}"/>
    <cellStyle name="20% - Accent4 2 6 2 2 2" xfId="33246" xr:uid="{C1028850-9711-4C6C-81AB-BD52AD81C2FD}"/>
    <cellStyle name="20% - Accent4 2 6 2 2 3" xfId="24805" xr:uid="{EA1A3D98-F04E-453F-9B3F-52A56DC5153D}"/>
    <cellStyle name="20% - Accent4 2 6 2 2 4" xfId="16364" xr:uid="{D63F3DDD-9B9D-4027-95D8-6998532CEDEF}"/>
    <cellStyle name="20% - Accent4 2 6 2 3" xfId="29028" xr:uid="{C46FFC59-8766-4172-B0BE-F670F35A6BCF}"/>
    <cellStyle name="20% - Accent4 2 6 2 4" xfId="20587" xr:uid="{51516600-E468-467B-BF42-8B981FE87F2A}"/>
    <cellStyle name="20% - Accent4 2 6 2 5" xfId="12146" xr:uid="{313C74AC-3C05-4D9A-99E3-A38F03A8BC28}"/>
    <cellStyle name="20% - Accent4 2 6 3" xfId="5769" xr:uid="{00000000-0005-0000-0000-00002A020000}"/>
    <cellStyle name="20% - Accent4 2 6 3 2" xfId="31101" xr:uid="{FA87E40C-0998-40C0-808A-EE3B1606E718}"/>
    <cellStyle name="20% - Accent4 2 6 3 3" xfId="22660" xr:uid="{E946CB8F-0296-42E4-B5DF-5AFA9DDF4EEA}"/>
    <cellStyle name="20% - Accent4 2 6 3 4" xfId="14219" xr:uid="{A8536024-0F63-4941-9FA0-CF0A84C54BD2}"/>
    <cellStyle name="20% - Accent4 2 6 4" xfId="26883" xr:uid="{77278532-AEF9-43E1-B006-FE33D564C0AF}"/>
    <cellStyle name="20% - Accent4 2 6 5" xfId="18442" xr:uid="{A6DC9160-BCDC-4EC4-BDC8-989191DB8BF7}"/>
    <cellStyle name="20% - Accent4 2 6 6" xfId="10001" xr:uid="{7DC9FDD7-4D45-4798-A127-45C5FA6E1EFD}"/>
    <cellStyle name="20% - Accent4 2 7" xfId="1876" xr:uid="{00000000-0005-0000-0000-00002B020000}"/>
    <cellStyle name="20% - Accent4 2 7 2" xfId="4105" xr:uid="{00000000-0005-0000-0000-00002C020000}"/>
    <cellStyle name="20% - Accent4 2 7 2 2" xfId="8327" xr:uid="{00000000-0005-0000-0000-00002D020000}"/>
    <cellStyle name="20% - Accent4 2 7 2 2 2" xfId="33659" xr:uid="{7457CFD9-F2AA-4890-9557-B75A6F980149}"/>
    <cellStyle name="20% - Accent4 2 7 2 2 3" xfId="25218" xr:uid="{31E9BAC1-DB15-49C1-AE6B-E4B169672569}"/>
    <cellStyle name="20% - Accent4 2 7 2 2 4" xfId="16777" xr:uid="{62278F05-C566-4096-85D0-F1814E57C2E7}"/>
    <cellStyle name="20% - Accent4 2 7 2 3" xfId="29441" xr:uid="{F992AC02-A202-43B1-91BC-110CD7034737}"/>
    <cellStyle name="20% - Accent4 2 7 2 4" xfId="21000" xr:uid="{71CE3E80-6A07-4FB1-AFD6-DE318CA249BA}"/>
    <cellStyle name="20% - Accent4 2 7 2 5" xfId="12559" xr:uid="{EF72AE9D-C588-4280-830D-E5669D2A4DC6}"/>
    <cellStyle name="20% - Accent4 2 7 3" xfId="6182" xr:uid="{00000000-0005-0000-0000-00002E020000}"/>
    <cellStyle name="20% - Accent4 2 7 3 2" xfId="31514" xr:uid="{AC016754-27AC-4D06-A43D-F8835FA12575}"/>
    <cellStyle name="20% - Accent4 2 7 3 3" xfId="23073" xr:uid="{372BF2C2-5C67-4EA4-BC0A-E1684B3D498D}"/>
    <cellStyle name="20% - Accent4 2 7 3 4" xfId="14632" xr:uid="{47CD9892-F421-46B1-AC5C-20DC92B974F4}"/>
    <cellStyle name="20% - Accent4 2 7 4" xfId="27296" xr:uid="{04265A86-DA51-41F8-A092-2D504B8BA6E1}"/>
    <cellStyle name="20% - Accent4 2 7 5" xfId="18855" xr:uid="{3EDBF5CE-C8F5-46A9-950C-B4F8DCE4D521}"/>
    <cellStyle name="20% - Accent4 2 7 6" xfId="10414" xr:uid="{FB62B4E0-6F00-4E22-BDD6-E16572C33682}"/>
    <cellStyle name="20% - Accent4 2 8" xfId="2289" xr:uid="{00000000-0005-0000-0000-00002F020000}"/>
    <cellStyle name="20% - Accent4 2 8 2" xfId="6595" xr:uid="{00000000-0005-0000-0000-000030020000}"/>
    <cellStyle name="20% - Accent4 2 8 2 2" xfId="31927" xr:uid="{963683AA-53C9-4282-975D-A36D65CC8C8E}"/>
    <cellStyle name="20% - Accent4 2 8 2 3" xfId="23486" xr:uid="{035D223A-3C76-4E55-BF78-00C5C12DBBC9}"/>
    <cellStyle name="20% - Accent4 2 8 2 4" xfId="15045" xr:uid="{837F6EBC-CD06-4CAF-97AF-4290EBD40D88}"/>
    <cellStyle name="20% - Accent4 2 8 3" xfId="27709" xr:uid="{92B32E74-E09F-4D31-BEE6-8C2258154B54}"/>
    <cellStyle name="20% - Accent4 2 8 4" xfId="19268" xr:uid="{D9A99BE7-65D7-4999-A9CA-183D450664B1}"/>
    <cellStyle name="20% - Accent4 2 8 5" xfId="10827" xr:uid="{7525786F-1168-4353-B5A7-E4A4D5EA9CEF}"/>
    <cellStyle name="20% - Accent4 2 9" xfId="4529" xr:uid="{00000000-0005-0000-0000-000031020000}"/>
    <cellStyle name="20% - Accent4 2 9 2" xfId="29861" xr:uid="{CC64A137-25E6-4DA9-A876-173D833F9DA8}"/>
    <cellStyle name="20% - Accent4 2 9 3" xfId="21420" xr:uid="{54E99FA0-6D4F-4ADE-891B-E12631A51072}"/>
    <cellStyle name="20% - Accent4 2 9 4" xfId="12979" xr:uid="{62B25582-CE46-45BB-9564-8BA85A5BFE1B}"/>
    <cellStyle name="20% - Accent4 3" xfId="30" xr:uid="{00000000-0005-0000-0000-000032020000}"/>
    <cellStyle name="20% - Accent4 3 10" xfId="17206" xr:uid="{BADA9F27-B227-47B4-BA8C-8353A792570A}"/>
    <cellStyle name="20% - Accent4 3 11" xfId="8765" xr:uid="{CFF2E46F-AF68-4AD5-A7F3-D768FFE75483}"/>
    <cellStyle name="20% - Accent4 3 2" xfId="31" xr:uid="{00000000-0005-0000-0000-000033020000}"/>
    <cellStyle name="20% - Accent4 3 2 10" xfId="8766" xr:uid="{4D7DDCB2-13DE-46C5-B12B-6561E316844F}"/>
    <cellStyle name="20% - Accent4 3 2 2" xfId="600" xr:uid="{00000000-0005-0000-0000-000034020000}"/>
    <cellStyle name="20% - Accent4 3 2 2 2" xfId="2871" xr:uid="{00000000-0005-0000-0000-000035020000}"/>
    <cellStyle name="20% - Accent4 3 2 2 2 2" xfId="7093" xr:uid="{00000000-0005-0000-0000-000036020000}"/>
    <cellStyle name="20% - Accent4 3 2 2 2 2 2" xfId="32425" xr:uid="{4CECC86D-0016-4EFB-818B-44DFCC0042B8}"/>
    <cellStyle name="20% - Accent4 3 2 2 2 2 3" xfId="23984" xr:uid="{1FC82FCB-2866-43A4-8991-B4C797A6BC79}"/>
    <cellStyle name="20% - Accent4 3 2 2 2 2 4" xfId="15543" xr:uid="{B04FD95E-87FB-483C-B1B0-152D9E50A3AA}"/>
    <cellStyle name="20% - Accent4 3 2 2 2 3" xfId="28207" xr:uid="{1468C70C-996C-4175-A10E-E8DA94D51A43}"/>
    <cellStyle name="20% - Accent4 3 2 2 2 4" xfId="19766" xr:uid="{28B9E2DA-757C-4155-B20E-BF22863AD310}"/>
    <cellStyle name="20% - Accent4 3 2 2 2 5" xfId="11325" xr:uid="{20CE983D-ACFE-4A50-A975-F06DDBEF0D44}"/>
    <cellStyle name="20% - Accent4 3 2 2 3" xfId="4948" xr:uid="{00000000-0005-0000-0000-000037020000}"/>
    <cellStyle name="20% - Accent4 3 2 2 3 2" xfId="30280" xr:uid="{A09517FD-E9BC-406B-99BE-5E62C6468DE6}"/>
    <cellStyle name="20% - Accent4 3 2 2 3 3" xfId="21839" xr:uid="{29B9AB36-6A95-4BD9-85C1-DD6B3AB7BEDD}"/>
    <cellStyle name="20% - Accent4 3 2 2 3 4" xfId="13398" xr:uid="{1354437A-F78B-4C0C-B3F5-81A1664DBC42}"/>
    <cellStyle name="20% - Accent4 3 2 2 4" xfId="26062" xr:uid="{F0C05F39-2626-46EB-BA79-E0589833CB24}"/>
    <cellStyle name="20% - Accent4 3 2 2 5" xfId="17621" xr:uid="{92BABB52-B98F-4BE3-9B94-1820800DBC5B}"/>
    <cellStyle name="20% - Accent4 3 2 2 6" xfId="9180" xr:uid="{3D5ACCD6-5D64-4C2F-B057-060B276776C2}"/>
    <cellStyle name="20% - Accent4 3 2 3" xfId="1053" xr:uid="{00000000-0005-0000-0000-000038020000}"/>
    <cellStyle name="20% - Accent4 3 2 3 2" xfId="3284" xr:uid="{00000000-0005-0000-0000-000039020000}"/>
    <cellStyle name="20% - Accent4 3 2 3 2 2" xfId="7506" xr:uid="{00000000-0005-0000-0000-00003A020000}"/>
    <cellStyle name="20% - Accent4 3 2 3 2 2 2" xfId="32838" xr:uid="{97D52192-19B8-4250-B4E5-5909ABD96040}"/>
    <cellStyle name="20% - Accent4 3 2 3 2 2 3" xfId="24397" xr:uid="{B6F446B5-9162-40E8-AC43-0F7C0881C13E}"/>
    <cellStyle name="20% - Accent4 3 2 3 2 2 4" xfId="15956" xr:uid="{0D6B572E-D2FC-4C10-B3EC-90200EE7DB82}"/>
    <cellStyle name="20% - Accent4 3 2 3 2 3" xfId="28620" xr:uid="{8EE78E54-80A0-4184-B361-BF0E00F5D351}"/>
    <cellStyle name="20% - Accent4 3 2 3 2 4" xfId="20179" xr:uid="{5A130AA1-D511-4BB5-BA57-6B76F42BA1F0}"/>
    <cellStyle name="20% - Accent4 3 2 3 2 5" xfId="11738" xr:uid="{EAD10342-6651-405F-9F44-71661918FC91}"/>
    <cellStyle name="20% - Accent4 3 2 3 3" xfId="5361" xr:uid="{00000000-0005-0000-0000-00003B020000}"/>
    <cellStyle name="20% - Accent4 3 2 3 3 2" xfId="30693" xr:uid="{0ACDB9FD-3A89-49FE-869D-5DD9E41F1423}"/>
    <cellStyle name="20% - Accent4 3 2 3 3 3" xfId="22252" xr:uid="{62292380-3589-498F-A531-EE44623E06DD}"/>
    <cellStyle name="20% - Accent4 3 2 3 3 4" xfId="13811" xr:uid="{51AC76CB-C7DF-40E6-ADFA-094A763EFD77}"/>
    <cellStyle name="20% - Accent4 3 2 3 4" xfId="26475" xr:uid="{198013AE-613D-4344-B47B-BAAB2FEEA237}"/>
    <cellStyle name="20% - Accent4 3 2 3 5" xfId="18034" xr:uid="{E822D14B-6C3D-461C-87E9-0BA70887274D}"/>
    <cellStyle name="20% - Accent4 3 2 3 6" xfId="9593" xr:uid="{5054961D-9900-4D43-8FE8-1D27EAB249A6}"/>
    <cellStyle name="20% - Accent4 3 2 4" xfId="1467" xr:uid="{00000000-0005-0000-0000-00003C020000}"/>
    <cellStyle name="20% - Accent4 3 2 4 2" xfId="3697" xr:uid="{00000000-0005-0000-0000-00003D020000}"/>
    <cellStyle name="20% - Accent4 3 2 4 2 2" xfId="7919" xr:uid="{00000000-0005-0000-0000-00003E020000}"/>
    <cellStyle name="20% - Accent4 3 2 4 2 2 2" xfId="33251" xr:uid="{8D51E4BA-1937-451A-ADAE-50F0667B1F72}"/>
    <cellStyle name="20% - Accent4 3 2 4 2 2 3" xfId="24810" xr:uid="{26486420-7017-4638-99BE-9AAAB4D3ED3D}"/>
    <cellStyle name="20% - Accent4 3 2 4 2 2 4" xfId="16369" xr:uid="{053D1245-01C4-4275-B789-05346A555C99}"/>
    <cellStyle name="20% - Accent4 3 2 4 2 3" xfId="29033" xr:uid="{F21266A2-86E6-427A-839B-15D1FBE8C9EC}"/>
    <cellStyle name="20% - Accent4 3 2 4 2 4" xfId="20592" xr:uid="{7D19EDFA-F1E6-4C29-811E-A5600B81B257}"/>
    <cellStyle name="20% - Accent4 3 2 4 2 5" xfId="12151" xr:uid="{93AA0B0F-065D-45AE-99E7-611B2C2E14C2}"/>
    <cellStyle name="20% - Accent4 3 2 4 3" xfId="5774" xr:uid="{00000000-0005-0000-0000-00003F020000}"/>
    <cellStyle name="20% - Accent4 3 2 4 3 2" xfId="31106" xr:uid="{F2B058AF-5B3A-445C-A061-E1407B29E971}"/>
    <cellStyle name="20% - Accent4 3 2 4 3 3" xfId="22665" xr:uid="{92E9B0A4-D8BA-4DA8-89E4-001D04A5E97C}"/>
    <cellStyle name="20% - Accent4 3 2 4 3 4" xfId="14224" xr:uid="{806C26C7-25FA-40E7-9AA0-47427171081E}"/>
    <cellStyle name="20% - Accent4 3 2 4 4" xfId="26888" xr:uid="{8A8287D6-B21E-408B-89A5-96F6996FA9BD}"/>
    <cellStyle name="20% - Accent4 3 2 4 5" xfId="18447" xr:uid="{D67B3035-DA12-4CAF-9CBB-33A6DBA233D3}"/>
    <cellStyle name="20% - Accent4 3 2 4 6" xfId="10006" xr:uid="{A85057C6-FACD-4973-ABE0-835E717E3B69}"/>
    <cellStyle name="20% - Accent4 3 2 5" xfId="1881" xr:uid="{00000000-0005-0000-0000-000040020000}"/>
    <cellStyle name="20% - Accent4 3 2 5 2" xfId="4110" xr:uid="{00000000-0005-0000-0000-000041020000}"/>
    <cellStyle name="20% - Accent4 3 2 5 2 2" xfId="8332" xr:uid="{00000000-0005-0000-0000-000042020000}"/>
    <cellStyle name="20% - Accent4 3 2 5 2 2 2" xfId="33664" xr:uid="{3FA133F4-627B-44D5-A66E-DCE3025E35BF}"/>
    <cellStyle name="20% - Accent4 3 2 5 2 2 3" xfId="25223" xr:uid="{6D34A35A-1558-4045-A058-B9BC37C2C1EE}"/>
    <cellStyle name="20% - Accent4 3 2 5 2 2 4" xfId="16782" xr:uid="{16B425EB-A64B-437A-8B77-E4ECA5FAEBAA}"/>
    <cellStyle name="20% - Accent4 3 2 5 2 3" xfId="29446" xr:uid="{C63251E5-CF8D-44EC-B12E-FCBC058BABEB}"/>
    <cellStyle name="20% - Accent4 3 2 5 2 4" xfId="21005" xr:uid="{B1365DAF-F08A-4B5E-B42F-B8C2649C78FB}"/>
    <cellStyle name="20% - Accent4 3 2 5 2 5" xfId="12564" xr:uid="{22391739-485C-46C9-8CBC-97C8D14F65D7}"/>
    <cellStyle name="20% - Accent4 3 2 5 3" xfId="6187" xr:uid="{00000000-0005-0000-0000-000043020000}"/>
    <cellStyle name="20% - Accent4 3 2 5 3 2" xfId="31519" xr:uid="{26789B4A-3B67-4757-869D-1BC6E1E49ADD}"/>
    <cellStyle name="20% - Accent4 3 2 5 3 3" xfId="23078" xr:uid="{4213118A-DB4A-4C36-ADD6-76374295B6B2}"/>
    <cellStyle name="20% - Accent4 3 2 5 3 4" xfId="14637" xr:uid="{7AB8BE8F-F2C1-444F-8C5D-E6E6FBF9ACD0}"/>
    <cellStyle name="20% - Accent4 3 2 5 4" xfId="27301" xr:uid="{D5F47A74-24E3-43E1-9D3E-9EA2F8119D95}"/>
    <cellStyle name="20% - Accent4 3 2 5 5" xfId="18860" xr:uid="{56FDB946-32BD-46E6-BEE3-0E50AA9CD9FF}"/>
    <cellStyle name="20% - Accent4 3 2 5 6" xfId="10419" xr:uid="{59D16705-F246-4075-BCA6-1BD763E32914}"/>
    <cellStyle name="20% - Accent4 3 2 6" xfId="2294" xr:uid="{00000000-0005-0000-0000-000044020000}"/>
    <cellStyle name="20% - Accent4 3 2 6 2" xfId="6600" xr:uid="{00000000-0005-0000-0000-000045020000}"/>
    <cellStyle name="20% - Accent4 3 2 6 2 2" xfId="31932" xr:uid="{E8AE03C0-241D-42F1-BD52-082030B4E1D9}"/>
    <cellStyle name="20% - Accent4 3 2 6 2 3" xfId="23491" xr:uid="{0920E3FD-BA9E-4293-98F2-2C7E0F8A5CB8}"/>
    <cellStyle name="20% - Accent4 3 2 6 2 4" xfId="15050" xr:uid="{65B8C652-ED19-4700-803D-5068444FD36F}"/>
    <cellStyle name="20% - Accent4 3 2 6 3" xfId="27714" xr:uid="{C44D0AC9-0E2F-4F26-911A-E73E284DACA7}"/>
    <cellStyle name="20% - Accent4 3 2 6 4" xfId="19273" xr:uid="{F55F27C5-7EFD-4387-AB8D-206D932F4FC4}"/>
    <cellStyle name="20% - Accent4 3 2 6 5" xfId="10832" xr:uid="{36ABC659-EAE4-4C1F-BDD2-8FFBEA3EBC60}"/>
    <cellStyle name="20% - Accent4 3 2 7" xfId="4534" xr:uid="{00000000-0005-0000-0000-000046020000}"/>
    <cellStyle name="20% - Accent4 3 2 7 2" xfId="29866" xr:uid="{85F7B9AE-9886-48B2-8E89-0896666BCD76}"/>
    <cellStyle name="20% - Accent4 3 2 7 3" xfId="21425" xr:uid="{F8523845-B102-4F50-B68A-A6BDD49B440B}"/>
    <cellStyle name="20% - Accent4 3 2 7 4" xfId="12984" xr:uid="{06F6F7CA-AC12-4AB0-88A8-646BF0FAD804}"/>
    <cellStyle name="20% - Accent4 3 2 8" xfId="25648" xr:uid="{75F53EA9-CA69-4FC4-81DC-AFE9B4470F79}"/>
    <cellStyle name="20% - Accent4 3 2 9" xfId="17207" xr:uid="{F99D89FE-87C8-4838-9049-62604F271EC6}"/>
    <cellStyle name="20% - Accent4 3 3" xfId="599" xr:uid="{00000000-0005-0000-0000-000047020000}"/>
    <cellStyle name="20% - Accent4 3 3 2" xfId="2870" xr:uid="{00000000-0005-0000-0000-000048020000}"/>
    <cellStyle name="20% - Accent4 3 3 2 2" xfId="7092" xr:uid="{00000000-0005-0000-0000-000049020000}"/>
    <cellStyle name="20% - Accent4 3 3 2 2 2" xfId="32424" xr:uid="{7604BE32-CD47-4E75-8E00-1A8E125C9051}"/>
    <cellStyle name="20% - Accent4 3 3 2 2 3" xfId="23983" xr:uid="{CDE23FD5-1A0D-4273-B9C2-D5D44F87B990}"/>
    <cellStyle name="20% - Accent4 3 3 2 2 4" xfId="15542" xr:uid="{3378F8E9-078F-4063-8872-33076A10C447}"/>
    <cellStyle name="20% - Accent4 3 3 2 3" xfId="28206" xr:uid="{F0DEBCA6-63A8-4AC0-9295-3F3447511A37}"/>
    <cellStyle name="20% - Accent4 3 3 2 4" xfId="19765" xr:uid="{4A77523D-8AC8-42CA-B91C-A56BED0B2B73}"/>
    <cellStyle name="20% - Accent4 3 3 2 5" xfId="11324" xr:uid="{AC99DB99-564A-4FDB-9D9F-AE4536EE233E}"/>
    <cellStyle name="20% - Accent4 3 3 3" xfId="4947" xr:uid="{00000000-0005-0000-0000-00004A020000}"/>
    <cellStyle name="20% - Accent4 3 3 3 2" xfId="30279" xr:uid="{8F4F693A-1906-4105-BDE9-52A37A82BEFE}"/>
    <cellStyle name="20% - Accent4 3 3 3 3" xfId="21838" xr:uid="{92305D43-3BC2-4E5A-B550-A4BD2A079094}"/>
    <cellStyle name="20% - Accent4 3 3 3 4" xfId="13397" xr:uid="{F312AD3A-4DE4-4438-A2B4-C5F56C7F4203}"/>
    <cellStyle name="20% - Accent4 3 3 4" xfId="26061" xr:uid="{942F8131-F68B-4C53-8443-2C2BE2B62228}"/>
    <cellStyle name="20% - Accent4 3 3 5" xfId="17620" xr:uid="{C260AC8C-B521-481F-8C66-F551A5E870A4}"/>
    <cellStyle name="20% - Accent4 3 3 6" xfId="9179" xr:uid="{B07BBAD3-D7F0-441B-AB1F-60B0596CCFC2}"/>
    <cellStyle name="20% - Accent4 3 4" xfId="1052" xr:uid="{00000000-0005-0000-0000-00004B020000}"/>
    <cellStyle name="20% - Accent4 3 4 2" xfId="3283" xr:uid="{00000000-0005-0000-0000-00004C020000}"/>
    <cellStyle name="20% - Accent4 3 4 2 2" xfId="7505" xr:uid="{00000000-0005-0000-0000-00004D020000}"/>
    <cellStyle name="20% - Accent4 3 4 2 2 2" xfId="32837" xr:uid="{3D01E45D-1B2A-4033-B5A5-F1C7E38E37C0}"/>
    <cellStyle name="20% - Accent4 3 4 2 2 3" xfId="24396" xr:uid="{05C3EB6A-1173-46BC-AB5A-841F4C531D31}"/>
    <cellStyle name="20% - Accent4 3 4 2 2 4" xfId="15955" xr:uid="{BB1FBD45-2742-4D09-A678-73FC86850A15}"/>
    <cellStyle name="20% - Accent4 3 4 2 3" xfId="28619" xr:uid="{63068500-F1C4-47C2-B2D6-6E972B981AA5}"/>
    <cellStyle name="20% - Accent4 3 4 2 4" xfId="20178" xr:uid="{8DD55551-2A1C-452E-B4ED-0D7A3E5E2ADE}"/>
    <cellStyle name="20% - Accent4 3 4 2 5" xfId="11737" xr:uid="{3D5622CE-A9C4-4B6C-87B4-88DBF567DAF3}"/>
    <cellStyle name="20% - Accent4 3 4 3" xfId="5360" xr:uid="{00000000-0005-0000-0000-00004E020000}"/>
    <cellStyle name="20% - Accent4 3 4 3 2" xfId="30692" xr:uid="{489E0653-4D0F-457C-B3C7-009B8B74845D}"/>
    <cellStyle name="20% - Accent4 3 4 3 3" xfId="22251" xr:uid="{891F1B1E-B16B-41F4-9E4D-ECC1721474D1}"/>
    <cellStyle name="20% - Accent4 3 4 3 4" xfId="13810" xr:uid="{D1BB2757-A725-4237-9427-5FECCC71BE10}"/>
    <cellStyle name="20% - Accent4 3 4 4" xfId="26474" xr:uid="{954AC78B-656E-4ADD-9C82-656C21F19160}"/>
    <cellStyle name="20% - Accent4 3 4 5" xfId="18033" xr:uid="{CCA71EB6-FE74-4FEB-93B8-CDE051079D54}"/>
    <cellStyle name="20% - Accent4 3 4 6" xfId="9592" xr:uid="{5EC10C19-8864-4AFF-AEC4-3CDF54149A0B}"/>
    <cellStyle name="20% - Accent4 3 5" xfId="1466" xr:uid="{00000000-0005-0000-0000-00004F020000}"/>
    <cellStyle name="20% - Accent4 3 5 2" xfId="3696" xr:uid="{00000000-0005-0000-0000-000050020000}"/>
    <cellStyle name="20% - Accent4 3 5 2 2" xfId="7918" xr:uid="{00000000-0005-0000-0000-000051020000}"/>
    <cellStyle name="20% - Accent4 3 5 2 2 2" xfId="33250" xr:uid="{BBE027B6-7FB3-4EDA-99DF-D17B993835B0}"/>
    <cellStyle name="20% - Accent4 3 5 2 2 3" xfId="24809" xr:uid="{9F92E17B-40F2-4803-B14B-762103AA7ADB}"/>
    <cellStyle name="20% - Accent4 3 5 2 2 4" xfId="16368" xr:uid="{95CAA14B-755A-42BF-B0D9-F63967B361A7}"/>
    <cellStyle name="20% - Accent4 3 5 2 3" xfId="29032" xr:uid="{C9F19C36-47D3-4BA2-8307-FF7A1E3ED051}"/>
    <cellStyle name="20% - Accent4 3 5 2 4" xfId="20591" xr:uid="{C13513CA-4A66-4AC4-B485-DD41F751C019}"/>
    <cellStyle name="20% - Accent4 3 5 2 5" xfId="12150" xr:uid="{34E64269-34C5-4356-B686-BEC41C63399F}"/>
    <cellStyle name="20% - Accent4 3 5 3" xfId="5773" xr:uid="{00000000-0005-0000-0000-000052020000}"/>
    <cellStyle name="20% - Accent4 3 5 3 2" xfId="31105" xr:uid="{47A6D892-9A6D-44A1-B720-93AE957B9836}"/>
    <cellStyle name="20% - Accent4 3 5 3 3" xfId="22664" xr:uid="{8C5DFA77-C86A-464E-A46E-AB11A9FA3EB1}"/>
    <cellStyle name="20% - Accent4 3 5 3 4" xfId="14223" xr:uid="{5C2AF56E-3EC2-4B48-AC37-944C06825F25}"/>
    <cellStyle name="20% - Accent4 3 5 4" xfId="26887" xr:uid="{FD913CD9-2DA1-4B75-B0AE-65AF9C1BDE39}"/>
    <cellStyle name="20% - Accent4 3 5 5" xfId="18446" xr:uid="{26312774-72F9-48D1-928D-4E9063400004}"/>
    <cellStyle name="20% - Accent4 3 5 6" xfId="10005" xr:uid="{CBD33FA7-94C3-4D46-88CD-26879A4D2E5C}"/>
    <cellStyle name="20% - Accent4 3 6" xfId="1880" xr:uid="{00000000-0005-0000-0000-000053020000}"/>
    <cellStyle name="20% - Accent4 3 6 2" xfId="4109" xr:uid="{00000000-0005-0000-0000-000054020000}"/>
    <cellStyle name="20% - Accent4 3 6 2 2" xfId="8331" xr:uid="{00000000-0005-0000-0000-000055020000}"/>
    <cellStyle name="20% - Accent4 3 6 2 2 2" xfId="33663" xr:uid="{0C7F0A51-41C6-4678-A4E5-F1A7FB1C1296}"/>
    <cellStyle name="20% - Accent4 3 6 2 2 3" xfId="25222" xr:uid="{3480AFFA-5520-4455-AE32-2D3F956DA04D}"/>
    <cellStyle name="20% - Accent4 3 6 2 2 4" xfId="16781" xr:uid="{82E4CA95-0AC6-4C1A-A081-74672F22A319}"/>
    <cellStyle name="20% - Accent4 3 6 2 3" xfId="29445" xr:uid="{4C861854-926A-4DFC-95BF-A8BC8D453A6D}"/>
    <cellStyle name="20% - Accent4 3 6 2 4" xfId="21004" xr:uid="{EC476867-7EFE-494A-88C3-917D8C7CAA1E}"/>
    <cellStyle name="20% - Accent4 3 6 2 5" xfId="12563" xr:uid="{72B63F69-EC77-46FD-811F-0F909C0482D4}"/>
    <cellStyle name="20% - Accent4 3 6 3" xfId="6186" xr:uid="{00000000-0005-0000-0000-000056020000}"/>
    <cellStyle name="20% - Accent4 3 6 3 2" xfId="31518" xr:uid="{314E9DBE-DB53-4965-8C1F-03E6D9EE86C3}"/>
    <cellStyle name="20% - Accent4 3 6 3 3" xfId="23077" xr:uid="{0FF68DF7-4AA4-4595-8B76-6B3528BF54F7}"/>
    <cellStyle name="20% - Accent4 3 6 3 4" xfId="14636" xr:uid="{025682D0-69FF-4136-8DFC-F3D5B8A075A0}"/>
    <cellStyle name="20% - Accent4 3 6 4" xfId="27300" xr:uid="{2BD243EC-0DFF-40A7-A0C7-8F6DB283F518}"/>
    <cellStyle name="20% - Accent4 3 6 5" xfId="18859" xr:uid="{5BFADDBE-A8FF-4FA9-BBFD-CE85FCD1E7EB}"/>
    <cellStyle name="20% - Accent4 3 6 6" xfId="10418" xr:uid="{BC970115-E197-4060-8A0B-6DF3174C47BD}"/>
    <cellStyle name="20% - Accent4 3 7" xfId="2293" xr:uid="{00000000-0005-0000-0000-000057020000}"/>
    <cellStyle name="20% - Accent4 3 7 2" xfId="6599" xr:uid="{00000000-0005-0000-0000-000058020000}"/>
    <cellStyle name="20% - Accent4 3 7 2 2" xfId="31931" xr:uid="{DDFCB6F7-C46E-44C6-9D06-01618C5BACDB}"/>
    <cellStyle name="20% - Accent4 3 7 2 3" xfId="23490" xr:uid="{E1076CF8-D36C-4ADD-B377-8A96D87C068B}"/>
    <cellStyle name="20% - Accent4 3 7 2 4" xfId="15049" xr:uid="{DBAE04DD-934E-4356-B12F-CED39FC53AD0}"/>
    <cellStyle name="20% - Accent4 3 7 3" xfId="27713" xr:uid="{86257D72-4FB8-4965-AA12-656BBF35CADA}"/>
    <cellStyle name="20% - Accent4 3 7 4" xfId="19272" xr:uid="{B88BF92D-9ABB-4016-913B-DC67ED2F7B60}"/>
    <cellStyle name="20% - Accent4 3 7 5" xfId="10831" xr:uid="{FA7A8E7C-E3DD-428C-ACB4-D273C51388A9}"/>
    <cellStyle name="20% - Accent4 3 8" xfId="4533" xr:uid="{00000000-0005-0000-0000-000059020000}"/>
    <cellStyle name="20% - Accent4 3 8 2" xfId="29865" xr:uid="{A4D8B529-0087-4B3E-A58C-BB82C58BAA8E}"/>
    <cellStyle name="20% - Accent4 3 8 3" xfId="21424" xr:uid="{33A48093-2C06-46C0-8716-0E2E5E513EC2}"/>
    <cellStyle name="20% - Accent4 3 8 4" xfId="12983" xr:uid="{9118E6DF-D384-41FC-B0E6-BC7F96AABA6D}"/>
    <cellStyle name="20% - Accent4 3 9" xfId="25647" xr:uid="{73BCA3AD-F154-40EE-94B4-F66C8BD6CECD}"/>
    <cellStyle name="20% - Accent4 4" xfId="32" xr:uid="{00000000-0005-0000-0000-00005A020000}"/>
    <cellStyle name="20% - Accent4 4 10" xfId="8767" xr:uid="{FF656E5A-5430-4CB1-9BDF-9C90FF3D3F4F}"/>
    <cellStyle name="20% - Accent4 4 2" xfId="601" xr:uid="{00000000-0005-0000-0000-00005B020000}"/>
    <cellStyle name="20% - Accent4 4 2 2" xfId="2872" xr:uid="{00000000-0005-0000-0000-00005C020000}"/>
    <cellStyle name="20% - Accent4 4 2 2 2" xfId="7094" xr:uid="{00000000-0005-0000-0000-00005D020000}"/>
    <cellStyle name="20% - Accent4 4 2 2 2 2" xfId="32426" xr:uid="{8CE37A00-5CF8-4404-BD2A-D506607F7AF0}"/>
    <cellStyle name="20% - Accent4 4 2 2 2 3" xfId="23985" xr:uid="{6EDFF178-3AD7-4FF4-B65D-5D11873632A3}"/>
    <cellStyle name="20% - Accent4 4 2 2 2 4" xfId="15544" xr:uid="{7F7013F0-38B2-4C01-9F23-34B3FC50D2EE}"/>
    <cellStyle name="20% - Accent4 4 2 2 3" xfId="28208" xr:uid="{64D87FDE-B8B4-4B5B-B2C7-0B763D07DA97}"/>
    <cellStyle name="20% - Accent4 4 2 2 4" xfId="19767" xr:uid="{6F2A9AAC-DF49-4A9E-A0B2-425DA859E69E}"/>
    <cellStyle name="20% - Accent4 4 2 2 5" xfId="11326" xr:uid="{EF808DCB-8CDB-417A-B244-34B5ED44921D}"/>
    <cellStyle name="20% - Accent4 4 2 3" xfId="4949" xr:uid="{00000000-0005-0000-0000-00005E020000}"/>
    <cellStyle name="20% - Accent4 4 2 3 2" xfId="30281" xr:uid="{227D1884-2341-4F0A-9AF6-6EC20DF80508}"/>
    <cellStyle name="20% - Accent4 4 2 3 3" xfId="21840" xr:uid="{1D9BCFCB-0C8D-446F-A903-4C9F1395144F}"/>
    <cellStyle name="20% - Accent4 4 2 3 4" xfId="13399" xr:uid="{BA42F926-6B87-4BA0-BE79-DAC2527F13D1}"/>
    <cellStyle name="20% - Accent4 4 2 4" xfId="26063" xr:uid="{97FA92BE-E29F-488A-A4DD-53C47747F1FC}"/>
    <cellStyle name="20% - Accent4 4 2 5" xfId="17622" xr:uid="{81EF676D-8C84-4D72-9C97-B40587F1ABAB}"/>
    <cellStyle name="20% - Accent4 4 2 6" xfId="9181" xr:uid="{D4A31265-E268-4C25-8E66-55CFD3E36CEF}"/>
    <cellStyle name="20% - Accent4 4 3" xfId="1054" xr:uid="{00000000-0005-0000-0000-00005F020000}"/>
    <cellStyle name="20% - Accent4 4 3 2" xfId="3285" xr:uid="{00000000-0005-0000-0000-000060020000}"/>
    <cellStyle name="20% - Accent4 4 3 2 2" xfId="7507" xr:uid="{00000000-0005-0000-0000-000061020000}"/>
    <cellStyle name="20% - Accent4 4 3 2 2 2" xfId="32839" xr:uid="{09C2DDF9-C821-4DCE-9FC8-FE7222B2E13E}"/>
    <cellStyle name="20% - Accent4 4 3 2 2 3" xfId="24398" xr:uid="{77A7DC96-D040-4A6D-9587-37E3EA20BFDF}"/>
    <cellStyle name="20% - Accent4 4 3 2 2 4" xfId="15957" xr:uid="{3E640411-9BB5-40E6-849F-E8771A90F821}"/>
    <cellStyle name="20% - Accent4 4 3 2 3" xfId="28621" xr:uid="{6A3BA4CC-1E84-4039-81E2-2AFE680AA0E5}"/>
    <cellStyle name="20% - Accent4 4 3 2 4" xfId="20180" xr:uid="{E9327AF9-8BCB-4F10-AA8A-64666C7235BE}"/>
    <cellStyle name="20% - Accent4 4 3 2 5" xfId="11739" xr:uid="{EA16371F-6E80-4507-9E96-D627F39E8E58}"/>
    <cellStyle name="20% - Accent4 4 3 3" xfId="5362" xr:uid="{00000000-0005-0000-0000-000062020000}"/>
    <cellStyle name="20% - Accent4 4 3 3 2" xfId="30694" xr:uid="{8172E704-4935-4684-8C70-8F382B5C0014}"/>
    <cellStyle name="20% - Accent4 4 3 3 3" xfId="22253" xr:uid="{0E89C34E-6250-421F-8872-8B6BAA28C708}"/>
    <cellStyle name="20% - Accent4 4 3 3 4" xfId="13812" xr:uid="{2EA47F42-ED9D-4CC6-90FB-E75E593CD5E2}"/>
    <cellStyle name="20% - Accent4 4 3 4" xfId="26476" xr:uid="{E9EB1F7F-C4C4-491A-BB2C-BC082C1F451B}"/>
    <cellStyle name="20% - Accent4 4 3 5" xfId="18035" xr:uid="{ADC08796-7F42-4C86-BA30-BBA32EFA4644}"/>
    <cellStyle name="20% - Accent4 4 3 6" xfId="9594" xr:uid="{AED6490F-5B11-4920-B37F-ADBFC7D9EBAD}"/>
    <cellStyle name="20% - Accent4 4 4" xfId="1468" xr:uid="{00000000-0005-0000-0000-000063020000}"/>
    <cellStyle name="20% - Accent4 4 4 2" xfId="3698" xr:uid="{00000000-0005-0000-0000-000064020000}"/>
    <cellStyle name="20% - Accent4 4 4 2 2" xfId="7920" xr:uid="{00000000-0005-0000-0000-000065020000}"/>
    <cellStyle name="20% - Accent4 4 4 2 2 2" xfId="33252" xr:uid="{DEEB7CF7-8522-4E01-A92B-9FE04569CB81}"/>
    <cellStyle name="20% - Accent4 4 4 2 2 3" xfId="24811" xr:uid="{DB885A0F-DE23-4E61-A804-FE688102946C}"/>
    <cellStyle name="20% - Accent4 4 4 2 2 4" xfId="16370" xr:uid="{5B4E6C55-132B-4B17-A449-5108E1718E33}"/>
    <cellStyle name="20% - Accent4 4 4 2 3" xfId="29034" xr:uid="{1E0EDD13-755E-41B7-ADB3-AA90CF510F8E}"/>
    <cellStyle name="20% - Accent4 4 4 2 4" xfId="20593" xr:uid="{2F9AA3AD-3DB8-44DD-9F95-036856591C2D}"/>
    <cellStyle name="20% - Accent4 4 4 2 5" xfId="12152" xr:uid="{E96803D9-29B5-4300-992E-1BE1B5D9371B}"/>
    <cellStyle name="20% - Accent4 4 4 3" xfId="5775" xr:uid="{00000000-0005-0000-0000-000066020000}"/>
    <cellStyle name="20% - Accent4 4 4 3 2" xfId="31107" xr:uid="{7DB48C33-E8F3-4037-B4A2-62ABECEE3B71}"/>
    <cellStyle name="20% - Accent4 4 4 3 3" xfId="22666" xr:uid="{B3D16A40-A4ED-4A4C-9591-8689CBA83E89}"/>
    <cellStyle name="20% - Accent4 4 4 3 4" xfId="14225" xr:uid="{7A4701DF-B030-4C69-BC08-65EA1A38A3EC}"/>
    <cellStyle name="20% - Accent4 4 4 4" xfId="26889" xr:uid="{5C54619E-8E81-4271-A40C-BE08C3A3EC25}"/>
    <cellStyle name="20% - Accent4 4 4 5" xfId="18448" xr:uid="{B6F53FA4-A2D5-4ABA-96F7-D01BE7F316B4}"/>
    <cellStyle name="20% - Accent4 4 4 6" xfId="10007" xr:uid="{CC9A7B82-0EF9-4006-B848-EC11778A9FE7}"/>
    <cellStyle name="20% - Accent4 4 5" xfId="1882" xr:uid="{00000000-0005-0000-0000-000067020000}"/>
    <cellStyle name="20% - Accent4 4 5 2" xfId="4111" xr:uid="{00000000-0005-0000-0000-000068020000}"/>
    <cellStyle name="20% - Accent4 4 5 2 2" xfId="8333" xr:uid="{00000000-0005-0000-0000-000069020000}"/>
    <cellStyle name="20% - Accent4 4 5 2 2 2" xfId="33665" xr:uid="{E226520C-4605-4EC2-A849-72C62EEBD9E4}"/>
    <cellStyle name="20% - Accent4 4 5 2 2 3" xfId="25224" xr:uid="{D42567C5-1C52-4AC3-B15D-5F2960A90635}"/>
    <cellStyle name="20% - Accent4 4 5 2 2 4" xfId="16783" xr:uid="{610762DF-D19D-445A-9C77-A616C25E0222}"/>
    <cellStyle name="20% - Accent4 4 5 2 3" xfId="29447" xr:uid="{2BEA2CDC-8ECB-4492-95AF-A4FD78641E8B}"/>
    <cellStyle name="20% - Accent4 4 5 2 4" xfId="21006" xr:uid="{DB0C6FE0-2A12-4E98-85C3-2D142292F1EE}"/>
    <cellStyle name="20% - Accent4 4 5 2 5" xfId="12565" xr:uid="{33911347-36F0-416B-B8AB-7092B16F8B61}"/>
    <cellStyle name="20% - Accent4 4 5 3" xfId="6188" xr:uid="{00000000-0005-0000-0000-00006A020000}"/>
    <cellStyle name="20% - Accent4 4 5 3 2" xfId="31520" xr:uid="{C4A9435D-89EE-48D8-9FF1-2793CCB8E74E}"/>
    <cellStyle name="20% - Accent4 4 5 3 3" xfId="23079" xr:uid="{6A2DB6CC-C93C-438E-BCA7-D65A2B18D457}"/>
    <cellStyle name="20% - Accent4 4 5 3 4" xfId="14638" xr:uid="{8CADDCAD-E2A9-4A4B-A2B5-3BA25D16829C}"/>
    <cellStyle name="20% - Accent4 4 5 4" xfId="27302" xr:uid="{00028D3E-D6C6-437C-B72A-C0A70937FCCA}"/>
    <cellStyle name="20% - Accent4 4 5 5" xfId="18861" xr:uid="{9FF85135-F88E-448F-B61E-2D1BDDAF7F5C}"/>
    <cellStyle name="20% - Accent4 4 5 6" xfId="10420" xr:uid="{859B4D37-2E12-4A4F-863C-C20F5C12538A}"/>
    <cellStyle name="20% - Accent4 4 6" xfId="2295" xr:uid="{00000000-0005-0000-0000-00006B020000}"/>
    <cellStyle name="20% - Accent4 4 6 2" xfId="6601" xr:uid="{00000000-0005-0000-0000-00006C020000}"/>
    <cellStyle name="20% - Accent4 4 6 2 2" xfId="31933" xr:uid="{75F373F5-8D1C-4843-8438-151BE278EB3F}"/>
    <cellStyle name="20% - Accent4 4 6 2 3" xfId="23492" xr:uid="{9980BAFD-7FD4-415C-9D58-A4D0D4EC0015}"/>
    <cellStyle name="20% - Accent4 4 6 2 4" xfId="15051" xr:uid="{78D41CD5-112B-4E05-8850-93599ADA7106}"/>
    <cellStyle name="20% - Accent4 4 6 3" xfId="27715" xr:uid="{D7B5E799-F649-4195-BAB7-FE78786123E2}"/>
    <cellStyle name="20% - Accent4 4 6 4" xfId="19274" xr:uid="{D251E037-128A-4A09-BF9B-0F151C2110CE}"/>
    <cellStyle name="20% - Accent4 4 6 5" xfId="10833" xr:uid="{F0645F7F-B425-4B41-ADAF-C96AE1380ABA}"/>
    <cellStyle name="20% - Accent4 4 7" xfId="4535" xr:uid="{00000000-0005-0000-0000-00006D020000}"/>
    <cellStyle name="20% - Accent4 4 7 2" xfId="29867" xr:uid="{F57F185E-27B3-403E-9053-061CD62B8569}"/>
    <cellStyle name="20% - Accent4 4 7 3" xfId="21426" xr:uid="{F0B3A092-DBA6-4C19-AB0D-5C73A2D86F21}"/>
    <cellStyle name="20% - Accent4 4 7 4" xfId="12985" xr:uid="{E5C258DB-DDAD-4719-800D-539F46D43103}"/>
    <cellStyle name="20% - Accent4 4 8" xfId="25649" xr:uid="{08950C46-7146-4449-9573-7441BE15BF4B}"/>
    <cellStyle name="20% - Accent4 4 9" xfId="17208" xr:uid="{8DFAECCB-C674-444A-834B-684F7C750409}"/>
    <cellStyle name="20% - Accent4 5" xfId="594" xr:uid="{00000000-0005-0000-0000-00006E020000}"/>
    <cellStyle name="20% - Accent4 5 2" xfId="2865" xr:uid="{00000000-0005-0000-0000-00006F020000}"/>
    <cellStyle name="20% - Accent4 5 2 2" xfId="7087" xr:uid="{00000000-0005-0000-0000-000070020000}"/>
    <cellStyle name="20% - Accent4 5 2 2 2" xfId="32419" xr:uid="{219BD543-075C-4C37-8853-034187B28C04}"/>
    <cellStyle name="20% - Accent4 5 2 2 3" xfId="23978" xr:uid="{8DC35E58-68CB-42DA-936F-9EA20B5E4ECA}"/>
    <cellStyle name="20% - Accent4 5 2 2 4" xfId="15537" xr:uid="{D9B3F93D-6469-418C-8C43-BDDBB0502D01}"/>
    <cellStyle name="20% - Accent4 5 2 3" xfId="28201" xr:uid="{3E698AFF-F696-4F6C-9195-E64AC49D2EE2}"/>
    <cellStyle name="20% - Accent4 5 2 4" xfId="19760" xr:uid="{B87D4BC3-CA22-4201-906C-5AFF01200FD9}"/>
    <cellStyle name="20% - Accent4 5 2 5" xfId="11319" xr:uid="{A7D0183A-6EEC-4C35-B51F-4019A2E8DA18}"/>
    <cellStyle name="20% - Accent4 5 3" xfId="4942" xr:uid="{00000000-0005-0000-0000-000071020000}"/>
    <cellStyle name="20% - Accent4 5 3 2" xfId="30274" xr:uid="{8A0447A7-6C2D-4BFE-A1AD-6EC45515D716}"/>
    <cellStyle name="20% - Accent4 5 3 3" xfId="21833" xr:uid="{7416997A-C544-4D11-889F-45B595E041CE}"/>
    <cellStyle name="20% - Accent4 5 3 4" xfId="13392" xr:uid="{6275FC9D-B7B2-4811-95DD-911F732CA164}"/>
    <cellStyle name="20% - Accent4 5 4" xfId="26056" xr:uid="{A54935F0-9E00-4AB9-BB1F-191C798F6093}"/>
    <cellStyle name="20% - Accent4 5 5" xfId="17615" xr:uid="{64C9B8FB-5358-4739-B426-90790290ECB4}"/>
    <cellStyle name="20% - Accent4 5 6" xfId="9174" xr:uid="{8646924B-EBD7-4EF0-8116-4645ACF93620}"/>
    <cellStyle name="20% - Accent4 6" xfId="1047" xr:uid="{00000000-0005-0000-0000-000072020000}"/>
    <cellStyle name="20% - Accent4 6 2" xfId="3278" xr:uid="{00000000-0005-0000-0000-000073020000}"/>
    <cellStyle name="20% - Accent4 6 2 2" xfId="7500" xr:uid="{00000000-0005-0000-0000-000074020000}"/>
    <cellStyle name="20% - Accent4 6 2 2 2" xfId="32832" xr:uid="{C751230C-5B97-4DBF-BA9A-9F187D76C087}"/>
    <cellStyle name="20% - Accent4 6 2 2 3" xfId="24391" xr:uid="{32139F73-F0F4-4E8F-B1C8-9BD252B05B4B}"/>
    <cellStyle name="20% - Accent4 6 2 2 4" xfId="15950" xr:uid="{E8037FF3-AE82-4D7C-8151-5159EFA5DD4C}"/>
    <cellStyle name="20% - Accent4 6 2 3" xfId="28614" xr:uid="{B3ECD4D2-20F1-4990-8D8D-D298623E10D5}"/>
    <cellStyle name="20% - Accent4 6 2 4" xfId="20173" xr:uid="{1B95D2DF-8F7E-490D-98B7-BBB493795613}"/>
    <cellStyle name="20% - Accent4 6 2 5" xfId="11732" xr:uid="{D042C309-9219-4312-90D9-01A0CE9B776E}"/>
    <cellStyle name="20% - Accent4 6 3" xfId="5355" xr:uid="{00000000-0005-0000-0000-000075020000}"/>
    <cellStyle name="20% - Accent4 6 3 2" xfId="30687" xr:uid="{A9B7E042-9F25-4DD1-9BFD-570C12652EF2}"/>
    <cellStyle name="20% - Accent4 6 3 3" xfId="22246" xr:uid="{64871ADD-EACB-419A-A413-0884B344A068}"/>
    <cellStyle name="20% - Accent4 6 3 4" xfId="13805" xr:uid="{A4C2C7D6-5465-456C-9B1C-EE22D26B8BC9}"/>
    <cellStyle name="20% - Accent4 6 4" xfId="26469" xr:uid="{9E18AAB7-8967-42AB-A7B8-6B63DFFDFE53}"/>
    <cellStyle name="20% - Accent4 6 5" xfId="18028" xr:uid="{1B6B2CF1-6935-4F51-A8FE-98ABE3B44543}"/>
    <cellStyle name="20% - Accent4 6 6" xfId="9587" xr:uid="{0AF67AD8-C7A9-4522-ABAB-8EC903B2B3CF}"/>
    <cellStyle name="20% - Accent4 7" xfId="1461" xr:uid="{00000000-0005-0000-0000-000076020000}"/>
    <cellStyle name="20% - Accent4 7 2" xfId="3691" xr:uid="{00000000-0005-0000-0000-000077020000}"/>
    <cellStyle name="20% - Accent4 7 2 2" xfId="7913" xr:uid="{00000000-0005-0000-0000-000078020000}"/>
    <cellStyle name="20% - Accent4 7 2 2 2" xfId="33245" xr:uid="{C17C72CC-1249-4AA7-8D31-5207DB8F4D25}"/>
    <cellStyle name="20% - Accent4 7 2 2 3" xfId="24804" xr:uid="{2ACD8F95-4C26-46CF-93FD-19ED770B5EBA}"/>
    <cellStyle name="20% - Accent4 7 2 2 4" xfId="16363" xr:uid="{803D2C5B-EF16-4DFD-A758-E7544DF7F7DE}"/>
    <cellStyle name="20% - Accent4 7 2 3" xfId="29027" xr:uid="{92F18E4B-06A2-46CE-B0C0-B2B2AEF95BCE}"/>
    <cellStyle name="20% - Accent4 7 2 4" xfId="20586" xr:uid="{56531478-CDB5-4603-AC62-5D044B678C55}"/>
    <cellStyle name="20% - Accent4 7 2 5" xfId="12145" xr:uid="{EAE57AB3-938D-45A9-BA7D-52AD0A761387}"/>
    <cellStyle name="20% - Accent4 7 3" xfId="5768" xr:uid="{00000000-0005-0000-0000-000079020000}"/>
    <cellStyle name="20% - Accent4 7 3 2" xfId="31100" xr:uid="{8E03FEE4-D414-43A0-B710-9A565F30BA46}"/>
    <cellStyle name="20% - Accent4 7 3 3" xfId="22659" xr:uid="{27948FA4-F5FC-47CB-B947-2B4FC0BFF47B}"/>
    <cellStyle name="20% - Accent4 7 3 4" xfId="14218" xr:uid="{DE5D01FC-926A-4226-9E8A-0379E78EE35A}"/>
    <cellStyle name="20% - Accent4 7 4" xfId="26882" xr:uid="{102CF80D-561D-4CE7-8412-FD60C6F989ED}"/>
    <cellStyle name="20% - Accent4 7 5" xfId="18441" xr:uid="{77FADB37-9F80-4469-B3E2-59ACA35DAEA8}"/>
    <cellStyle name="20% - Accent4 7 6" xfId="10000" xr:uid="{A2365BAC-1DBC-4B5B-8E18-6D7735C77F56}"/>
    <cellStyle name="20% - Accent4 8" xfId="1875" xr:uid="{00000000-0005-0000-0000-00007A020000}"/>
    <cellStyle name="20% - Accent4 8 2" xfId="4104" xr:uid="{00000000-0005-0000-0000-00007B020000}"/>
    <cellStyle name="20% - Accent4 8 2 2" xfId="8326" xr:uid="{00000000-0005-0000-0000-00007C020000}"/>
    <cellStyle name="20% - Accent4 8 2 2 2" xfId="33658" xr:uid="{1915B636-599F-4103-8A30-B9E12BA9440E}"/>
    <cellStyle name="20% - Accent4 8 2 2 3" xfId="25217" xr:uid="{00B18736-8488-4E5B-A397-0F8A2E57043A}"/>
    <cellStyle name="20% - Accent4 8 2 2 4" xfId="16776" xr:uid="{08E6B20E-9C53-497B-A488-231486916FC7}"/>
    <cellStyle name="20% - Accent4 8 2 3" xfId="29440" xr:uid="{73FF434C-F9B5-4EB0-8EB7-1C4132DAB000}"/>
    <cellStyle name="20% - Accent4 8 2 4" xfId="20999" xr:uid="{6C9ABC25-0642-432A-9C27-80F27947D75E}"/>
    <cellStyle name="20% - Accent4 8 2 5" xfId="12558" xr:uid="{89352C81-7356-47B5-8329-DF2731964677}"/>
    <cellStyle name="20% - Accent4 8 3" xfId="6181" xr:uid="{00000000-0005-0000-0000-00007D020000}"/>
    <cellStyle name="20% - Accent4 8 3 2" xfId="31513" xr:uid="{1FE793B4-4560-4009-9DB6-14DE911487DF}"/>
    <cellStyle name="20% - Accent4 8 3 3" xfId="23072" xr:uid="{E804DDBC-273F-4188-AEEC-9DAFF9D8BA39}"/>
    <cellStyle name="20% - Accent4 8 3 4" xfId="14631" xr:uid="{23BF7491-8493-490A-8928-5709C212D010}"/>
    <cellStyle name="20% - Accent4 8 4" xfId="27295" xr:uid="{F97FE7BD-5B11-40D8-B183-634D5CC46E28}"/>
    <cellStyle name="20% - Accent4 8 5" xfId="18854" xr:uid="{CC0C62A7-32B0-47DE-A13C-5FD3E864CD8B}"/>
    <cellStyle name="20% - Accent4 8 6" xfId="10413" xr:uid="{E966D19F-A3D2-48A9-A680-C855081192D2}"/>
    <cellStyle name="20% - Accent4 9" xfId="2288" xr:uid="{00000000-0005-0000-0000-00007E020000}"/>
    <cellStyle name="20% - Accent4 9 2" xfId="6594" xr:uid="{00000000-0005-0000-0000-00007F020000}"/>
    <cellStyle name="20% - Accent4 9 2 2" xfId="31926" xr:uid="{C9204B5E-695F-4670-84AC-C232F134C048}"/>
    <cellStyle name="20% - Accent4 9 2 3" xfId="23485" xr:uid="{C6383CA1-0986-4861-9888-0EC44708606B}"/>
    <cellStyle name="20% - Accent4 9 2 4" xfId="15044" xr:uid="{357D30EE-F3BF-41D5-BACA-1D0B20C27588}"/>
    <cellStyle name="20% - Accent4 9 3" xfId="27708" xr:uid="{5D4E6D99-2654-48A6-9F6A-8D57BBD9B2EF}"/>
    <cellStyle name="20% - Accent4 9 4" xfId="19267" xr:uid="{C735D2BE-7D15-41A0-A27A-063F1FAC3737}"/>
    <cellStyle name="20% - Accent4 9 5" xfId="10826" xr:uid="{07F61CFA-B69C-4D4F-993F-02D4CB61FC42}"/>
    <cellStyle name="20% - Accent5" xfId="33" builtinId="46" customBuiltin="1"/>
    <cellStyle name="20% - Accent5 10" xfId="4536" xr:uid="{00000000-0005-0000-0000-000081020000}"/>
    <cellStyle name="20% - Accent5 10 2" xfId="29868" xr:uid="{24CA7AA8-6038-4B80-82F5-74C1FA9452AB}"/>
    <cellStyle name="20% - Accent5 10 3" xfId="21427" xr:uid="{74F86641-4055-4B88-90B2-C1CA9D9CC15A}"/>
    <cellStyle name="20% - Accent5 10 4" xfId="12986" xr:uid="{27FF091B-88FA-4044-AD74-B93CFBF702A0}"/>
    <cellStyle name="20% - Accent5 11" xfId="25650" xr:uid="{A200381B-BDDC-485C-86D8-6B840106C82A}"/>
    <cellStyle name="20% - Accent5 12" xfId="17209" xr:uid="{95340EDC-498A-42BE-A4D8-34693B438D58}"/>
    <cellStyle name="20% - Accent5 13" xfId="8768" xr:uid="{5A1CEB46-6908-4D93-B19E-DE3044C467DB}"/>
    <cellStyle name="20% - Accent5 2" xfId="34" xr:uid="{00000000-0005-0000-0000-000082020000}"/>
    <cellStyle name="20% - Accent5 2 10" xfId="25651" xr:uid="{47D67ABE-FC6B-4A3F-A6AC-044742C69AC4}"/>
    <cellStyle name="20% - Accent5 2 11" xfId="17210" xr:uid="{46EC7DC7-2349-4D47-B875-C637BDD0911F}"/>
    <cellStyle name="20% - Accent5 2 12" xfId="8769" xr:uid="{C727BB70-AC46-4371-8FDD-650294FD810B}"/>
    <cellStyle name="20% - Accent5 2 2" xfId="35" xr:uid="{00000000-0005-0000-0000-000083020000}"/>
    <cellStyle name="20% - Accent5 2 2 10" xfId="17211" xr:uid="{DA3E2AE7-4E75-4A8B-A001-C15C7F219B0E}"/>
    <cellStyle name="20% - Accent5 2 2 11" xfId="8770" xr:uid="{E8F16398-1BD8-45BE-B6A8-9D43E15B641D}"/>
    <cellStyle name="20% - Accent5 2 2 2" xfId="36" xr:uid="{00000000-0005-0000-0000-000084020000}"/>
    <cellStyle name="20% - Accent5 2 2 2 10" xfId="8771" xr:uid="{C8DF50B2-49F2-44D4-A2D7-14400E53A077}"/>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2 2 2" xfId="32430" xr:uid="{52F6F6D9-8C7F-46C7-90F9-65F35A307488}"/>
    <cellStyle name="20% - Accent5 2 2 2 2 2 2 3" xfId="23989" xr:uid="{DCCDD1D3-0190-430C-9D36-D02AA161F3CD}"/>
    <cellStyle name="20% - Accent5 2 2 2 2 2 2 4" xfId="15548" xr:uid="{799C2D4C-C7CD-4987-A0E6-E396BCD6226D}"/>
    <cellStyle name="20% - Accent5 2 2 2 2 2 3" xfId="28212" xr:uid="{354297B2-28DB-4365-AF25-3749A5230099}"/>
    <cellStyle name="20% - Accent5 2 2 2 2 2 4" xfId="19771" xr:uid="{94956AF1-8B03-4FBB-88E4-45D277DE3415}"/>
    <cellStyle name="20% - Accent5 2 2 2 2 2 5" xfId="11330" xr:uid="{B36FA1DF-DB15-47FF-BF49-1A87C109D9B4}"/>
    <cellStyle name="20% - Accent5 2 2 2 2 3" xfId="4953" xr:uid="{00000000-0005-0000-0000-000088020000}"/>
    <cellStyle name="20% - Accent5 2 2 2 2 3 2" xfId="30285" xr:uid="{49247C6C-1843-4F18-A40D-F2CA29285E0B}"/>
    <cellStyle name="20% - Accent5 2 2 2 2 3 3" xfId="21844" xr:uid="{1853163A-0985-44F6-AD1A-B81FF38AF051}"/>
    <cellStyle name="20% - Accent5 2 2 2 2 3 4" xfId="13403" xr:uid="{DE5526B9-9FF3-49AD-A7FC-DD1819C22A68}"/>
    <cellStyle name="20% - Accent5 2 2 2 2 4" xfId="26067" xr:uid="{D8D7479B-F690-494F-8258-B4879CCC5DE4}"/>
    <cellStyle name="20% - Accent5 2 2 2 2 5" xfId="17626" xr:uid="{4745E482-CE05-4171-A026-E5B55B564A30}"/>
    <cellStyle name="20% - Accent5 2 2 2 2 6" xfId="9185" xr:uid="{CA5CB91B-161B-4343-901D-EE54174B2DD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2 2 2" xfId="32843" xr:uid="{B3559A0B-55CC-4936-8715-480FF423D9B9}"/>
    <cellStyle name="20% - Accent5 2 2 2 3 2 2 3" xfId="24402" xr:uid="{40A2FA9B-F1AC-4668-8F78-30E27CBB9DFA}"/>
    <cellStyle name="20% - Accent5 2 2 2 3 2 2 4" xfId="15961" xr:uid="{AA82499A-6A3B-4AB1-86FC-CC60D982EB31}"/>
    <cellStyle name="20% - Accent5 2 2 2 3 2 3" xfId="28625" xr:uid="{17D65B9B-BB31-4374-83BF-F42AC7DB42CB}"/>
    <cellStyle name="20% - Accent5 2 2 2 3 2 4" xfId="20184" xr:uid="{139D3FA9-0348-4FE5-9C97-68F3C717E550}"/>
    <cellStyle name="20% - Accent5 2 2 2 3 2 5" xfId="11743" xr:uid="{45853BE0-148C-4AC3-A897-2ED36B96D551}"/>
    <cellStyle name="20% - Accent5 2 2 2 3 3" xfId="5366" xr:uid="{00000000-0005-0000-0000-00008C020000}"/>
    <cellStyle name="20% - Accent5 2 2 2 3 3 2" xfId="30698" xr:uid="{848EFF3C-F73E-4574-9763-88ABBABAB4CF}"/>
    <cellStyle name="20% - Accent5 2 2 2 3 3 3" xfId="22257" xr:uid="{C6153FF9-161B-4D90-83AC-F8AD8DF2417F}"/>
    <cellStyle name="20% - Accent5 2 2 2 3 3 4" xfId="13816" xr:uid="{08F6915E-D14B-4282-A66D-FFBCD34449EF}"/>
    <cellStyle name="20% - Accent5 2 2 2 3 4" xfId="26480" xr:uid="{7CEBE6CB-8C2B-47F7-85D8-9AB2C874B06E}"/>
    <cellStyle name="20% - Accent5 2 2 2 3 5" xfId="18039" xr:uid="{81C61670-AF08-44B8-A2A5-1AAD8541DFF6}"/>
    <cellStyle name="20% - Accent5 2 2 2 3 6" xfId="9598" xr:uid="{3B90D86C-9037-4FBC-A423-74443433EDA8}"/>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2 2 2" xfId="33256" xr:uid="{6444B432-DA18-4993-9670-AF3732E154F6}"/>
    <cellStyle name="20% - Accent5 2 2 2 4 2 2 3" xfId="24815" xr:uid="{081BB2B0-C107-427A-98A7-2999A92F759F}"/>
    <cellStyle name="20% - Accent5 2 2 2 4 2 2 4" xfId="16374" xr:uid="{1CFADF60-8C74-4B66-A05A-77638DF1F53E}"/>
    <cellStyle name="20% - Accent5 2 2 2 4 2 3" xfId="29038" xr:uid="{F44561BD-65A2-4EEC-8A34-66B1F5AB96F0}"/>
    <cellStyle name="20% - Accent5 2 2 2 4 2 4" xfId="20597" xr:uid="{849BFC6F-63EF-4B7D-9781-99A735C437D9}"/>
    <cellStyle name="20% - Accent5 2 2 2 4 2 5" xfId="12156" xr:uid="{F57D70D4-7C1B-4B9D-A5A8-B5FC831F6BB5}"/>
    <cellStyle name="20% - Accent5 2 2 2 4 3" xfId="5779" xr:uid="{00000000-0005-0000-0000-000090020000}"/>
    <cellStyle name="20% - Accent5 2 2 2 4 3 2" xfId="31111" xr:uid="{77B89789-89A7-4116-AE21-41045FA2B1EE}"/>
    <cellStyle name="20% - Accent5 2 2 2 4 3 3" xfId="22670" xr:uid="{473A3FAC-B766-475B-AA5F-CC7C5FB3E126}"/>
    <cellStyle name="20% - Accent5 2 2 2 4 3 4" xfId="14229" xr:uid="{5D7B07F7-8267-47E8-A469-B2943E015683}"/>
    <cellStyle name="20% - Accent5 2 2 2 4 4" xfId="26893" xr:uid="{09A47BD6-7E55-46F7-A85E-A0F7382B88F1}"/>
    <cellStyle name="20% - Accent5 2 2 2 4 5" xfId="18452" xr:uid="{6A1F85C4-AE39-4932-888A-5F46D4AD4C82}"/>
    <cellStyle name="20% - Accent5 2 2 2 4 6" xfId="10011" xr:uid="{DE0112D3-2626-429B-B39A-7FF9D25A4A18}"/>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2 2 2" xfId="33669" xr:uid="{6B717CE1-D739-44C0-9D67-435877A9D1AA}"/>
    <cellStyle name="20% - Accent5 2 2 2 5 2 2 3" xfId="25228" xr:uid="{41847B1F-B155-4473-979B-B7CB747D1280}"/>
    <cellStyle name="20% - Accent5 2 2 2 5 2 2 4" xfId="16787" xr:uid="{258849D0-B17A-433B-9E9E-951184007663}"/>
    <cellStyle name="20% - Accent5 2 2 2 5 2 3" xfId="29451" xr:uid="{5DB99EAC-DF63-419E-BEC0-E0F5F5E16FBB}"/>
    <cellStyle name="20% - Accent5 2 2 2 5 2 4" xfId="21010" xr:uid="{1F437FD8-B2A4-4D7E-BFC0-745578DF9458}"/>
    <cellStyle name="20% - Accent5 2 2 2 5 2 5" xfId="12569" xr:uid="{309792DD-16A1-4C3E-9162-9D85ED84258C}"/>
    <cellStyle name="20% - Accent5 2 2 2 5 3" xfId="6192" xr:uid="{00000000-0005-0000-0000-000094020000}"/>
    <cellStyle name="20% - Accent5 2 2 2 5 3 2" xfId="31524" xr:uid="{3305A4C9-D67C-4760-AFC8-85F58214E777}"/>
    <cellStyle name="20% - Accent5 2 2 2 5 3 3" xfId="23083" xr:uid="{F901E810-2925-4A0A-AC07-C2EB85CAD140}"/>
    <cellStyle name="20% - Accent5 2 2 2 5 3 4" xfId="14642" xr:uid="{6665FF0A-5B8C-484C-BA31-67A52516CAD2}"/>
    <cellStyle name="20% - Accent5 2 2 2 5 4" xfId="27306" xr:uid="{A53D0641-45D4-489C-B6F8-475C1EE74D39}"/>
    <cellStyle name="20% - Accent5 2 2 2 5 5" xfId="18865" xr:uid="{37C95C09-0BEE-4C7C-A64D-AE163B554AC8}"/>
    <cellStyle name="20% - Accent5 2 2 2 5 6" xfId="10424" xr:uid="{27B76E33-F2D0-443F-B9D7-744FF135FC42}"/>
    <cellStyle name="20% - Accent5 2 2 2 6" xfId="2299" xr:uid="{00000000-0005-0000-0000-000095020000}"/>
    <cellStyle name="20% - Accent5 2 2 2 6 2" xfId="6605" xr:uid="{00000000-0005-0000-0000-000096020000}"/>
    <cellStyle name="20% - Accent5 2 2 2 6 2 2" xfId="31937" xr:uid="{044C3562-2574-4E9D-99B7-E4FC61EACFF0}"/>
    <cellStyle name="20% - Accent5 2 2 2 6 2 3" xfId="23496" xr:uid="{A36720A5-881A-485C-87B7-EE6F23A3023B}"/>
    <cellStyle name="20% - Accent5 2 2 2 6 2 4" xfId="15055" xr:uid="{858A30AD-0A12-4D87-A51B-E82797EF4C82}"/>
    <cellStyle name="20% - Accent5 2 2 2 6 3" xfId="27719" xr:uid="{A67F1B9A-D276-492C-8DA2-71AD2269967B}"/>
    <cellStyle name="20% - Accent5 2 2 2 6 4" xfId="19278" xr:uid="{D567ACE5-374A-4279-BE0F-FA18440214D9}"/>
    <cellStyle name="20% - Accent5 2 2 2 6 5" xfId="10837" xr:uid="{12E8B911-6A40-4B09-95BF-E55F1FCF31CA}"/>
    <cellStyle name="20% - Accent5 2 2 2 7" xfId="4539" xr:uid="{00000000-0005-0000-0000-000097020000}"/>
    <cellStyle name="20% - Accent5 2 2 2 7 2" xfId="29871" xr:uid="{0A3875A3-CBAE-4583-B452-B3B431637184}"/>
    <cellStyle name="20% - Accent5 2 2 2 7 3" xfId="21430" xr:uid="{3BB46BAE-4BB6-44DD-B32D-D355D53EA9CC}"/>
    <cellStyle name="20% - Accent5 2 2 2 7 4" xfId="12989" xr:uid="{FB5F73E5-2B73-48EA-9AD2-B51A6E772F9C}"/>
    <cellStyle name="20% - Accent5 2 2 2 8" xfId="25653" xr:uid="{720D9216-EE75-47C9-90A4-C2F2F422076F}"/>
    <cellStyle name="20% - Accent5 2 2 2 9" xfId="17212" xr:uid="{8D8471E2-16C4-472A-A14D-644CF997EF1A}"/>
    <cellStyle name="20% - Accent5 2 2 3" xfId="604" xr:uid="{00000000-0005-0000-0000-000098020000}"/>
    <cellStyle name="20% - Accent5 2 2 3 2" xfId="2875" xr:uid="{00000000-0005-0000-0000-000099020000}"/>
    <cellStyle name="20% - Accent5 2 2 3 2 2" xfId="7097" xr:uid="{00000000-0005-0000-0000-00009A020000}"/>
    <cellStyle name="20% - Accent5 2 2 3 2 2 2" xfId="32429" xr:uid="{57EF4F52-F678-4B6D-B929-943565D562E8}"/>
    <cellStyle name="20% - Accent5 2 2 3 2 2 3" xfId="23988" xr:uid="{44A31BB4-B739-4670-B4F1-3B98E7FF4BA4}"/>
    <cellStyle name="20% - Accent5 2 2 3 2 2 4" xfId="15547" xr:uid="{F823B7A5-B786-421D-BF62-D758D4E51F01}"/>
    <cellStyle name="20% - Accent5 2 2 3 2 3" xfId="28211" xr:uid="{00EDEF7D-8868-49EA-A36B-004B0541A5B5}"/>
    <cellStyle name="20% - Accent5 2 2 3 2 4" xfId="19770" xr:uid="{DFE72ED2-7CF8-4457-8C52-F4F1A48FE67A}"/>
    <cellStyle name="20% - Accent5 2 2 3 2 5" xfId="11329" xr:uid="{1F595FF9-4BBB-48E6-A697-A35993051D5A}"/>
    <cellStyle name="20% - Accent5 2 2 3 3" xfId="4952" xr:uid="{00000000-0005-0000-0000-00009B020000}"/>
    <cellStyle name="20% - Accent5 2 2 3 3 2" xfId="30284" xr:uid="{84426D15-BF2A-4826-98EF-B0F0CA6D1E4B}"/>
    <cellStyle name="20% - Accent5 2 2 3 3 3" xfId="21843" xr:uid="{B6410EE7-B030-4CEF-8F42-44EAFC83C348}"/>
    <cellStyle name="20% - Accent5 2 2 3 3 4" xfId="13402" xr:uid="{31511828-4054-41A6-9362-5B4999BEEB61}"/>
    <cellStyle name="20% - Accent5 2 2 3 4" xfId="26066" xr:uid="{F44BB266-8390-4BC9-9AD8-F71C4C55E0E2}"/>
    <cellStyle name="20% - Accent5 2 2 3 5" xfId="17625" xr:uid="{AEC82590-83C6-417F-98A1-015F5A690DFF}"/>
    <cellStyle name="20% - Accent5 2 2 3 6" xfId="9184" xr:uid="{5CF77ED9-F2FE-41CD-BC7A-D62FE363DDB2}"/>
    <cellStyle name="20% - Accent5 2 2 4" xfId="1057" xr:uid="{00000000-0005-0000-0000-00009C020000}"/>
    <cellStyle name="20% - Accent5 2 2 4 2" xfId="3288" xr:uid="{00000000-0005-0000-0000-00009D020000}"/>
    <cellStyle name="20% - Accent5 2 2 4 2 2" xfId="7510" xr:uid="{00000000-0005-0000-0000-00009E020000}"/>
    <cellStyle name="20% - Accent5 2 2 4 2 2 2" xfId="32842" xr:uid="{CC6811B7-CA56-4E2A-9D51-9F2FFF0FDAF1}"/>
    <cellStyle name="20% - Accent5 2 2 4 2 2 3" xfId="24401" xr:uid="{7D0981F5-5A16-4C85-AA33-3EBC2BA0C7C3}"/>
    <cellStyle name="20% - Accent5 2 2 4 2 2 4" xfId="15960" xr:uid="{7F1328FB-0B5F-42E8-B595-044C9C87FE6F}"/>
    <cellStyle name="20% - Accent5 2 2 4 2 3" xfId="28624" xr:uid="{410303DE-924F-4FD0-9BBD-05CCCBC02207}"/>
    <cellStyle name="20% - Accent5 2 2 4 2 4" xfId="20183" xr:uid="{FAE54A67-6B85-4C05-9A3A-87807A832F7A}"/>
    <cellStyle name="20% - Accent5 2 2 4 2 5" xfId="11742" xr:uid="{AAD01012-86A5-49F3-AB68-0C4D5D0F472C}"/>
    <cellStyle name="20% - Accent5 2 2 4 3" xfId="5365" xr:uid="{00000000-0005-0000-0000-00009F020000}"/>
    <cellStyle name="20% - Accent5 2 2 4 3 2" xfId="30697" xr:uid="{854DC2AC-50A0-4B14-9266-44A730314716}"/>
    <cellStyle name="20% - Accent5 2 2 4 3 3" xfId="22256" xr:uid="{1A8EB530-5803-4D34-A37E-CD88D4E640A3}"/>
    <cellStyle name="20% - Accent5 2 2 4 3 4" xfId="13815" xr:uid="{40480174-F937-4BEA-B16F-E81D53C55B16}"/>
    <cellStyle name="20% - Accent5 2 2 4 4" xfId="26479" xr:uid="{77D895E8-7C48-4969-AEE5-A06E1663565E}"/>
    <cellStyle name="20% - Accent5 2 2 4 5" xfId="18038" xr:uid="{9BDC2699-7131-44B0-B925-1157EA44799C}"/>
    <cellStyle name="20% - Accent5 2 2 4 6" xfId="9597" xr:uid="{A0AF8172-0DA7-47F3-8627-9B948C2A1159}"/>
    <cellStyle name="20% - Accent5 2 2 5" xfId="1471" xr:uid="{00000000-0005-0000-0000-0000A0020000}"/>
    <cellStyle name="20% - Accent5 2 2 5 2" xfId="3701" xr:uid="{00000000-0005-0000-0000-0000A1020000}"/>
    <cellStyle name="20% - Accent5 2 2 5 2 2" xfId="7923" xr:uid="{00000000-0005-0000-0000-0000A2020000}"/>
    <cellStyle name="20% - Accent5 2 2 5 2 2 2" xfId="33255" xr:uid="{A427FDC9-BCF1-4DFA-A8E9-842177774266}"/>
    <cellStyle name="20% - Accent5 2 2 5 2 2 3" xfId="24814" xr:uid="{292E5345-C286-4949-8C12-AE0269B8616B}"/>
    <cellStyle name="20% - Accent5 2 2 5 2 2 4" xfId="16373" xr:uid="{BA46BE42-08A0-4344-B29A-C4A957368A46}"/>
    <cellStyle name="20% - Accent5 2 2 5 2 3" xfId="29037" xr:uid="{1A55FBF2-99CE-42EA-9DB5-4F89A18247D7}"/>
    <cellStyle name="20% - Accent5 2 2 5 2 4" xfId="20596" xr:uid="{A3DE3C9E-3DEA-4C43-BF60-F4716B9743BC}"/>
    <cellStyle name="20% - Accent5 2 2 5 2 5" xfId="12155" xr:uid="{37CCE254-E73D-4799-BC92-6F3A0AE37D42}"/>
    <cellStyle name="20% - Accent5 2 2 5 3" xfId="5778" xr:uid="{00000000-0005-0000-0000-0000A3020000}"/>
    <cellStyle name="20% - Accent5 2 2 5 3 2" xfId="31110" xr:uid="{5BC8C8D6-8408-48CF-9E9E-7C310C69770E}"/>
    <cellStyle name="20% - Accent5 2 2 5 3 3" xfId="22669" xr:uid="{2FB6DD86-9A19-4A87-8ADF-98FDFCA01CE8}"/>
    <cellStyle name="20% - Accent5 2 2 5 3 4" xfId="14228" xr:uid="{6F66F4A5-1554-4A88-B406-267BAE418F88}"/>
    <cellStyle name="20% - Accent5 2 2 5 4" xfId="26892" xr:uid="{CBB35E63-D8DA-4642-8EFF-09BD3817C759}"/>
    <cellStyle name="20% - Accent5 2 2 5 5" xfId="18451" xr:uid="{7EC5C1FB-3DFE-4D56-837A-FFCC53BE2D8D}"/>
    <cellStyle name="20% - Accent5 2 2 5 6" xfId="10010" xr:uid="{3E26F071-0793-403F-BD24-CC4102A5A16E}"/>
    <cellStyle name="20% - Accent5 2 2 6" xfId="1885" xr:uid="{00000000-0005-0000-0000-0000A4020000}"/>
    <cellStyle name="20% - Accent5 2 2 6 2" xfId="4114" xr:uid="{00000000-0005-0000-0000-0000A5020000}"/>
    <cellStyle name="20% - Accent5 2 2 6 2 2" xfId="8336" xr:uid="{00000000-0005-0000-0000-0000A6020000}"/>
    <cellStyle name="20% - Accent5 2 2 6 2 2 2" xfId="33668" xr:uid="{E31B76DB-FB44-43DC-AC53-B2C67DC3FA9D}"/>
    <cellStyle name="20% - Accent5 2 2 6 2 2 3" xfId="25227" xr:uid="{00EEF043-B06E-4DFE-877C-D236D4B4B615}"/>
    <cellStyle name="20% - Accent5 2 2 6 2 2 4" xfId="16786" xr:uid="{74E541E0-5C2A-4CCE-A8E0-C247C24F51BF}"/>
    <cellStyle name="20% - Accent5 2 2 6 2 3" xfId="29450" xr:uid="{21597BB0-7AF3-410E-BFFE-1629F8D8F905}"/>
    <cellStyle name="20% - Accent5 2 2 6 2 4" xfId="21009" xr:uid="{4FDA3E74-444A-488C-8D91-1ABA17228916}"/>
    <cellStyle name="20% - Accent5 2 2 6 2 5" xfId="12568" xr:uid="{79EC964D-CF65-4B51-A1D7-4075D660321D}"/>
    <cellStyle name="20% - Accent5 2 2 6 3" xfId="6191" xr:uid="{00000000-0005-0000-0000-0000A7020000}"/>
    <cellStyle name="20% - Accent5 2 2 6 3 2" xfId="31523" xr:uid="{0F00DCEF-301E-40C1-A4CC-5AE22ECFD17C}"/>
    <cellStyle name="20% - Accent5 2 2 6 3 3" xfId="23082" xr:uid="{4B066650-F23D-4664-A856-D50D9135B928}"/>
    <cellStyle name="20% - Accent5 2 2 6 3 4" xfId="14641" xr:uid="{7171FCE9-4B32-4C71-9D62-5FBBCEBA36F8}"/>
    <cellStyle name="20% - Accent5 2 2 6 4" xfId="27305" xr:uid="{54D38687-6533-46DB-86CC-7B48085F82E9}"/>
    <cellStyle name="20% - Accent5 2 2 6 5" xfId="18864" xr:uid="{8BD719F0-86C3-4507-A1C2-67178E4CF919}"/>
    <cellStyle name="20% - Accent5 2 2 6 6" xfId="10423" xr:uid="{225EDFD4-58A2-4570-A4E3-7AE4A9B0FAC3}"/>
    <cellStyle name="20% - Accent5 2 2 7" xfId="2298" xr:uid="{00000000-0005-0000-0000-0000A8020000}"/>
    <cellStyle name="20% - Accent5 2 2 7 2" xfId="6604" xr:uid="{00000000-0005-0000-0000-0000A9020000}"/>
    <cellStyle name="20% - Accent5 2 2 7 2 2" xfId="31936" xr:uid="{A7406E1F-FDC6-481C-A276-1DA319AF6BB6}"/>
    <cellStyle name="20% - Accent5 2 2 7 2 3" xfId="23495" xr:uid="{9629348F-7E68-442D-BEFC-BE2F45E2EEF1}"/>
    <cellStyle name="20% - Accent5 2 2 7 2 4" xfId="15054" xr:uid="{7E2B4FD4-B3B7-426B-BFE9-1C86D452BAF7}"/>
    <cellStyle name="20% - Accent5 2 2 7 3" xfId="27718" xr:uid="{117BDFB0-25EE-4264-9DC5-FB4946E20100}"/>
    <cellStyle name="20% - Accent5 2 2 7 4" xfId="19277" xr:uid="{603AABC1-D559-42EA-A602-9AE55ACF0E6A}"/>
    <cellStyle name="20% - Accent5 2 2 7 5" xfId="10836" xr:uid="{3C2D9C0C-A0CB-4419-B579-7051922E52A1}"/>
    <cellStyle name="20% - Accent5 2 2 8" xfId="4538" xr:uid="{00000000-0005-0000-0000-0000AA020000}"/>
    <cellStyle name="20% - Accent5 2 2 8 2" xfId="29870" xr:uid="{642BA1B9-AFA0-45A1-A423-2F51A635D8BF}"/>
    <cellStyle name="20% - Accent5 2 2 8 3" xfId="21429" xr:uid="{FE281C05-0D82-4E28-BB2A-B498F2B8880D}"/>
    <cellStyle name="20% - Accent5 2 2 8 4" xfId="12988" xr:uid="{8B0C66E8-1C55-4EE0-AA7E-2759746C307F}"/>
    <cellStyle name="20% - Accent5 2 2 9" xfId="25652" xr:uid="{3381567D-81D0-4334-8FAC-12AF5BF64258}"/>
    <cellStyle name="20% - Accent5 2 3" xfId="37" xr:uid="{00000000-0005-0000-0000-0000AB020000}"/>
    <cellStyle name="20% - Accent5 2 3 10" xfId="8772" xr:uid="{70E94464-DC0B-42BC-915D-97B2F2F77FEB}"/>
    <cellStyle name="20% - Accent5 2 3 2" xfId="606" xr:uid="{00000000-0005-0000-0000-0000AC020000}"/>
    <cellStyle name="20% - Accent5 2 3 2 2" xfId="2877" xr:uid="{00000000-0005-0000-0000-0000AD020000}"/>
    <cellStyle name="20% - Accent5 2 3 2 2 2" xfId="7099" xr:uid="{00000000-0005-0000-0000-0000AE020000}"/>
    <cellStyle name="20% - Accent5 2 3 2 2 2 2" xfId="32431" xr:uid="{9AF68A83-6692-4DC0-A8E3-B8205410631C}"/>
    <cellStyle name="20% - Accent5 2 3 2 2 2 3" xfId="23990" xr:uid="{ED42A0F5-084E-4AE0-AFDB-245B07D1237E}"/>
    <cellStyle name="20% - Accent5 2 3 2 2 2 4" xfId="15549" xr:uid="{E31C85C7-5EAC-4CA2-B36F-86F4700F178D}"/>
    <cellStyle name="20% - Accent5 2 3 2 2 3" xfId="28213" xr:uid="{62C8D2FD-864C-4A23-AFD7-88D5A1DC74CF}"/>
    <cellStyle name="20% - Accent5 2 3 2 2 4" xfId="19772" xr:uid="{4ACDC25D-1AF0-457A-B19F-5AE27124B17D}"/>
    <cellStyle name="20% - Accent5 2 3 2 2 5" xfId="11331" xr:uid="{C2F1FB0F-6310-4AC1-856F-F906C47471C9}"/>
    <cellStyle name="20% - Accent5 2 3 2 3" xfId="4954" xr:uid="{00000000-0005-0000-0000-0000AF020000}"/>
    <cellStyle name="20% - Accent5 2 3 2 3 2" xfId="30286" xr:uid="{690DD610-C377-427F-8706-D2F6A3D6A9FD}"/>
    <cellStyle name="20% - Accent5 2 3 2 3 3" xfId="21845" xr:uid="{E90489E8-7681-4123-85C6-F1463D1348BC}"/>
    <cellStyle name="20% - Accent5 2 3 2 3 4" xfId="13404" xr:uid="{F3AE93B3-150F-47C1-B5E8-31748CA11DA1}"/>
    <cellStyle name="20% - Accent5 2 3 2 4" xfId="26068" xr:uid="{767100E1-3FA0-4EB9-87AE-F02C7A78F067}"/>
    <cellStyle name="20% - Accent5 2 3 2 5" xfId="17627" xr:uid="{E853E9DB-640B-487D-A2F6-FCB853C5097F}"/>
    <cellStyle name="20% - Accent5 2 3 2 6" xfId="9186" xr:uid="{C95114C8-6C86-4F9B-8C95-89F4A368EC71}"/>
    <cellStyle name="20% - Accent5 2 3 3" xfId="1059" xr:uid="{00000000-0005-0000-0000-0000B0020000}"/>
    <cellStyle name="20% - Accent5 2 3 3 2" xfId="3290" xr:uid="{00000000-0005-0000-0000-0000B1020000}"/>
    <cellStyle name="20% - Accent5 2 3 3 2 2" xfId="7512" xr:uid="{00000000-0005-0000-0000-0000B2020000}"/>
    <cellStyle name="20% - Accent5 2 3 3 2 2 2" xfId="32844" xr:uid="{D82EDCD1-6AD5-4BBB-A7E5-1FABAC55BA53}"/>
    <cellStyle name="20% - Accent5 2 3 3 2 2 3" xfId="24403" xr:uid="{E85C7409-7A46-4A54-8FF7-5CE26578F385}"/>
    <cellStyle name="20% - Accent5 2 3 3 2 2 4" xfId="15962" xr:uid="{C9E4C2E2-1BE7-49A2-841E-315A0A4BAF1F}"/>
    <cellStyle name="20% - Accent5 2 3 3 2 3" xfId="28626" xr:uid="{A5022871-C564-4699-93C5-43ADFF7E8879}"/>
    <cellStyle name="20% - Accent5 2 3 3 2 4" xfId="20185" xr:uid="{F05E1EF1-248E-44A7-BDA5-FE89A46D8151}"/>
    <cellStyle name="20% - Accent5 2 3 3 2 5" xfId="11744" xr:uid="{29D2E960-E59D-4DBB-8B43-D406CE13F765}"/>
    <cellStyle name="20% - Accent5 2 3 3 3" xfId="5367" xr:uid="{00000000-0005-0000-0000-0000B3020000}"/>
    <cellStyle name="20% - Accent5 2 3 3 3 2" xfId="30699" xr:uid="{69F6AEB4-CE34-492E-A6F0-7B91DFE299B9}"/>
    <cellStyle name="20% - Accent5 2 3 3 3 3" xfId="22258" xr:uid="{F59FD140-B6F1-4A19-8F37-AA1999371AF0}"/>
    <cellStyle name="20% - Accent5 2 3 3 3 4" xfId="13817" xr:uid="{D41AC360-C20B-48DF-9806-0F77DA94C46C}"/>
    <cellStyle name="20% - Accent5 2 3 3 4" xfId="26481" xr:uid="{CD4AE22A-8A22-405E-BABB-E4A8978D8E0C}"/>
    <cellStyle name="20% - Accent5 2 3 3 5" xfId="18040" xr:uid="{761F9551-B207-47C2-9B66-D7EE54856BF6}"/>
    <cellStyle name="20% - Accent5 2 3 3 6" xfId="9599" xr:uid="{EECAC61A-8DBE-4F94-B5FA-D604C28A504E}"/>
    <cellStyle name="20% - Accent5 2 3 4" xfId="1473" xr:uid="{00000000-0005-0000-0000-0000B4020000}"/>
    <cellStyle name="20% - Accent5 2 3 4 2" xfId="3703" xr:uid="{00000000-0005-0000-0000-0000B5020000}"/>
    <cellStyle name="20% - Accent5 2 3 4 2 2" xfId="7925" xr:uid="{00000000-0005-0000-0000-0000B6020000}"/>
    <cellStyle name="20% - Accent5 2 3 4 2 2 2" xfId="33257" xr:uid="{A8A3F3D3-EB82-418B-9C0B-C414C4D6FC96}"/>
    <cellStyle name="20% - Accent5 2 3 4 2 2 3" xfId="24816" xr:uid="{5EFA36A0-2BA3-4686-AA4E-539908834207}"/>
    <cellStyle name="20% - Accent5 2 3 4 2 2 4" xfId="16375" xr:uid="{E0A46EA6-40C2-40CD-9C9A-C43925E4859A}"/>
    <cellStyle name="20% - Accent5 2 3 4 2 3" xfId="29039" xr:uid="{BF726133-FB24-437E-B09C-2CA21F515350}"/>
    <cellStyle name="20% - Accent5 2 3 4 2 4" xfId="20598" xr:uid="{E23DA05F-312F-4BAE-9E41-E51BF78297A0}"/>
    <cellStyle name="20% - Accent5 2 3 4 2 5" xfId="12157" xr:uid="{C3EE098B-9D12-4C45-B04A-FF82E2194D24}"/>
    <cellStyle name="20% - Accent5 2 3 4 3" xfId="5780" xr:uid="{00000000-0005-0000-0000-0000B7020000}"/>
    <cellStyle name="20% - Accent5 2 3 4 3 2" xfId="31112" xr:uid="{0860E04A-A85A-4CEC-A1DC-D07DF54B0F97}"/>
    <cellStyle name="20% - Accent5 2 3 4 3 3" xfId="22671" xr:uid="{0EF32D56-DAC3-46DD-80F9-B754C09D607C}"/>
    <cellStyle name="20% - Accent5 2 3 4 3 4" xfId="14230" xr:uid="{48412EA7-722E-4D4D-8AA0-693D77CB28F6}"/>
    <cellStyle name="20% - Accent5 2 3 4 4" xfId="26894" xr:uid="{FF06E00F-86FE-4605-944E-81AD841AAC10}"/>
    <cellStyle name="20% - Accent5 2 3 4 5" xfId="18453" xr:uid="{36492BF6-E871-4BC4-ACE4-39049C109A2F}"/>
    <cellStyle name="20% - Accent5 2 3 4 6" xfId="10012" xr:uid="{6038D023-4D53-40F2-BC3D-F901C552DF10}"/>
    <cellStyle name="20% - Accent5 2 3 5" xfId="1887" xr:uid="{00000000-0005-0000-0000-0000B8020000}"/>
    <cellStyle name="20% - Accent5 2 3 5 2" xfId="4116" xr:uid="{00000000-0005-0000-0000-0000B9020000}"/>
    <cellStyle name="20% - Accent5 2 3 5 2 2" xfId="8338" xr:uid="{00000000-0005-0000-0000-0000BA020000}"/>
    <cellStyle name="20% - Accent5 2 3 5 2 2 2" xfId="33670" xr:uid="{193C40BD-8084-4B2A-B9DF-FF888D4EB005}"/>
    <cellStyle name="20% - Accent5 2 3 5 2 2 3" xfId="25229" xr:uid="{8B92F2CE-8D14-4CA9-A63F-049DFF002E10}"/>
    <cellStyle name="20% - Accent5 2 3 5 2 2 4" xfId="16788" xr:uid="{07B05E07-E416-4131-A9CC-4BF87D3E3725}"/>
    <cellStyle name="20% - Accent5 2 3 5 2 3" xfId="29452" xr:uid="{F8679C1A-7DF9-4589-9782-1B81D3765158}"/>
    <cellStyle name="20% - Accent5 2 3 5 2 4" xfId="21011" xr:uid="{9846F410-6EF6-4EE7-807A-410662FD5CD1}"/>
    <cellStyle name="20% - Accent5 2 3 5 2 5" xfId="12570" xr:uid="{B707160B-7412-42DA-9B20-69189D6EC5EF}"/>
    <cellStyle name="20% - Accent5 2 3 5 3" xfId="6193" xr:uid="{00000000-0005-0000-0000-0000BB020000}"/>
    <cellStyle name="20% - Accent5 2 3 5 3 2" xfId="31525" xr:uid="{08EE4182-46DD-4409-8877-3493839F94E1}"/>
    <cellStyle name="20% - Accent5 2 3 5 3 3" xfId="23084" xr:uid="{1793C54F-13D6-4788-A478-B3753FA0DB28}"/>
    <cellStyle name="20% - Accent5 2 3 5 3 4" xfId="14643" xr:uid="{386E0B30-9C51-4C9B-8D9E-09FB2A2E4E3E}"/>
    <cellStyle name="20% - Accent5 2 3 5 4" xfId="27307" xr:uid="{58CDB213-EC1B-4423-AD0C-9FDC178EE8DF}"/>
    <cellStyle name="20% - Accent5 2 3 5 5" xfId="18866" xr:uid="{0665CB8F-D77A-41C9-9BF9-2EF698429EAE}"/>
    <cellStyle name="20% - Accent5 2 3 5 6" xfId="10425" xr:uid="{DCC80703-8D74-4A50-A0FD-942239C364DC}"/>
    <cellStyle name="20% - Accent5 2 3 6" xfId="2300" xr:uid="{00000000-0005-0000-0000-0000BC020000}"/>
    <cellStyle name="20% - Accent5 2 3 6 2" xfId="6606" xr:uid="{00000000-0005-0000-0000-0000BD020000}"/>
    <cellStyle name="20% - Accent5 2 3 6 2 2" xfId="31938" xr:uid="{09629D21-231A-43E8-BD3E-DFAEECB7F2BC}"/>
    <cellStyle name="20% - Accent5 2 3 6 2 3" xfId="23497" xr:uid="{33B27F78-4422-4477-A794-19DC3D5F994F}"/>
    <cellStyle name="20% - Accent5 2 3 6 2 4" xfId="15056" xr:uid="{5E92F57A-F7D0-4CD1-920D-06B348FD57D3}"/>
    <cellStyle name="20% - Accent5 2 3 6 3" xfId="27720" xr:uid="{5C4CC5CD-989C-456B-807A-E8E60A69017D}"/>
    <cellStyle name="20% - Accent5 2 3 6 4" xfId="19279" xr:uid="{38407755-6137-4A65-A695-3472EDBFDE63}"/>
    <cellStyle name="20% - Accent5 2 3 6 5" xfId="10838" xr:uid="{AC67EBCE-472E-4B76-9510-9922CC871E62}"/>
    <cellStyle name="20% - Accent5 2 3 7" xfId="4540" xr:uid="{00000000-0005-0000-0000-0000BE020000}"/>
    <cellStyle name="20% - Accent5 2 3 7 2" xfId="29872" xr:uid="{52ED54D9-D7B2-4B66-9A3D-8A8B02FFCAC9}"/>
    <cellStyle name="20% - Accent5 2 3 7 3" xfId="21431" xr:uid="{D2D8C02C-78E8-4E8D-9AB2-11314A8D6A5F}"/>
    <cellStyle name="20% - Accent5 2 3 7 4" xfId="12990" xr:uid="{D3FFFCAF-374F-4F15-81DF-53B0A512BA78}"/>
    <cellStyle name="20% - Accent5 2 3 8" xfId="25654" xr:uid="{5730E938-7BED-4546-BE61-F9BC7969B131}"/>
    <cellStyle name="20% - Accent5 2 3 9" xfId="17213" xr:uid="{08A35FAF-CD8A-4DC9-B661-DB509689AA0D}"/>
    <cellStyle name="20% - Accent5 2 4" xfId="603" xr:uid="{00000000-0005-0000-0000-0000BF020000}"/>
    <cellStyle name="20% - Accent5 2 4 2" xfId="2874" xr:uid="{00000000-0005-0000-0000-0000C0020000}"/>
    <cellStyle name="20% - Accent5 2 4 2 2" xfId="7096" xr:uid="{00000000-0005-0000-0000-0000C1020000}"/>
    <cellStyle name="20% - Accent5 2 4 2 2 2" xfId="32428" xr:uid="{8041AE87-4FF0-4A81-8FD5-4E5111493F48}"/>
    <cellStyle name="20% - Accent5 2 4 2 2 3" xfId="23987" xr:uid="{87C3CF74-0744-4FEE-97B2-1CF1E3149A6D}"/>
    <cellStyle name="20% - Accent5 2 4 2 2 4" xfId="15546" xr:uid="{2DC71AB1-2332-464A-AB31-57CE11ED823F}"/>
    <cellStyle name="20% - Accent5 2 4 2 3" xfId="28210" xr:uid="{EF24F450-91DC-4D6D-B51B-71658D289AEA}"/>
    <cellStyle name="20% - Accent5 2 4 2 4" xfId="19769" xr:uid="{EDB12158-2566-427A-B218-946FCAFDFA5E}"/>
    <cellStyle name="20% - Accent5 2 4 2 5" xfId="11328" xr:uid="{45B15B57-8E7B-45FC-AD34-675DFC85A7B1}"/>
    <cellStyle name="20% - Accent5 2 4 3" xfId="4951" xr:uid="{00000000-0005-0000-0000-0000C2020000}"/>
    <cellStyle name="20% - Accent5 2 4 3 2" xfId="30283" xr:uid="{E12E1FA8-93BA-491A-9859-0683A6F6FE5C}"/>
    <cellStyle name="20% - Accent5 2 4 3 3" xfId="21842" xr:uid="{06DB3235-149C-4E3C-97C0-ACD9E177C1CE}"/>
    <cellStyle name="20% - Accent5 2 4 3 4" xfId="13401" xr:uid="{102DF53B-CAB0-44C6-8BEF-D1C4828BF656}"/>
    <cellStyle name="20% - Accent5 2 4 4" xfId="26065" xr:uid="{BDFF24E7-F49F-40E4-B449-E650F42CC7B8}"/>
    <cellStyle name="20% - Accent5 2 4 5" xfId="17624" xr:uid="{2521F22C-6E78-4A67-BF06-14CE559D6883}"/>
    <cellStyle name="20% - Accent5 2 4 6" xfId="9183" xr:uid="{36BA57EC-598A-4F5D-AE39-58D8792EE8F7}"/>
    <cellStyle name="20% - Accent5 2 5" xfId="1056" xr:uid="{00000000-0005-0000-0000-0000C3020000}"/>
    <cellStyle name="20% - Accent5 2 5 2" xfId="3287" xr:uid="{00000000-0005-0000-0000-0000C4020000}"/>
    <cellStyle name="20% - Accent5 2 5 2 2" xfId="7509" xr:uid="{00000000-0005-0000-0000-0000C5020000}"/>
    <cellStyle name="20% - Accent5 2 5 2 2 2" xfId="32841" xr:uid="{6E0856E3-E444-447E-8A07-766751411DB3}"/>
    <cellStyle name="20% - Accent5 2 5 2 2 3" xfId="24400" xr:uid="{A74231D5-B3E1-4B98-A906-05017B31E9F7}"/>
    <cellStyle name="20% - Accent5 2 5 2 2 4" xfId="15959" xr:uid="{2F04B15B-6816-4C22-A588-B952800167CF}"/>
    <cellStyle name="20% - Accent5 2 5 2 3" xfId="28623" xr:uid="{E0E428E8-BF03-4EC4-A5C6-888B5FAEE3FE}"/>
    <cellStyle name="20% - Accent5 2 5 2 4" xfId="20182" xr:uid="{AD2FFA23-A32A-4260-B75C-3976F9D11445}"/>
    <cellStyle name="20% - Accent5 2 5 2 5" xfId="11741" xr:uid="{1D6ABABC-F44E-4442-B7C8-6F3C9821FB15}"/>
    <cellStyle name="20% - Accent5 2 5 3" xfId="5364" xr:uid="{00000000-0005-0000-0000-0000C6020000}"/>
    <cellStyle name="20% - Accent5 2 5 3 2" xfId="30696" xr:uid="{F5C5C955-C190-4B9A-9AFC-EA368F72CE31}"/>
    <cellStyle name="20% - Accent5 2 5 3 3" xfId="22255" xr:uid="{E288FDF3-C021-4656-9D8B-6FB152566F3A}"/>
    <cellStyle name="20% - Accent5 2 5 3 4" xfId="13814" xr:uid="{9B717B7F-5C1B-456B-9C5F-31C668DFE77C}"/>
    <cellStyle name="20% - Accent5 2 5 4" xfId="26478" xr:uid="{81A7093D-7A83-4354-92A6-C3364C79CDA7}"/>
    <cellStyle name="20% - Accent5 2 5 5" xfId="18037" xr:uid="{7ACE95DF-9CE5-4706-B3DD-F0C1E64470A3}"/>
    <cellStyle name="20% - Accent5 2 5 6" xfId="9596" xr:uid="{765E7BC6-CB42-4A53-8771-DCB7C8C95B6E}"/>
    <cellStyle name="20% - Accent5 2 6" xfId="1470" xr:uid="{00000000-0005-0000-0000-0000C7020000}"/>
    <cellStyle name="20% - Accent5 2 6 2" xfId="3700" xr:uid="{00000000-0005-0000-0000-0000C8020000}"/>
    <cellStyle name="20% - Accent5 2 6 2 2" xfId="7922" xr:uid="{00000000-0005-0000-0000-0000C9020000}"/>
    <cellStyle name="20% - Accent5 2 6 2 2 2" xfId="33254" xr:uid="{2FE2A3F6-C9ED-4B04-ACCE-E17D8963A42F}"/>
    <cellStyle name="20% - Accent5 2 6 2 2 3" xfId="24813" xr:uid="{683E27A2-CD83-4869-AAA4-F516BBAF4F3C}"/>
    <cellStyle name="20% - Accent5 2 6 2 2 4" xfId="16372" xr:uid="{DAC7FCB9-5BE5-48A4-9038-6DF6E1737A61}"/>
    <cellStyle name="20% - Accent5 2 6 2 3" xfId="29036" xr:uid="{BE4E950B-A50D-47E9-927E-6B26388BED03}"/>
    <cellStyle name="20% - Accent5 2 6 2 4" xfId="20595" xr:uid="{5CE07522-7FDC-4F1D-830E-E5326400C59B}"/>
    <cellStyle name="20% - Accent5 2 6 2 5" xfId="12154" xr:uid="{D4B77BE6-AD66-4B67-941D-C5BC50E62560}"/>
    <cellStyle name="20% - Accent5 2 6 3" xfId="5777" xr:uid="{00000000-0005-0000-0000-0000CA020000}"/>
    <cellStyle name="20% - Accent5 2 6 3 2" xfId="31109" xr:uid="{29FFDECB-122E-4F46-8FF9-65A8C69F6E76}"/>
    <cellStyle name="20% - Accent5 2 6 3 3" xfId="22668" xr:uid="{FC37980E-A288-444C-8162-21B783297F6C}"/>
    <cellStyle name="20% - Accent5 2 6 3 4" xfId="14227" xr:uid="{6649A766-37AC-43BC-B586-6758547F674F}"/>
    <cellStyle name="20% - Accent5 2 6 4" xfId="26891" xr:uid="{E91137D0-9EA7-4395-B563-66496E642CAD}"/>
    <cellStyle name="20% - Accent5 2 6 5" xfId="18450" xr:uid="{3133A288-1B97-4DCB-933D-967236224CD8}"/>
    <cellStyle name="20% - Accent5 2 6 6" xfId="10009" xr:uid="{488DCA15-37F9-4F42-A46A-55CDC324637D}"/>
    <cellStyle name="20% - Accent5 2 7" xfId="1884" xr:uid="{00000000-0005-0000-0000-0000CB020000}"/>
    <cellStyle name="20% - Accent5 2 7 2" xfId="4113" xr:uid="{00000000-0005-0000-0000-0000CC020000}"/>
    <cellStyle name="20% - Accent5 2 7 2 2" xfId="8335" xr:uid="{00000000-0005-0000-0000-0000CD020000}"/>
    <cellStyle name="20% - Accent5 2 7 2 2 2" xfId="33667" xr:uid="{3D0A5629-556A-4E92-AF33-56540DF11A98}"/>
    <cellStyle name="20% - Accent5 2 7 2 2 3" xfId="25226" xr:uid="{454213DC-757D-4630-A8D2-751B1313F2BA}"/>
    <cellStyle name="20% - Accent5 2 7 2 2 4" xfId="16785" xr:uid="{BF102EAE-FBF7-4C95-92D1-46B9B6AD5F82}"/>
    <cellStyle name="20% - Accent5 2 7 2 3" xfId="29449" xr:uid="{89F25A65-5CD3-4D8A-836F-E79184747334}"/>
    <cellStyle name="20% - Accent5 2 7 2 4" xfId="21008" xr:uid="{494CF6A1-04DC-432D-B59B-B76950835622}"/>
    <cellStyle name="20% - Accent5 2 7 2 5" xfId="12567" xr:uid="{22F317E9-7C17-48C1-B6C5-530969379551}"/>
    <cellStyle name="20% - Accent5 2 7 3" xfId="6190" xr:uid="{00000000-0005-0000-0000-0000CE020000}"/>
    <cellStyle name="20% - Accent5 2 7 3 2" xfId="31522" xr:uid="{5A515DC5-194D-45D9-AF01-FE8BC0CB0171}"/>
    <cellStyle name="20% - Accent5 2 7 3 3" xfId="23081" xr:uid="{6023D33D-95AF-4C7F-9887-AAD7E8B40923}"/>
    <cellStyle name="20% - Accent5 2 7 3 4" xfId="14640" xr:uid="{4974DE91-79A5-4A09-AAAD-A6072BF52F42}"/>
    <cellStyle name="20% - Accent5 2 7 4" xfId="27304" xr:uid="{43C1F2D3-3FA3-4D4A-8BE3-47FF8C07F59E}"/>
    <cellStyle name="20% - Accent5 2 7 5" xfId="18863" xr:uid="{BC0F377C-A3BC-4519-9657-1F377F14352D}"/>
    <cellStyle name="20% - Accent5 2 7 6" xfId="10422" xr:uid="{B435FA28-1EC6-4AAA-A051-98D210E6C23C}"/>
    <cellStyle name="20% - Accent5 2 8" xfId="2297" xr:uid="{00000000-0005-0000-0000-0000CF020000}"/>
    <cellStyle name="20% - Accent5 2 8 2" xfId="6603" xr:uid="{00000000-0005-0000-0000-0000D0020000}"/>
    <cellStyle name="20% - Accent5 2 8 2 2" xfId="31935" xr:uid="{B3C6A1FA-0590-4EAC-A442-A19C50493A19}"/>
    <cellStyle name="20% - Accent5 2 8 2 3" xfId="23494" xr:uid="{7D1E1253-A2BB-4A9D-9DC6-D8CF19DEB90C}"/>
    <cellStyle name="20% - Accent5 2 8 2 4" xfId="15053" xr:uid="{FE00C4DD-BBCC-472F-9155-96013AB039C9}"/>
    <cellStyle name="20% - Accent5 2 8 3" xfId="27717" xr:uid="{B682DB4C-A1D3-464A-9257-55EE4AE3FFCD}"/>
    <cellStyle name="20% - Accent5 2 8 4" xfId="19276" xr:uid="{03A89D06-5C17-4E9B-8485-6755FFF09A99}"/>
    <cellStyle name="20% - Accent5 2 8 5" xfId="10835" xr:uid="{8B23D389-CD8A-4B74-B8F4-64A2F981CBFC}"/>
    <cellStyle name="20% - Accent5 2 9" xfId="4537" xr:uid="{00000000-0005-0000-0000-0000D1020000}"/>
    <cellStyle name="20% - Accent5 2 9 2" xfId="29869" xr:uid="{978CCAB7-2D20-4C6F-B843-8A896B3AB351}"/>
    <cellStyle name="20% - Accent5 2 9 3" xfId="21428" xr:uid="{0E435243-1BCF-4D99-92B8-D43570B62212}"/>
    <cellStyle name="20% - Accent5 2 9 4" xfId="12987" xr:uid="{04009C32-E517-4A16-B270-74931F6EA47A}"/>
    <cellStyle name="20% - Accent5 3" xfId="38" xr:uid="{00000000-0005-0000-0000-0000D2020000}"/>
    <cellStyle name="20% - Accent5 3 10" xfId="17214" xr:uid="{7D7F7EA8-295A-41AF-A586-78492129CE6B}"/>
    <cellStyle name="20% - Accent5 3 11" xfId="8773" xr:uid="{42407D57-BF01-47EC-A977-FBEA9D638BB4}"/>
    <cellStyle name="20% - Accent5 3 2" xfId="39" xr:uid="{00000000-0005-0000-0000-0000D3020000}"/>
    <cellStyle name="20% - Accent5 3 2 10" xfId="8774" xr:uid="{7D909B25-D9C5-44C1-A300-9B4089F75231}"/>
    <cellStyle name="20% - Accent5 3 2 2" xfId="608" xr:uid="{00000000-0005-0000-0000-0000D4020000}"/>
    <cellStyle name="20% - Accent5 3 2 2 2" xfId="2879" xr:uid="{00000000-0005-0000-0000-0000D5020000}"/>
    <cellStyle name="20% - Accent5 3 2 2 2 2" xfId="7101" xr:uid="{00000000-0005-0000-0000-0000D6020000}"/>
    <cellStyle name="20% - Accent5 3 2 2 2 2 2" xfId="32433" xr:uid="{74EE6630-2EA0-477C-8F7B-5C0E018B8A6E}"/>
    <cellStyle name="20% - Accent5 3 2 2 2 2 3" xfId="23992" xr:uid="{7F4413CE-DB6C-4A36-ABE1-A86E7C00EE33}"/>
    <cellStyle name="20% - Accent5 3 2 2 2 2 4" xfId="15551" xr:uid="{C2BD5CA7-B8BD-433A-B0D3-A19CF5AD82FF}"/>
    <cellStyle name="20% - Accent5 3 2 2 2 3" xfId="28215" xr:uid="{684A4571-10A6-4F64-B953-BE3D0D62D8B3}"/>
    <cellStyle name="20% - Accent5 3 2 2 2 4" xfId="19774" xr:uid="{D389A18E-E3AC-4B75-A08B-8934D483E8AA}"/>
    <cellStyle name="20% - Accent5 3 2 2 2 5" xfId="11333" xr:uid="{BE2F4200-58EA-4C4B-AE81-7BEFE7CF4CBF}"/>
    <cellStyle name="20% - Accent5 3 2 2 3" xfId="4956" xr:uid="{00000000-0005-0000-0000-0000D7020000}"/>
    <cellStyle name="20% - Accent5 3 2 2 3 2" xfId="30288" xr:uid="{C25521C1-E23D-4F23-AB7B-E55F0CAED457}"/>
    <cellStyle name="20% - Accent5 3 2 2 3 3" xfId="21847" xr:uid="{E62DE328-1001-4D8D-898E-EBAE5ED7D6E5}"/>
    <cellStyle name="20% - Accent5 3 2 2 3 4" xfId="13406" xr:uid="{126EE1CF-6060-4A02-9841-0BB6A9CF9BFA}"/>
    <cellStyle name="20% - Accent5 3 2 2 4" xfId="26070" xr:uid="{CE4C3B80-0657-4CA3-ABA6-8BDAC3B9BDDB}"/>
    <cellStyle name="20% - Accent5 3 2 2 5" xfId="17629" xr:uid="{B4C165DC-6593-4359-988A-3C73805523E6}"/>
    <cellStyle name="20% - Accent5 3 2 2 6" xfId="9188" xr:uid="{8452DFF7-9D3A-4532-A789-1DB5EAA1C5AD}"/>
    <cellStyle name="20% - Accent5 3 2 3" xfId="1061" xr:uid="{00000000-0005-0000-0000-0000D8020000}"/>
    <cellStyle name="20% - Accent5 3 2 3 2" xfId="3292" xr:uid="{00000000-0005-0000-0000-0000D9020000}"/>
    <cellStyle name="20% - Accent5 3 2 3 2 2" xfId="7514" xr:uid="{00000000-0005-0000-0000-0000DA020000}"/>
    <cellStyle name="20% - Accent5 3 2 3 2 2 2" xfId="32846" xr:uid="{319A852A-C944-4A06-8166-4E9440C1CEEA}"/>
    <cellStyle name="20% - Accent5 3 2 3 2 2 3" xfId="24405" xr:uid="{C72C070E-1449-4967-802D-81C1812EF8CC}"/>
    <cellStyle name="20% - Accent5 3 2 3 2 2 4" xfId="15964" xr:uid="{6C02655E-E905-41DA-A768-B36E0EDCC0ED}"/>
    <cellStyle name="20% - Accent5 3 2 3 2 3" xfId="28628" xr:uid="{F4269842-B7BB-40B5-AE3E-185AE3A7BC27}"/>
    <cellStyle name="20% - Accent5 3 2 3 2 4" xfId="20187" xr:uid="{700621AC-763D-46FC-9434-70AB5C36B63F}"/>
    <cellStyle name="20% - Accent5 3 2 3 2 5" xfId="11746" xr:uid="{01F230F6-5704-4110-9501-1ECB4173D521}"/>
    <cellStyle name="20% - Accent5 3 2 3 3" xfId="5369" xr:uid="{00000000-0005-0000-0000-0000DB020000}"/>
    <cellStyle name="20% - Accent5 3 2 3 3 2" xfId="30701" xr:uid="{5B1F2251-6F09-49E6-9B2B-E996BC6ABBA8}"/>
    <cellStyle name="20% - Accent5 3 2 3 3 3" xfId="22260" xr:uid="{8C8CC253-B5D3-4AA1-968B-306B14301C8A}"/>
    <cellStyle name="20% - Accent5 3 2 3 3 4" xfId="13819" xr:uid="{6FE5C994-9D61-48E6-A863-3CEED45000A1}"/>
    <cellStyle name="20% - Accent5 3 2 3 4" xfId="26483" xr:uid="{23594E54-DB10-4039-A7D9-43BF3D3E9246}"/>
    <cellStyle name="20% - Accent5 3 2 3 5" xfId="18042" xr:uid="{60E75723-B7CC-401C-9F4A-4C316A589072}"/>
    <cellStyle name="20% - Accent5 3 2 3 6" xfId="9601" xr:uid="{CBB4FE90-0A16-40AD-9B64-D44053A0BCA8}"/>
    <cellStyle name="20% - Accent5 3 2 4" xfId="1475" xr:uid="{00000000-0005-0000-0000-0000DC020000}"/>
    <cellStyle name="20% - Accent5 3 2 4 2" xfId="3705" xr:uid="{00000000-0005-0000-0000-0000DD020000}"/>
    <cellStyle name="20% - Accent5 3 2 4 2 2" xfId="7927" xr:uid="{00000000-0005-0000-0000-0000DE020000}"/>
    <cellStyle name="20% - Accent5 3 2 4 2 2 2" xfId="33259" xr:uid="{71E991AF-9FE8-4886-A30E-0FC422AC5F16}"/>
    <cellStyle name="20% - Accent5 3 2 4 2 2 3" xfId="24818" xr:uid="{188F008A-FB4F-466D-8C04-064600A0A3DB}"/>
    <cellStyle name="20% - Accent5 3 2 4 2 2 4" xfId="16377" xr:uid="{8C7AF936-901D-407A-A914-0DD2A361C26A}"/>
    <cellStyle name="20% - Accent5 3 2 4 2 3" xfId="29041" xr:uid="{B0103153-3AFB-4A60-9B5E-167FF434004A}"/>
    <cellStyle name="20% - Accent5 3 2 4 2 4" xfId="20600" xr:uid="{FD0D058A-F7A0-4004-AED4-8F198D9AED46}"/>
    <cellStyle name="20% - Accent5 3 2 4 2 5" xfId="12159" xr:uid="{9D974BCA-BF73-42EE-B42B-6BE0328D52F5}"/>
    <cellStyle name="20% - Accent5 3 2 4 3" xfId="5782" xr:uid="{00000000-0005-0000-0000-0000DF020000}"/>
    <cellStyle name="20% - Accent5 3 2 4 3 2" xfId="31114" xr:uid="{3020EC40-3EE2-4C9E-A7AE-7F2EC270E499}"/>
    <cellStyle name="20% - Accent5 3 2 4 3 3" xfId="22673" xr:uid="{B831780A-8CB1-45F7-905D-863E7948A18E}"/>
    <cellStyle name="20% - Accent5 3 2 4 3 4" xfId="14232" xr:uid="{D60537A2-F24F-4B63-A824-15AB4971B67F}"/>
    <cellStyle name="20% - Accent5 3 2 4 4" xfId="26896" xr:uid="{724B4C34-52AE-471E-A237-1DEAA82AC7B1}"/>
    <cellStyle name="20% - Accent5 3 2 4 5" xfId="18455" xr:uid="{468D35C4-7FCB-4EF6-ADE4-AE0CE115A087}"/>
    <cellStyle name="20% - Accent5 3 2 4 6" xfId="10014" xr:uid="{558610C0-891C-40E4-87E2-9A7E187B635E}"/>
    <cellStyle name="20% - Accent5 3 2 5" xfId="1889" xr:uid="{00000000-0005-0000-0000-0000E0020000}"/>
    <cellStyle name="20% - Accent5 3 2 5 2" xfId="4118" xr:uid="{00000000-0005-0000-0000-0000E1020000}"/>
    <cellStyle name="20% - Accent5 3 2 5 2 2" xfId="8340" xr:uid="{00000000-0005-0000-0000-0000E2020000}"/>
    <cellStyle name="20% - Accent5 3 2 5 2 2 2" xfId="33672" xr:uid="{3DD710D2-64B6-469D-8B6B-8BE230D56236}"/>
    <cellStyle name="20% - Accent5 3 2 5 2 2 3" xfId="25231" xr:uid="{53A3A5FB-0C26-4876-B97D-5B52E99DDFAD}"/>
    <cellStyle name="20% - Accent5 3 2 5 2 2 4" xfId="16790" xr:uid="{3B2997C0-D5A5-40C0-B025-D69197DBA232}"/>
    <cellStyle name="20% - Accent5 3 2 5 2 3" xfId="29454" xr:uid="{D9B10F9E-9E01-488B-8BC1-B327C01C8580}"/>
    <cellStyle name="20% - Accent5 3 2 5 2 4" xfId="21013" xr:uid="{F3E015A0-C776-4B74-86C1-D5C1A59C41AE}"/>
    <cellStyle name="20% - Accent5 3 2 5 2 5" xfId="12572" xr:uid="{FEDC4016-40DB-4DE6-B3CB-216E7A4E0D9C}"/>
    <cellStyle name="20% - Accent5 3 2 5 3" xfId="6195" xr:uid="{00000000-0005-0000-0000-0000E3020000}"/>
    <cellStyle name="20% - Accent5 3 2 5 3 2" xfId="31527" xr:uid="{409AAF1E-33D3-4CCC-9AC0-A7425BBC65A1}"/>
    <cellStyle name="20% - Accent5 3 2 5 3 3" xfId="23086" xr:uid="{B17375C8-A6DD-4749-BDC2-7FB80764A3A4}"/>
    <cellStyle name="20% - Accent5 3 2 5 3 4" xfId="14645" xr:uid="{D96F7481-34E6-4B8A-99AB-21F7D15DE17B}"/>
    <cellStyle name="20% - Accent5 3 2 5 4" xfId="27309" xr:uid="{D3037CC8-DC68-444C-BB07-2577BFC125B7}"/>
    <cellStyle name="20% - Accent5 3 2 5 5" xfId="18868" xr:uid="{E140BD0A-CB45-4AC8-B406-0F268F9D9417}"/>
    <cellStyle name="20% - Accent5 3 2 5 6" xfId="10427" xr:uid="{A5BCC263-9655-4ED0-B3FA-A520F02E93BC}"/>
    <cellStyle name="20% - Accent5 3 2 6" xfId="2302" xr:uid="{00000000-0005-0000-0000-0000E4020000}"/>
    <cellStyle name="20% - Accent5 3 2 6 2" xfId="6608" xr:uid="{00000000-0005-0000-0000-0000E5020000}"/>
    <cellStyle name="20% - Accent5 3 2 6 2 2" xfId="31940" xr:uid="{1D4F7DD9-E0CF-4E4F-BEE1-0BE588043DC1}"/>
    <cellStyle name="20% - Accent5 3 2 6 2 3" xfId="23499" xr:uid="{BF3E48F7-3F23-4EAE-AE8C-20052C74078F}"/>
    <cellStyle name="20% - Accent5 3 2 6 2 4" xfId="15058" xr:uid="{5E4F3665-F0F3-438E-9870-FA545B6EE6E8}"/>
    <cellStyle name="20% - Accent5 3 2 6 3" xfId="27722" xr:uid="{3B15B2BF-EF57-4E7D-9826-9416BA9D0133}"/>
    <cellStyle name="20% - Accent5 3 2 6 4" xfId="19281" xr:uid="{61904EBF-76C7-4F47-B029-1C9E01AB291D}"/>
    <cellStyle name="20% - Accent5 3 2 6 5" xfId="10840" xr:uid="{4F10377C-710C-4F09-9100-3E0724CB179F}"/>
    <cellStyle name="20% - Accent5 3 2 7" xfId="4542" xr:uid="{00000000-0005-0000-0000-0000E6020000}"/>
    <cellStyle name="20% - Accent5 3 2 7 2" xfId="29874" xr:uid="{117FCA35-3E56-48FD-83D8-BCBD811B9B36}"/>
    <cellStyle name="20% - Accent5 3 2 7 3" xfId="21433" xr:uid="{885CE881-DC2E-4971-9C50-E1955366C354}"/>
    <cellStyle name="20% - Accent5 3 2 7 4" xfId="12992" xr:uid="{5EC6F413-3876-4867-AFD6-DFDFFE619BCA}"/>
    <cellStyle name="20% - Accent5 3 2 8" xfId="25656" xr:uid="{7F8BBA74-FB34-4C9C-AA04-B9F50B042829}"/>
    <cellStyle name="20% - Accent5 3 2 9" xfId="17215" xr:uid="{0994E065-37F6-4C8F-86D4-2800567E59C9}"/>
    <cellStyle name="20% - Accent5 3 3" xfId="607" xr:uid="{00000000-0005-0000-0000-0000E7020000}"/>
    <cellStyle name="20% - Accent5 3 3 2" xfId="2878" xr:uid="{00000000-0005-0000-0000-0000E8020000}"/>
    <cellStyle name="20% - Accent5 3 3 2 2" xfId="7100" xr:uid="{00000000-0005-0000-0000-0000E9020000}"/>
    <cellStyle name="20% - Accent5 3 3 2 2 2" xfId="32432" xr:uid="{D273B624-CB49-4E2E-A983-770C38942673}"/>
    <cellStyle name="20% - Accent5 3 3 2 2 3" xfId="23991" xr:uid="{F00161B6-14FA-4679-8059-3F61C42695D1}"/>
    <cellStyle name="20% - Accent5 3 3 2 2 4" xfId="15550" xr:uid="{358BF9A7-D3A1-43C3-A380-01F7F7308062}"/>
    <cellStyle name="20% - Accent5 3 3 2 3" xfId="28214" xr:uid="{D6C3DE5F-5ECA-4F51-9439-2F708C44A6A0}"/>
    <cellStyle name="20% - Accent5 3 3 2 4" xfId="19773" xr:uid="{66221DC7-3C97-4C23-AB7E-9EB629A17C58}"/>
    <cellStyle name="20% - Accent5 3 3 2 5" xfId="11332" xr:uid="{80F58F37-EED7-4B94-B55F-D73144C3E64E}"/>
    <cellStyle name="20% - Accent5 3 3 3" xfId="4955" xr:uid="{00000000-0005-0000-0000-0000EA020000}"/>
    <cellStyle name="20% - Accent5 3 3 3 2" xfId="30287" xr:uid="{4496DFFD-6A7F-4F3A-9C93-6CB72F8BA38E}"/>
    <cellStyle name="20% - Accent5 3 3 3 3" xfId="21846" xr:uid="{2B17D0E7-0747-462F-A889-10C03B88700A}"/>
    <cellStyle name="20% - Accent5 3 3 3 4" xfId="13405" xr:uid="{31B5B15D-52F2-4C69-8B73-B25FEBFA09A0}"/>
    <cellStyle name="20% - Accent5 3 3 4" xfId="26069" xr:uid="{67563ED9-CFFF-44CC-84E1-F63D672AE439}"/>
    <cellStyle name="20% - Accent5 3 3 5" xfId="17628" xr:uid="{71E82700-532A-4F13-A7BF-D405DCB9511D}"/>
    <cellStyle name="20% - Accent5 3 3 6" xfId="9187" xr:uid="{F9DFE0F9-728A-47F1-940E-4F03C2927F04}"/>
    <cellStyle name="20% - Accent5 3 4" xfId="1060" xr:uid="{00000000-0005-0000-0000-0000EB020000}"/>
    <cellStyle name="20% - Accent5 3 4 2" xfId="3291" xr:uid="{00000000-0005-0000-0000-0000EC020000}"/>
    <cellStyle name="20% - Accent5 3 4 2 2" xfId="7513" xr:uid="{00000000-0005-0000-0000-0000ED020000}"/>
    <cellStyle name="20% - Accent5 3 4 2 2 2" xfId="32845" xr:uid="{8EFCBC25-1688-4804-8604-AB5001562DAE}"/>
    <cellStyle name="20% - Accent5 3 4 2 2 3" xfId="24404" xr:uid="{D2C00D8B-4D75-4F6E-BF4B-0CBD36A32303}"/>
    <cellStyle name="20% - Accent5 3 4 2 2 4" xfId="15963" xr:uid="{27772795-0071-4521-9AF7-C1E8EB6D46F7}"/>
    <cellStyle name="20% - Accent5 3 4 2 3" xfId="28627" xr:uid="{8934C4C9-22C5-4742-B6BC-0BEBB386C1E7}"/>
    <cellStyle name="20% - Accent5 3 4 2 4" xfId="20186" xr:uid="{AF4AFB44-6F24-49DD-9052-740C5A4B9E22}"/>
    <cellStyle name="20% - Accent5 3 4 2 5" xfId="11745" xr:uid="{13C99A67-37A6-4757-8A41-268DEBB09D58}"/>
    <cellStyle name="20% - Accent5 3 4 3" xfId="5368" xr:uid="{00000000-0005-0000-0000-0000EE020000}"/>
    <cellStyle name="20% - Accent5 3 4 3 2" xfId="30700" xr:uid="{388E4A3A-FDD0-4C8E-A675-A2DFA8FCEC62}"/>
    <cellStyle name="20% - Accent5 3 4 3 3" xfId="22259" xr:uid="{12D23703-2D55-4803-8B6F-A207DA5578F3}"/>
    <cellStyle name="20% - Accent5 3 4 3 4" xfId="13818" xr:uid="{F1563475-A2DA-4C90-967B-E913806B5527}"/>
    <cellStyle name="20% - Accent5 3 4 4" xfId="26482" xr:uid="{ABE04433-ABCA-4917-9565-C3ED5F780A25}"/>
    <cellStyle name="20% - Accent5 3 4 5" xfId="18041" xr:uid="{6512901B-CC2B-48D8-8BD9-2BFA3AF65AA7}"/>
    <cellStyle name="20% - Accent5 3 4 6" xfId="9600" xr:uid="{40EAFEAA-0A92-4F3B-BC27-289E6320D414}"/>
    <cellStyle name="20% - Accent5 3 5" xfId="1474" xr:uid="{00000000-0005-0000-0000-0000EF020000}"/>
    <cellStyle name="20% - Accent5 3 5 2" xfId="3704" xr:uid="{00000000-0005-0000-0000-0000F0020000}"/>
    <cellStyle name="20% - Accent5 3 5 2 2" xfId="7926" xr:uid="{00000000-0005-0000-0000-0000F1020000}"/>
    <cellStyle name="20% - Accent5 3 5 2 2 2" xfId="33258" xr:uid="{13817F37-65F0-4E53-92D7-A1D25E5AC3E0}"/>
    <cellStyle name="20% - Accent5 3 5 2 2 3" xfId="24817" xr:uid="{D0C744DD-3605-4C20-B05B-6EB7A7FE06F2}"/>
    <cellStyle name="20% - Accent5 3 5 2 2 4" xfId="16376" xr:uid="{04692210-2A9C-46A6-B1CF-104BA6B6C14D}"/>
    <cellStyle name="20% - Accent5 3 5 2 3" xfId="29040" xr:uid="{6B7082A4-EF3E-42A9-BF6C-EC75D082A30D}"/>
    <cellStyle name="20% - Accent5 3 5 2 4" xfId="20599" xr:uid="{B78B1737-D89A-4296-8989-AD1111F98AED}"/>
    <cellStyle name="20% - Accent5 3 5 2 5" xfId="12158" xr:uid="{0EA8A981-E08D-44F9-BB55-0F08AC44C40E}"/>
    <cellStyle name="20% - Accent5 3 5 3" xfId="5781" xr:uid="{00000000-0005-0000-0000-0000F2020000}"/>
    <cellStyle name="20% - Accent5 3 5 3 2" xfId="31113" xr:uid="{4851106C-D184-4249-9A58-6B599748E65F}"/>
    <cellStyle name="20% - Accent5 3 5 3 3" xfId="22672" xr:uid="{381E6CD8-4E12-460F-90AB-C49D8B6FF7FA}"/>
    <cellStyle name="20% - Accent5 3 5 3 4" xfId="14231" xr:uid="{F1E4270C-4326-4653-8DD6-2D73B6D40ADB}"/>
    <cellStyle name="20% - Accent5 3 5 4" xfId="26895" xr:uid="{1E1D7800-CC07-4312-81EA-8FBDA447EB06}"/>
    <cellStyle name="20% - Accent5 3 5 5" xfId="18454" xr:uid="{48E84DC2-102B-4DEE-8A78-4C8F04CA7604}"/>
    <cellStyle name="20% - Accent5 3 5 6" xfId="10013" xr:uid="{E6BD783D-614D-4B66-9450-6438727BC27F}"/>
    <cellStyle name="20% - Accent5 3 6" xfId="1888" xr:uid="{00000000-0005-0000-0000-0000F3020000}"/>
    <cellStyle name="20% - Accent5 3 6 2" xfId="4117" xr:uid="{00000000-0005-0000-0000-0000F4020000}"/>
    <cellStyle name="20% - Accent5 3 6 2 2" xfId="8339" xr:uid="{00000000-0005-0000-0000-0000F5020000}"/>
    <cellStyle name="20% - Accent5 3 6 2 2 2" xfId="33671" xr:uid="{23494DF2-135E-49D3-A1AC-C685676409FE}"/>
    <cellStyle name="20% - Accent5 3 6 2 2 3" xfId="25230" xr:uid="{7E414252-70F4-468E-B25E-CA91B1D55882}"/>
    <cellStyle name="20% - Accent5 3 6 2 2 4" xfId="16789" xr:uid="{F2B055B5-1907-4E0F-ABF7-1C48F84B148F}"/>
    <cellStyle name="20% - Accent5 3 6 2 3" xfId="29453" xr:uid="{48E6B3DE-E847-4A21-A270-EDDF416CA5FD}"/>
    <cellStyle name="20% - Accent5 3 6 2 4" xfId="21012" xr:uid="{82407684-58B3-496E-956A-2B0A79738DF0}"/>
    <cellStyle name="20% - Accent5 3 6 2 5" xfId="12571" xr:uid="{92E28AC3-8622-4BD4-8FBB-DD6407BAD7AA}"/>
    <cellStyle name="20% - Accent5 3 6 3" xfId="6194" xr:uid="{00000000-0005-0000-0000-0000F6020000}"/>
    <cellStyle name="20% - Accent5 3 6 3 2" xfId="31526" xr:uid="{6E0B8D0D-ABE1-425E-80E3-DDC71A6E2887}"/>
    <cellStyle name="20% - Accent5 3 6 3 3" xfId="23085" xr:uid="{B06C2C49-DB73-48CC-9823-D9EA7A506C4A}"/>
    <cellStyle name="20% - Accent5 3 6 3 4" xfId="14644" xr:uid="{5BD590A6-A375-4ACF-A9CA-AE5BB42B1A5F}"/>
    <cellStyle name="20% - Accent5 3 6 4" xfId="27308" xr:uid="{E183A305-45B1-4683-9DE3-4F272B516CEC}"/>
    <cellStyle name="20% - Accent5 3 6 5" xfId="18867" xr:uid="{D5373061-FEAD-47CE-8CA8-EF4BF554DF13}"/>
    <cellStyle name="20% - Accent5 3 6 6" xfId="10426" xr:uid="{AFF179EA-0EDD-430C-A3CC-0C9FFDDFE505}"/>
    <cellStyle name="20% - Accent5 3 7" xfId="2301" xr:uid="{00000000-0005-0000-0000-0000F7020000}"/>
    <cellStyle name="20% - Accent5 3 7 2" xfId="6607" xr:uid="{00000000-0005-0000-0000-0000F8020000}"/>
    <cellStyle name="20% - Accent5 3 7 2 2" xfId="31939" xr:uid="{875DAFD7-4698-42BC-8E47-42BA40BD47A2}"/>
    <cellStyle name="20% - Accent5 3 7 2 3" xfId="23498" xr:uid="{640C7F7F-5D5A-4888-A97C-F0EF9C3F02B4}"/>
    <cellStyle name="20% - Accent5 3 7 2 4" xfId="15057" xr:uid="{9ABE40C6-6328-4616-8472-E450AEADD2C9}"/>
    <cellStyle name="20% - Accent5 3 7 3" xfId="27721" xr:uid="{81AF5DB5-6226-4B7E-BE80-FD659DCB09CA}"/>
    <cellStyle name="20% - Accent5 3 7 4" xfId="19280" xr:uid="{E7250640-492E-4183-8D24-B9ECCF73C377}"/>
    <cellStyle name="20% - Accent5 3 7 5" xfId="10839" xr:uid="{4D37FA76-482D-4069-952A-5526F5FC06F9}"/>
    <cellStyle name="20% - Accent5 3 8" xfId="4541" xr:uid="{00000000-0005-0000-0000-0000F9020000}"/>
    <cellStyle name="20% - Accent5 3 8 2" xfId="29873" xr:uid="{D8DB38B1-8A50-479A-9192-0A3F35DB2B09}"/>
    <cellStyle name="20% - Accent5 3 8 3" xfId="21432" xr:uid="{C5198BD0-87C2-4B67-B685-0E8BF7A11F02}"/>
    <cellStyle name="20% - Accent5 3 8 4" xfId="12991" xr:uid="{3B912610-A4CE-4705-96FC-A0497CC577D1}"/>
    <cellStyle name="20% - Accent5 3 9" xfId="25655" xr:uid="{A4D67619-2DC6-48F8-81FF-BFFD45D238A8}"/>
    <cellStyle name="20% - Accent5 4" xfId="40" xr:uid="{00000000-0005-0000-0000-0000FA020000}"/>
    <cellStyle name="20% - Accent5 4 10" xfId="8775" xr:uid="{1615720E-1EFA-4F1D-B736-4C1634D7B73A}"/>
    <cellStyle name="20% - Accent5 4 2" xfId="609" xr:uid="{00000000-0005-0000-0000-0000FB020000}"/>
    <cellStyle name="20% - Accent5 4 2 2" xfId="2880" xr:uid="{00000000-0005-0000-0000-0000FC020000}"/>
    <cellStyle name="20% - Accent5 4 2 2 2" xfId="7102" xr:uid="{00000000-0005-0000-0000-0000FD020000}"/>
    <cellStyle name="20% - Accent5 4 2 2 2 2" xfId="32434" xr:uid="{83A2A99A-FFD4-41D0-B9CD-1A5B9BFED733}"/>
    <cellStyle name="20% - Accent5 4 2 2 2 3" xfId="23993" xr:uid="{65140DEC-317A-4FB9-9192-5EEF758CBF9B}"/>
    <cellStyle name="20% - Accent5 4 2 2 2 4" xfId="15552" xr:uid="{90D64169-5717-48A2-9FC2-F8E7B4ED1AD2}"/>
    <cellStyle name="20% - Accent5 4 2 2 3" xfId="28216" xr:uid="{AA486C5A-593E-404C-B2AE-6CA8C93F5A17}"/>
    <cellStyle name="20% - Accent5 4 2 2 4" xfId="19775" xr:uid="{9E22E0B9-A536-4A1E-BA52-BE4CFD82552E}"/>
    <cellStyle name="20% - Accent5 4 2 2 5" xfId="11334" xr:uid="{63B57430-27FC-4C99-AE86-D8DD318B89FE}"/>
    <cellStyle name="20% - Accent5 4 2 3" xfId="4957" xr:uid="{00000000-0005-0000-0000-0000FE020000}"/>
    <cellStyle name="20% - Accent5 4 2 3 2" xfId="30289" xr:uid="{175CDBED-A023-47A8-A005-C9235A309F8B}"/>
    <cellStyle name="20% - Accent5 4 2 3 3" xfId="21848" xr:uid="{5ECC1D18-B216-48F0-AEF9-70AEFED81E51}"/>
    <cellStyle name="20% - Accent5 4 2 3 4" xfId="13407" xr:uid="{D8E2FCF8-59EB-44F8-824A-009F42E749BB}"/>
    <cellStyle name="20% - Accent5 4 2 4" xfId="26071" xr:uid="{4691067B-B766-469B-A36F-16FA68CDB2FC}"/>
    <cellStyle name="20% - Accent5 4 2 5" xfId="17630" xr:uid="{31EE6D71-8DDB-4DFB-B390-BF9B3C5EB0C0}"/>
    <cellStyle name="20% - Accent5 4 2 6" xfId="9189" xr:uid="{EBB31193-E629-417E-A965-97CA94A605E4}"/>
    <cellStyle name="20% - Accent5 4 3" xfId="1062" xr:uid="{00000000-0005-0000-0000-0000FF020000}"/>
    <cellStyle name="20% - Accent5 4 3 2" xfId="3293" xr:uid="{00000000-0005-0000-0000-000000030000}"/>
    <cellStyle name="20% - Accent5 4 3 2 2" xfId="7515" xr:uid="{00000000-0005-0000-0000-000001030000}"/>
    <cellStyle name="20% - Accent5 4 3 2 2 2" xfId="32847" xr:uid="{89D8E4D1-7C4F-4D41-B6CC-91471776326A}"/>
    <cellStyle name="20% - Accent5 4 3 2 2 3" xfId="24406" xr:uid="{A5C2B486-0DE7-46E7-9245-C4EC27898E0F}"/>
    <cellStyle name="20% - Accent5 4 3 2 2 4" xfId="15965" xr:uid="{7A248427-2335-4446-97B7-A7BCFD7DE6F7}"/>
    <cellStyle name="20% - Accent5 4 3 2 3" xfId="28629" xr:uid="{F9C1BDEC-B895-4755-914B-5CA2DBFAC0AD}"/>
    <cellStyle name="20% - Accent5 4 3 2 4" xfId="20188" xr:uid="{D8371EDD-4667-4778-90CC-AD995D240AB3}"/>
    <cellStyle name="20% - Accent5 4 3 2 5" xfId="11747" xr:uid="{0BCE3511-6681-4C3D-8C32-F6492F0FB062}"/>
    <cellStyle name="20% - Accent5 4 3 3" xfId="5370" xr:uid="{00000000-0005-0000-0000-000002030000}"/>
    <cellStyle name="20% - Accent5 4 3 3 2" xfId="30702" xr:uid="{CA8A0791-A7B5-4335-815C-AFA04548F812}"/>
    <cellStyle name="20% - Accent5 4 3 3 3" xfId="22261" xr:uid="{E34D9BCC-182A-4FAD-ADBF-2AC2D9500E43}"/>
    <cellStyle name="20% - Accent5 4 3 3 4" xfId="13820" xr:uid="{903B0127-D100-4802-B78A-EF6F8081AA6D}"/>
    <cellStyle name="20% - Accent5 4 3 4" xfId="26484" xr:uid="{C6B26E80-EA77-4537-A655-B1E729CE03C0}"/>
    <cellStyle name="20% - Accent5 4 3 5" xfId="18043" xr:uid="{920015D0-509A-48E0-8268-79B695975286}"/>
    <cellStyle name="20% - Accent5 4 3 6" xfId="9602" xr:uid="{B3AF3F1C-5E5E-422A-ACC9-A069A7DAE4C0}"/>
    <cellStyle name="20% - Accent5 4 4" xfId="1476" xr:uid="{00000000-0005-0000-0000-000003030000}"/>
    <cellStyle name="20% - Accent5 4 4 2" xfId="3706" xr:uid="{00000000-0005-0000-0000-000004030000}"/>
    <cellStyle name="20% - Accent5 4 4 2 2" xfId="7928" xr:uid="{00000000-0005-0000-0000-000005030000}"/>
    <cellStyle name="20% - Accent5 4 4 2 2 2" xfId="33260" xr:uid="{8000A1A9-0E79-4FE5-99E6-97355889407F}"/>
    <cellStyle name="20% - Accent5 4 4 2 2 3" xfId="24819" xr:uid="{DEFD873A-7BAF-472F-9DC5-604146E17042}"/>
    <cellStyle name="20% - Accent5 4 4 2 2 4" xfId="16378" xr:uid="{33D50E74-28A0-448C-84E1-AD6ABDF7F0F9}"/>
    <cellStyle name="20% - Accent5 4 4 2 3" xfId="29042" xr:uid="{B8AF6356-7121-41F4-8C0D-572E1E74F308}"/>
    <cellStyle name="20% - Accent5 4 4 2 4" xfId="20601" xr:uid="{F31542EA-AF93-4FBE-B2BC-77481CA422CD}"/>
    <cellStyle name="20% - Accent5 4 4 2 5" xfId="12160" xr:uid="{B06B27E0-465A-467A-B447-7E5EF40ED823}"/>
    <cellStyle name="20% - Accent5 4 4 3" xfId="5783" xr:uid="{00000000-0005-0000-0000-000006030000}"/>
    <cellStyle name="20% - Accent5 4 4 3 2" xfId="31115" xr:uid="{27A691FB-88B0-44DE-AF02-E309CAB7E58E}"/>
    <cellStyle name="20% - Accent5 4 4 3 3" xfId="22674" xr:uid="{739D48A9-D85C-4D43-81D5-5D9ED0902F6D}"/>
    <cellStyle name="20% - Accent5 4 4 3 4" xfId="14233" xr:uid="{B80835D0-B182-410D-B419-A4CA253A8069}"/>
    <cellStyle name="20% - Accent5 4 4 4" xfId="26897" xr:uid="{7A55BC2D-1528-4DCE-8FB3-D5826E2CF0B3}"/>
    <cellStyle name="20% - Accent5 4 4 5" xfId="18456" xr:uid="{1DFAD837-3586-4395-853A-90F8004BBDCA}"/>
    <cellStyle name="20% - Accent5 4 4 6" xfId="10015" xr:uid="{9E042B04-0580-4142-BAB7-2CF880D5EA8B}"/>
    <cellStyle name="20% - Accent5 4 5" xfId="1890" xr:uid="{00000000-0005-0000-0000-000007030000}"/>
    <cellStyle name="20% - Accent5 4 5 2" xfId="4119" xr:uid="{00000000-0005-0000-0000-000008030000}"/>
    <cellStyle name="20% - Accent5 4 5 2 2" xfId="8341" xr:uid="{00000000-0005-0000-0000-000009030000}"/>
    <cellStyle name="20% - Accent5 4 5 2 2 2" xfId="33673" xr:uid="{50D0E9F3-FF08-4573-8777-DFA90BF2C29A}"/>
    <cellStyle name="20% - Accent5 4 5 2 2 3" xfId="25232" xr:uid="{506A3CE6-961B-4DA6-8F62-F42FA505C896}"/>
    <cellStyle name="20% - Accent5 4 5 2 2 4" xfId="16791" xr:uid="{A20E6126-7544-408C-AE9C-D9C899FE2EBA}"/>
    <cellStyle name="20% - Accent5 4 5 2 3" xfId="29455" xr:uid="{D9ACF492-F059-4230-B4EC-A537C7B9777D}"/>
    <cellStyle name="20% - Accent5 4 5 2 4" xfId="21014" xr:uid="{4156829A-ADBC-403D-A519-4F4446EC6B7E}"/>
    <cellStyle name="20% - Accent5 4 5 2 5" xfId="12573" xr:uid="{F1E905F4-15AF-44A9-85E3-695481FC15BE}"/>
    <cellStyle name="20% - Accent5 4 5 3" xfId="6196" xr:uid="{00000000-0005-0000-0000-00000A030000}"/>
    <cellStyle name="20% - Accent5 4 5 3 2" xfId="31528" xr:uid="{7840134B-4056-411D-BCF8-2FD1BF6EF72E}"/>
    <cellStyle name="20% - Accent5 4 5 3 3" xfId="23087" xr:uid="{3363E664-7B4F-4849-BF18-65C6006ECDA3}"/>
    <cellStyle name="20% - Accent5 4 5 3 4" xfId="14646" xr:uid="{79253A4E-F2F6-43B6-BB26-C310F0C7B9B1}"/>
    <cellStyle name="20% - Accent5 4 5 4" xfId="27310" xr:uid="{553EE404-7D34-41C2-AEC4-6578D6458294}"/>
    <cellStyle name="20% - Accent5 4 5 5" xfId="18869" xr:uid="{28C47D9E-B432-4469-8685-3CCF085844D1}"/>
    <cellStyle name="20% - Accent5 4 5 6" xfId="10428" xr:uid="{1B89935C-0E74-4FBB-9F94-7A4E56149846}"/>
    <cellStyle name="20% - Accent5 4 6" xfId="2303" xr:uid="{00000000-0005-0000-0000-00000B030000}"/>
    <cellStyle name="20% - Accent5 4 6 2" xfId="6609" xr:uid="{00000000-0005-0000-0000-00000C030000}"/>
    <cellStyle name="20% - Accent5 4 6 2 2" xfId="31941" xr:uid="{1DFBB32D-229C-4DE6-92EC-922EBAC3CF12}"/>
    <cellStyle name="20% - Accent5 4 6 2 3" xfId="23500" xr:uid="{1731BDE4-A855-4AFF-906D-27A94C30DE67}"/>
    <cellStyle name="20% - Accent5 4 6 2 4" xfId="15059" xr:uid="{1D2A160C-3C4B-4B0F-8085-5A569864B476}"/>
    <cellStyle name="20% - Accent5 4 6 3" xfId="27723" xr:uid="{D025B8EC-1204-4C22-8DF4-CDBE6B679527}"/>
    <cellStyle name="20% - Accent5 4 6 4" xfId="19282" xr:uid="{667D5E9A-E7AB-4506-9649-1ACDD343D561}"/>
    <cellStyle name="20% - Accent5 4 6 5" xfId="10841" xr:uid="{E31839E9-AAA2-47FC-83A3-6098182AA164}"/>
    <cellStyle name="20% - Accent5 4 7" xfId="4543" xr:uid="{00000000-0005-0000-0000-00000D030000}"/>
    <cellStyle name="20% - Accent5 4 7 2" xfId="29875" xr:uid="{4372294D-BAE4-43E0-8ABF-5C06ACBD80DE}"/>
    <cellStyle name="20% - Accent5 4 7 3" xfId="21434" xr:uid="{FFAAD952-4567-4A4B-9D8B-4701D71DE786}"/>
    <cellStyle name="20% - Accent5 4 7 4" xfId="12993" xr:uid="{7CB1D0B3-068B-4E87-8A98-9917F06E3966}"/>
    <cellStyle name="20% - Accent5 4 8" xfId="25657" xr:uid="{83013F63-438C-4078-9903-D9ED4E0DDF33}"/>
    <cellStyle name="20% - Accent5 4 9" xfId="17216" xr:uid="{522221BE-F95A-496C-9233-4C824039FB3F}"/>
    <cellStyle name="20% - Accent5 5" xfId="602" xr:uid="{00000000-0005-0000-0000-00000E030000}"/>
    <cellStyle name="20% - Accent5 5 2" xfId="2873" xr:uid="{00000000-0005-0000-0000-00000F030000}"/>
    <cellStyle name="20% - Accent5 5 2 2" xfId="7095" xr:uid="{00000000-0005-0000-0000-000010030000}"/>
    <cellStyle name="20% - Accent5 5 2 2 2" xfId="32427" xr:uid="{4364B07E-F007-48B8-8DE0-3659A5367FDC}"/>
    <cellStyle name="20% - Accent5 5 2 2 3" xfId="23986" xr:uid="{143F0083-C7E6-4295-B747-F4B553DA6B0E}"/>
    <cellStyle name="20% - Accent5 5 2 2 4" xfId="15545" xr:uid="{63FDF1C9-C331-475A-B0CD-4CBEA75BCF0A}"/>
    <cellStyle name="20% - Accent5 5 2 3" xfId="28209" xr:uid="{770850F4-044A-418C-B29E-D75C2796B1EE}"/>
    <cellStyle name="20% - Accent5 5 2 4" xfId="19768" xr:uid="{6CB892D1-8EE2-446B-9AD0-66AD5EBC29AF}"/>
    <cellStyle name="20% - Accent5 5 2 5" xfId="11327" xr:uid="{21F9EBDB-3D42-484E-B9E9-D74B5C3B2A0F}"/>
    <cellStyle name="20% - Accent5 5 3" xfId="4950" xr:uid="{00000000-0005-0000-0000-000011030000}"/>
    <cellStyle name="20% - Accent5 5 3 2" xfId="30282" xr:uid="{92B8FC84-40FB-46CB-9EE7-95465A5B6781}"/>
    <cellStyle name="20% - Accent5 5 3 3" xfId="21841" xr:uid="{744ACE4E-CF63-45BF-9BFD-10E17ACC8D7A}"/>
    <cellStyle name="20% - Accent5 5 3 4" xfId="13400" xr:uid="{C3FB8A79-A2CA-4794-8990-B0E09EEB6297}"/>
    <cellStyle name="20% - Accent5 5 4" xfId="26064" xr:uid="{10CA256E-6496-4B56-A44A-2E93DD59E407}"/>
    <cellStyle name="20% - Accent5 5 5" xfId="17623" xr:uid="{91B97D34-FCFD-42A6-9512-0CF9DA2FB6F1}"/>
    <cellStyle name="20% - Accent5 5 6" xfId="9182" xr:uid="{68548CFE-8B66-4436-9782-A011485C13C7}"/>
    <cellStyle name="20% - Accent5 6" xfId="1055" xr:uid="{00000000-0005-0000-0000-000012030000}"/>
    <cellStyle name="20% - Accent5 6 2" xfId="3286" xr:uid="{00000000-0005-0000-0000-000013030000}"/>
    <cellStyle name="20% - Accent5 6 2 2" xfId="7508" xr:uid="{00000000-0005-0000-0000-000014030000}"/>
    <cellStyle name="20% - Accent5 6 2 2 2" xfId="32840" xr:uid="{45CC52DF-DE8A-470A-86A4-581090AAABB5}"/>
    <cellStyle name="20% - Accent5 6 2 2 3" xfId="24399" xr:uid="{4343A36E-4C52-4EE1-A7D1-34BE05A85D06}"/>
    <cellStyle name="20% - Accent5 6 2 2 4" xfId="15958" xr:uid="{EA307856-D4B1-48B6-82DA-6A3A85A4A915}"/>
    <cellStyle name="20% - Accent5 6 2 3" xfId="28622" xr:uid="{3B67E5CA-D9A3-45C3-B633-7F2FBF2C3227}"/>
    <cellStyle name="20% - Accent5 6 2 4" xfId="20181" xr:uid="{CE010F2E-AB56-4222-8738-9D489941939C}"/>
    <cellStyle name="20% - Accent5 6 2 5" xfId="11740" xr:uid="{9245494E-74D3-4AA0-AAD3-AC5325C8E2F8}"/>
    <cellStyle name="20% - Accent5 6 3" xfId="5363" xr:uid="{00000000-0005-0000-0000-000015030000}"/>
    <cellStyle name="20% - Accent5 6 3 2" xfId="30695" xr:uid="{B2C43201-DA45-4333-A33F-1A4C0543840A}"/>
    <cellStyle name="20% - Accent5 6 3 3" xfId="22254" xr:uid="{0AA67E38-0A69-4347-A2DC-7140ED7B6C74}"/>
    <cellStyle name="20% - Accent5 6 3 4" xfId="13813" xr:uid="{109CF7DC-669B-4022-B497-DA6B6993A681}"/>
    <cellStyle name="20% - Accent5 6 4" xfId="26477" xr:uid="{0EF80A10-128A-4728-A05A-3A8463925680}"/>
    <cellStyle name="20% - Accent5 6 5" xfId="18036" xr:uid="{4263431F-D34D-4658-802E-82582F92A976}"/>
    <cellStyle name="20% - Accent5 6 6" xfId="9595" xr:uid="{9187F425-9AF5-4A8B-A47E-B2F1BED4FF7B}"/>
    <cellStyle name="20% - Accent5 7" xfId="1469" xr:uid="{00000000-0005-0000-0000-000016030000}"/>
    <cellStyle name="20% - Accent5 7 2" xfId="3699" xr:uid="{00000000-0005-0000-0000-000017030000}"/>
    <cellStyle name="20% - Accent5 7 2 2" xfId="7921" xr:uid="{00000000-0005-0000-0000-000018030000}"/>
    <cellStyle name="20% - Accent5 7 2 2 2" xfId="33253" xr:uid="{C51B8177-1948-43F8-AAA4-CA03F75E390F}"/>
    <cellStyle name="20% - Accent5 7 2 2 3" xfId="24812" xr:uid="{9EF8BCEB-2696-4A7B-B4EB-5A77494BF4EA}"/>
    <cellStyle name="20% - Accent5 7 2 2 4" xfId="16371" xr:uid="{BEBFB799-477B-4232-9CA0-56034ECBA9AE}"/>
    <cellStyle name="20% - Accent5 7 2 3" xfId="29035" xr:uid="{5BA14925-D72D-4464-9F33-234404EA3B08}"/>
    <cellStyle name="20% - Accent5 7 2 4" xfId="20594" xr:uid="{43D110B3-CAE4-437B-8803-7CE0B97A0F3F}"/>
    <cellStyle name="20% - Accent5 7 2 5" xfId="12153" xr:uid="{FBCA798F-F54F-411F-A35D-84481B6DC6E2}"/>
    <cellStyle name="20% - Accent5 7 3" xfId="5776" xr:uid="{00000000-0005-0000-0000-000019030000}"/>
    <cellStyle name="20% - Accent5 7 3 2" xfId="31108" xr:uid="{41C558D3-347C-451F-9DAD-8718FD8B4737}"/>
    <cellStyle name="20% - Accent5 7 3 3" xfId="22667" xr:uid="{AF3F3BFC-F961-4C8C-A6EA-6840CBBE366E}"/>
    <cellStyle name="20% - Accent5 7 3 4" xfId="14226" xr:uid="{06CBD4DB-2E41-400A-9587-96D7AC047040}"/>
    <cellStyle name="20% - Accent5 7 4" xfId="26890" xr:uid="{9D9F2054-F7BC-414A-9A74-A3F1C4F56034}"/>
    <cellStyle name="20% - Accent5 7 5" xfId="18449" xr:uid="{3D40CC56-EECC-4A4A-A50B-A4B7184B56C8}"/>
    <cellStyle name="20% - Accent5 7 6" xfId="10008" xr:uid="{E21A0D3B-4ACB-4E28-AC4C-E4EB27E34316}"/>
    <cellStyle name="20% - Accent5 8" xfId="1883" xr:uid="{00000000-0005-0000-0000-00001A030000}"/>
    <cellStyle name="20% - Accent5 8 2" xfId="4112" xr:uid="{00000000-0005-0000-0000-00001B030000}"/>
    <cellStyle name="20% - Accent5 8 2 2" xfId="8334" xr:uid="{00000000-0005-0000-0000-00001C030000}"/>
    <cellStyle name="20% - Accent5 8 2 2 2" xfId="33666" xr:uid="{638D2F42-4DDC-44BC-86EE-67A519B98433}"/>
    <cellStyle name="20% - Accent5 8 2 2 3" xfId="25225" xr:uid="{81D76DAC-B6FA-4811-93BF-DE68BBA35529}"/>
    <cellStyle name="20% - Accent5 8 2 2 4" xfId="16784" xr:uid="{FCB94EF9-9420-4472-AA76-FF4B92E3625C}"/>
    <cellStyle name="20% - Accent5 8 2 3" xfId="29448" xr:uid="{8AEE6CBD-71F1-4E9F-A4F9-4F5E540E7944}"/>
    <cellStyle name="20% - Accent5 8 2 4" xfId="21007" xr:uid="{0CC9773A-F037-47F9-9C2E-F071D7EADD01}"/>
    <cellStyle name="20% - Accent5 8 2 5" xfId="12566" xr:uid="{4510C0EE-64E2-4176-8327-129BD97544E9}"/>
    <cellStyle name="20% - Accent5 8 3" xfId="6189" xr:uid="{00000000-0005-0000-0000-00001D030000}"/>
    <cellStyle name="20% - Accent5 8 3 2" xfId="31521" xr:uid="{BEDFFF4C-C6E7-4262-9BB9-CC2FB2653BBE}"/>
    <cellStyle name="20% - Accent5 8 3 3" xfId="23080" xr:uid="{8265AFD1-52FC-492A-B7D2-74625989427F}"/>
    <cellStyle name="20% - Accent5 8 3 4" xfId="14639" xr:uid="{50BBEB8C-05F7-48D7-93AA-05EC68A849C5}"/>
    <cellStyle name="20% - Accent5 8 4" xfId="27303" xr:uid="{9B3B16CA-3469-4751-AE58-8F0010A0FF15}"/>
    <cellStyle name="20% - Accent5 8 5" xfId="18862" xr:uid="{BEF64EBE-96AA-4600-9BAC-2DC94746567F}"/>
    <cellStyle name="20% - Accent5 8 6" xfId="10421" xr:uid="{C2849AFA-628F-4E66-A2EE-2A78735D0DDF}"/>
    <cellStyle name="20% - Accent5 9" xfId="2296" xr:uid="{00000000-0005-0000-0000-00001E030000}"/>
    <cellStyle name="20% - Accent5 9 2" xfId="6602" xr:uid="{00000000-0005-0000-0000-00001F030000}"/>
    <cellStyle name="20% - Accent5 9 2 2" xfId="31934" xr:uid="{BCC0F6D2-DA85-4147-8E0A-C786E18DC6DC}"/>
    <cellStyle name="20% - Accent5 9 2 3" xfId="23493" xr:uid="{E74CE673-63B4-497D-8C5A-04C3273763B5}"/>
    <cellStyle name="20% - Accent5 9 2 4" xfId="15052" xr:uid="{C6E91B02-23D1-4CA2-9A16-2685A205292B}"/>
    <cellStyle name="20% - Accent5 9 3" xfId="27716" xr:uid="{4752F85B-C55A-47FC-BA9A-D57DE03EA1CB}"/>
    <cellStyle name="20% - Accent5 9 4" xfId="19275" xr:uid="{0D1BB5A1-F21B-4287-B8BA-A8FB3C6E8A58}"/>
    <cellStyle name="20% - Accent5 9 5" xfId="10834" xr:uid="{D0831494-D3A8-46A8-8245-3B789B17D485}"/>
    <cellStyle name="20% - Accent6" xfId="41" builtinId="50" customBuiltin="1"/>
    <cellStyle name="20% - Accent6 10" xfId="4544" xr:uid="{00000000-0005-0000-0000-000021030000}"/>
    <cellStyle name="20% - Accent6 10 2" xfId="29876" xr:uid="{ED4EFF49-4E87-4E5D-B569-AC7A4A53B376}"/>
    <cellStyle name="20% - Accent6 10 3" xfId="21435" xr:uid="{6827B9CF-2A64-411F-8EE5-2B8AA3BDA172}"/>
    <cellStyle name="20% - Accent6 10 4" xfId="12994" xr:uid="{1EEE75A8-C878-494E-BFC0-BC5B6E5F14A4}"/>
    <cellStyle name="20% - Accent6 11" xfId="25658" xr:uid="{0C78D6C7-0EFF-4024-9F75-C9B918EB1BA8}"/>
    <cellStyle name="20% - Accent6 12" xfId="17217" xr:uid="{A2C403B9-E70A-459B-A676-16CBD960CF94}"/>
    <cellStyle name="20% - Accent6 13" xfId="8776" xr:uid="{15208B6C-25F3-4586-87F9-07411F8721EF}"/>
    <cellStyle name="20% - Accent6 2" xfId="42" xr:uid="{00000000-0005-0000-0000-000022030000}"/>
    <cellStyle name="20% - Accent6 2 10" xfId="25659" xr:uid="{10E164F1-4EA0-42D3-B62A-814FBA137C8D}"/>
    <cellStyle name="20% - Accent6 2 11" xfId="17218" xr:uid="{299F4AF9-A4EA-4ECE-848C-95E3FCE49683}"/>
    <cellStyle name="20% - Accent6 2 12" xfId="8777" xr:uid="{C5E815BD-253B-4E3E-960C-19B0586E3F35}"/>
    <cellStyle name="20% - Accent6 2 2" xfId="43" xr:uid="{00000000-0005-0000-0000-000023030000}"/>
    <cellStyle name="20% - Accent6 2 2 10" xfId="17219" xr:uid="{F35D0596-9E9E-4304-8D35-CEBC6D685098}"/>
    <cellStyle name="20% - Accent6 2 2 11" xfId="8778" xr:uid="{519E6998-2C94-4ED4-AEAF-F99E6E6C08D4}"/>
    <cellStyle name="20% - Accent6 2 2 2" xfId="44" xr:uid="{00000000-0005-0000-0000-000024030000}"/>
    <cellStyle name="20% - Accent6 2 2 2 10" xfId="8779" xr:uid="{57BF9997-5EA6-4991-A746-078ABB8ADECC}"/>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2 2 2" xfId="32438" xr:uid="{7102AFCF-643B-4445-AA95-69C525643BBB}"/>
    <cellStyle name="20% - Accent6 2 2 2 2 2 2 3" xfId="23997" xr:uid="{75DD8EAD-B15C-4D0D-8F15-F0A44BDD5322}"/>
    <cellStyle name="20% - Accent6 2 2 2 2 2 2 4" xfId="15556" xr:uid="{0FA39B53-951C-4622-8F56-6062C0307FFB}"/>
    <cellStyle name="20% - Accent6 2 2 2 2 2 3" xfId="28220" xr:uid="{0064C27A-F5F8-4EF6-AFF9-3B1F3CA11602}"/>
    <cellStyle name="20% - Accent6 2 2 2 2 2 4" xfId="19779" xr:uid="{B568FD37-0E87-4675-A0E2-4D388C0B5F7A}"/>
    <cellStyle name="20% - Accent6 2 2 2 2 2 5" xfId="11338" xr:uid="{F03174B3-E309-472B-97F2-6D6589FAD58B}"/>
    <cellStyle name="20% - Accent6 2 2 2 2 3" xfId="4961" xr:uid="{00000000-0005-0000-0000-000028030000}"/>
    <cellStyle name="20% - Accent6 2 2 2 2 3 2" xfId="30293" xr:uid="{56749B8D-D5FB-4883-9929-0695FC960CDC}"/>
    <cellStyle name="20% - Accent6 2 2 2 2 3 3" xfId="21852" xr:uid="{B19405D8-373F-4598-910C-F6F1966F3063}"/>
    <cellStyle name="20% - Accent6 2 2 2 2 3 4" xfId="13411" xr:uid="{8AFD671B-6482-40E9-A4E1-E02FA81052E2}"/>
    <cellStyle name="20% - Accent6 2 2 2 2 4" xfId="26075" xr:uid="{7D2D33AE-4486-4E31-BC08-83B7296572F2}"/>
    <cellStyle name="20% - Accent6 2 2 2 2 5" xfId="17634" xr:uid="{E9A18223-E90B-4854-939D-6A3B248EB59F}"/>
    <cellStyle name="20% - Accent6 2 2 2 2 6" xfId="9193" xr:uid="{9369D170-98E6-40ED-8311-C720902870D7}"/>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2 2 2" xfId="32851" xr:uid="{3449250A-053D-42DC-9173-73DA2656967B}"/>
    <cellStyle name="20% - Accent6 2 2 2 3 2 2 3" xfId="24410" xr:uid="{0549A884-1A9D-48A0-B0CE-AF016BF0467C}"/>
    <cellStyle name="20% - Accent6 2 2 2 3 2 2 4" xfId="15969" xr:uid="{08692877-F8BF-4512-976D-16AA18926608}"/>
    <cellStyle name="20% - Accent6 2 2 2 3 2 3" xfId="28633" xr:uid="{38D6C7A2-57C2-4F58-ADDE-903E6B3A6355}"/>
    <cellStyle name="20% - Accent6 2 2 2 3 2 4" xfId="20192" xr:uid="{A2B0E297-CF18-4371-AE6C-5BA80B17E3AC}"/>
    <cellStyle name="20% - Accent6 2 2 2 3 2 5" xfId="11751" xr:uid="{A7421B41-0556-40DD-A42D-87A827BFD61D}"/>
    <cellStyle name="20% - Accent6 2 2 2 3 3" xfId="5374" xr:uid="{00000000-0005-0000-0000-00002C030000}"/>
    <cellStyle name="20% - Accent6 2 2 2 3 3 2" xfId="30706" xr:uid="{8ED75220-8A1B-48AB-ACA9-97DD66B604BC}"/>
    <cellStyle name="20% - Accent6 2 2 2 3 3 3" xfId="22265" xr:uid="{6F00C756-EDB1-4F6B-94D7-40BDAB0451A0}"/>
    <cellStyle name="20% - Accent6 2 2 2 3 3 4" xfId="13824" xr:uid="{A2A7DE9A-2925-4321-B681-FBC83605132D}"/>
    <cellStyle name="20% - Accent6 2 2 2 3 4" xfId="26488" xr:uid="{267E4835-A340-499A-8A84-8D76636CE313}"/>
    <cellStyle name="20% - Accent6 2 2 2 3 5" xfId="18047" xr:uid="{66586FD3-C685-493F-B6D8-77DF48DFBF00}"/>
    <cellStyle name="20% - Accent6 2 2 2 3 6" xfId="9606" xr:uid="{EBB548AD-4C62-4489-A736-B926B9145BCE}"/>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2 2 2" xfId="33264" xr:uid="{9B529F7D-B263-463D-AEDF-CC9550C6C1EF}"/>
    <cellStyle name="20% - Accent6 2 2 2 4 2 2 3" xfId="24823" xr:uid="{694898CB-2190-40BE-B0E5-CF434B4F921B}"/>
    <cellStyle name="20% - Accent6 2 2 2 4 2 2 4" xfId="16382" xr:uid="{61735B20-CC57-4921-AFA9-4FA2D0E19D2C}"/>
    <cellStyle name="20% - Accent6 2 2 2 4 2 3" xfId="29046" xr:uid="{F8E90A42-CAFE-4DC2-B6FF-A9BA08853A97}"/>
    <cellStyle name="20% - Accent6 2 2 2 4 2 4" xfId="20605" xr:uid="{E47F8EF7-709D-4B28-AC0D-8F733773A3E7}"/>
    <cellStyle name="20% - Accent6 2 2 2 4 2 5" xfId="12164" xr:uid="{3F9950B4-C76F-40AC-8031-DB7793E694B0}"/>
    <cellStyle name="20% - Accent6 2 2 2 4 3" xfId="5787" xr:uid="{00000000-0005-0000-0000-000030030000}"/>
    <cellStyle name="20% - Accent6 2 2 2 4 3 2" xfId="31119" xr:uid="{D5C1295F-79CB-4138-B6EA-AEBE4AF46822}"/>
    <cellStyle name="20% - Accent6 2 2 2 4 3 3" xfId="22678" xr:uid="{95D8E383-866E-4FCD-90F6-57FB882AB102}"/>
    <cellStyle name="20% - Accent6 2 2 2 4 3 4" xfId="14237" xr:uid="{4283E2AA-EA8B-4DCE-BBBE-5537D43E0CBC}"/>
    <cellStyle name="20% - Accent6 2 2 2 4 4" xfId="26901" xr:uid="{D47651B4-0E8E-4575-B365-862FEB2310E9}"/>
    <cellStyle name="20% - Accent6 2 2 2 4 5" xfId="18460" xr:uid="{D5D2961D-9E72-4E0D-88EB-67292EC039E5}"/>
    <cellStyle name="20% - Accent6 2 2 2 4 6" xfId="10019" xr:uid="{E3504DFB-A8FA-4F00-AC44-F631F4526F2D}"/>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2 2 2" xfId="33677" xr:uid="{7755E045-8C8D-4F3A-B15D-DB637AB61DC0}"/>
    <cellStyle name="20% - Accent6 2 2 2 5 2 2 3" xfId="25236" xr:uid="{9CEE76D1-6670-4713-A82F-5D4B228BCAF2}"/>
    <cellStyle name="20% - Accent6 2 2 2 5 2 2 4" xfId="16795" xr:uid="{BB4CF570-C25D-42F3-80D2-35AE49140D29}"/>
    <cellStyle name="20% - Accent6 2 2 2 5 2 3" xfId="29459" xr:uid="{B01F0B6F-B19E-422A-A8EC-6BC4F927E335}"/>
    <cellStyle name="20% - Accent6 2 2 2 5 2 4" xfId="21018" xr:uid="{56CF2866-24CE-4E64-A110-037A1586123B}"/>
    <cellStyle name="20% - Accent6 2 2 2 5 2 5" xfId="12577" xr:uid="{CBDCDA2B-CD11-44B7-9337-CFFF8FEB88D5}"/>
    <cellStyle name="20% - Accent6 2 2 2 5 3" xfId="6200" xr:uid="{00000000-0005-0000-0000-000034030000}"/>
    <cellStyle name="20% - Accent6 2 2 2 5 3 2" xfId="31532" xr:uid="{1C682897-E3CE-464E-BFE0-FA1F61CC8E62}"/>
    <cellStyle name="20% - Accent6 2 2 2 5 3 3" xfId="23091" xr:uid="{EA810DF6-847E-4429-B884-7EB32527C164}"/>
    <cellStyle name="20% - Accent6 2 2 2 5 3 4" xfId="14650" xr:uid="{98DFDF34-A76E-4C15-BC85-219709EE3BB4}"/>
    <cellStyle name="20% - Accent6 2 2 2 5 4" xfId="27314" xr:uid="{ADB4314D-57F0-4726-8D25-4B72C1E79401}"/>
    <cellStyle name="20% - Accent6 2 2 2 5 5" xfId="18873" xr:uid="{1EBCF2B0-0ABD-48CE-9DFB-5D3ADA6468F4}"/>
    <cellStyle name="20% - Accent6 2 2 2 5 6" xfId="10432" xr:uid="{CDA0CB5F-FC07-49A0-8B89-426956F53BAC}"/>
    <cellStyle name="20% - Accent6 2 2 2 6" xfId="2307" xr:uid="{00000000-0005-0000-0000-000035030000}"/>
    <cellStyle name="20% - Accent6 2 2 2 6 2" xfId="6613" xr:uid="{00000000-0005-0000-0000-000036030000}"/>
    <cellStyle name="20% - Accent6 2 2 2 6 2 2" xfId="31945" xr:uid="{0DD87293-4176-48AE-8410-4068E2DDF134}"/>
    <cellStyle name="20% - Accent6 2 2 2 6 2 3" xfId="23504" xr:uid="{DC651AA7-F420-43CC-9ED0-CBC673961144}"/>
    <cellStyle name="20% - Accent6 2 2 2 6 2 4" xfId="15063" xr:uid="{EC70B91A-B72A-4B7E-AB8E-31CCAB64102E}"/>
    <cellStyle name="20% - Accent6 2 2 2 6 3" xfId="27727" xr:uid="{B044500E-3903-4BAC-846B-94C3DEA3151D}"/>
    <cellStyle name="20% - Accent6 2 2 2 6 4" xfId="19286" xr:uid="{4C68D99A-54CD-43CB-8DBC-B39969EFB177}"/>
    <cellStyle name="20% - Accent6 2 2 2 6 5" xfId="10845" xr:uid="{267057F1-423F-4903-96C5-EBC07A309635}"/>
    <cellStyle name="20% - Accent6 2 2 2 7" xfId="4547" xr:uid="{00000000-0005-0000-0000-000037030000}"/>
    <cellStyle name="20% - Accent6 2 2 2 7 2" xfId="29879" xr:uid="{1AF8048D-B70A-4D7F-9DC7-748A8194DBDC}"/>
    <cellStyle name="20% - Accent6 2 2 2 7 3" xfId="21438" xr:uid="{06E69EC9-68C2-427C-ADF6-3FEEAA852876}"/>
    <cellStyle name="20% - Accent6 2 2 2 7 4" xfId="12997" xr:uid="{F8A45F89-294D-46D1-B59B-6CDE15BEE401}"/>
    <cellStyle name="20% - Accent6 2 2 2 8" xfId="25661" xr:uid="{1921F4EC-9B30-4D92-8987-E80B550E77A1}"/>
    <cellStyle name="20% - Accent6 2 2 2 9" xfId="17220" xr:uid="{28DA4B36-637F-450D-A4AE-FBC1806CA5DB}"/>
    <cellStyle name="20% - Accent6 2 2 3" xfId="612" xr:uid="{00000000-0005-0000-0000-000038030000}"/>
    <cellStyle name="20% - Accent6 2 2 3 2" xfId="2883" xr:uid="{00000000-0005-0000-0000-000039030000}"/>
    <cellStyle name="20% - Accent6 2 2 3 2 2" xfId="7105" xr:uid="{00000000-0005-0000-0000-00003A030000}"/>
    <cellStyle name="20% - Accent6 2 2 3 2 2 2" xfId="32437" xr:uid="{5AA9BF22-36AB-40F1-9DA6-81031491FEE3}"/>
    <cellStyle name="20% - Accent6 2 2 3 2 2 3" xfId="23996" xr:uid="{8A6E0CB7-7EC2-420E-A563-F293C431D080}"/>
    <cellStyle name="20% - Accent6 2 2 3 2 2 4" xfId="15555" xr:uid="{5F2581C9-79F6-461A-81CF-35A6FD3F92BD}"/>
    <cellStyle name="20% - Accent6 2 2 3 2 3" xfId="28219" xr:uid="{032662F0-900B-4A42-B9CE-297B65D66AB7}"/>
    <cellStyle name="20% - Accent6 2 2 3 2 4" xfId="19778" xr:uid="{710AA10E-79BE-4505-BBED-3A5CDEDE0636}"/>
    <cellStyle name="20% - Accent6 2 2 3 2 5" xfId="11337" xr:uid="{8D10E58E-4345-4E35-B75F-ED924FACD31E}"/>
    <cellStyle name="20% - Accent6 2 2 3 3" xfId="4960" xr:uid="{00000000-0005-0000-0000-00003B030000}"/>
    <cellStyle name="20% - Accent6 2 2 3 3 2" xfId="30292" xr:uid="{C93F00BF-0BAC-46DE-BCA9-2362EBF3E743}"/>
    <cellStyle name="20% - Accent6 2 2 3 3 3" xfId="21851" xr:uid="{39E76C3F-28C9-4C62-B7E1-8E09B2BC37A3}"/>
    <cellStyle name="20% - Accent6 2 2 3 3 4" xfId="13410" xr:uid="{4A3259F3-73C8-4A82-9A50-C70A3C0119C5}"/>
    <cellStyle name="20% - Accent6 2 2 3 4" xfId="26074" xr:uid="{79FD3207-0F05-4085-860A-B7D19617F604}"/>
    <cellStyle name="20% - Accent6 2 2 3 5" xfId="17633" xr:uid="{218420CB-8003-4363-89F9-02264971562E}"/>
    <cellStyle name="20% - Accent6 2 2 3 6" xfId="9192" xr:uid="{52DD48EA-A1B8-4C86-A059-31CF2900DB57}"/>
    <cellStyle name="20% - Accent6 2 2 4" xfId="1065" xr:uid="{00000000-0005-0000-0000-00003C030000}"/>
    <cellStyle name="20% - Accent6 2 2 4 2" xfId="3296" xr:uid="{00000000-0005-0000-0000-00003D030000}"/>
    <cellStyle name="20% - Accent6 2 2 4 2 2" xfId="7518" xr:uid="{00000000-0005-0000-0000-00003E030000}"/>
    <cellStyle name="20% - Accent6 2 2 4 2 2 2" xfId="32850" xr:uid="{8B1B0DE7-D713-4E4E-A0E9-5791F030469A}"/>
    <cellStyle name="20% - Accent6 2 2 4 2 2 3" xfId="24409" xr:uid="{9E5C50A8-4134-4E3D-863F-7CD27DD516A6}"/>
    <cellStyle name="20% - Accent6 2 2 4 2 2 4" xfId="15968" xr:uid="{D1498C85-0D7F-4192-8C04-A66E975768FA}"/>
    <cellStyle name="20% - Accent6 2 2 4 2 3" xfId="28632" xr:uid="{33DA051C-62AB-45B1-ABDF-ED515389C277}"/>
    <cellStyle name="20% - Accent6 2 2 4 2 4" xfId="20191" xr:uid="{1C884CF8-B7DC-4696-8714-A1711B5C0CDA}"/>
    <cellStyle name="20% - Accent6 2 2 4 2 5" xfId="11750" xr:uid="{90A95B70-6543-47A5-BC9B-FE4FFE413116}"/>
    <cellStyle name="20% - Accent6 2 2 4 3" xfId="5373" xr:uid="{00000000-0005-0000-0000-00003F030000}"/>
    <cellStyle name="20% - Accent6 2 2 4 3 2" xfId="30705" xr:uid="{9871A8CB-7D2E-46F3-8818-E8F4FDC18249}"/>
    <cellStyle name="20% - Accent6 2 2 4 3 3" xfId="22264" xr:uid="{357CFCA2-BBBB-4777-B83D-125D7EEA546B}"/>
    <cellStyle name="20% - Accent6 2 2 4 3 4" xfId="13823" xr:uid="{71A5650D-EF56-4C22-B107-46CC5EC1906C}"/>
    <cellStyle name="20% - Accent6 2 2 4 4" xfId="26487" xr:uid="{1988F24A-C239-483D-B303-CC4ADB24139C}"/>
    <cellStyle name="20% - Accent6 2 2 4 5" xfId="18046" xr:uid="{115E6219-21DB-47FB-BF6C-01482EF341D5}"/>
    <cellStyle name="20% - Accent6 2 2 4 6" xfId="9605" xr:uid="{B23A5E1C-3010-402F-8A53-462F48162292}"/>
    <cellStyle name="20% - Accent6 2 2 5" xfId="1479" xr:uid="{00000000-0005-0000-0000-000040030000}"/>
    <cellStyle name="20% - Accent6 2 2 5 2" xfId="3709" xr:uid="{00000000-0005-0000-0000-000041030000}"/>
    <cellStyle name="20% - Accent6 2 2 5 2 2" xfId="7931" xr:uid="{00000000-0005-0000-0000-000042030000}"/>
    <cellStyle name="20% - Accent6 2 2 5 2 2 2" xfId="33263" xr:uid="{56D7A150-4D32-4665-AAA5-ACD3F5B81BA2}"/>
    <cellStyle name="20% - Accent6 2 2 5 2 2 3" xfId="24822" xr:uid="{D56C11F4-C30A-45E3-8E34-59056254BA70}"/>
    <cellStyle name="20% - Accent6 2 2 5 2 2 4" xfId="16381" xr:uid="{631F4E8B-3320-4F1F-B22E-BCF435B431E5}"/>
    <cellStyle name="20% - Accent6 2 2 5 2 3" xfId="29045" xr:uid="{2608421D-31E7-41CE-83A4-6AFB28A9AD36}"/>
    <cellStyle name="20% - Accent6 2 2 5 2 4" xfId="20604" xr:uid="{5A656582-F604-4329-B117-6EEB1DAA330F}"/>
    <cellStyle name="20% - Accent6 2 2 5 2 5" xfId="12163" xr:uid="{1ABFF5F8-47F0-42AE-9AF4-422C50DB68D2}"/>
    <cellStyle name="20% - Accent6 2 2 5 3" xfId="5786" xr:uid="{00000000-0005-0000-0000-000043030000}"/>
    <cellStyle name="20% - Accent6 2 2 5 3 2" xfId="31118" xr:uid="{AFA6A541-0E22-495E-84E7-FD28BC8D2631}"/>
    <cellStyle name="20% - Accent6 2 2 5 3 3" xfId="22677" xr:uid="{6B244321-65F4-4F69-9500-AEF04341093B}"/>
    <cellStyle name="20% - Accent6 2 2 5 3 4" xfId="14236" xr:uid="{259F3C11-0562-46DD-AFD5-E661FF798E3B}"/>
    <cellStyle name="20% - Accent6 2 2 5 4" xfId="26900" xr:uid="{BA555083-0F10-43F1-B8E7-6980510AF523}"/>
    <cellStyle name="20% - Accent6 2 2 5 5" xfId="18459" xr:uid="{D81C2724-BDC1-44CF-8A70-21AFBA6EF2B4}"/>
    <cellStyle name="20% - Accent6 2 2 5 6" xfId="10018" xr:uid="{59FDA080-453D-415F-98F7-81FFF76FC6F8}"/>
    <cellStyle name="20% - Accent6 2 2 6" xfId="1893" xr:uid="{00000000-0005-0000-0000-000044030000}"/>
    <cellStyle name="20% - Accent6 2 2 6 2" xfId="4122" xr:uid="{00000000-0005-0000-0000-000045030000}"/>
    <cellStyle name="20% - Accent6 2 2 6 2 2" xfId="8344" xr:uid="{00000000-0005-0000-0000-000046030000}"/>
    <cellStyle name="20% - Accent6 2 2 6 2 2 2" xfId="33676" xr:uid="{6030D9A2-2715-48A8-8B20-EBE465966444}"/>
    <cellStyle name="20% - Accent6 2 2 6 2 2 3" xfId="25235" xr:uid="{2D50F385-2C80-45AA-BF4A-AFFC98A8C286}"/>
    <cellStyle name="20% - Accent6 2 2 6 2 2 4" xfId="16794" xr:uid="{2CBC4DED-618B-421F-B345-92F45463D365}"/>
    <cellStyle name="20% - Accent6 2 2 6 2 3" xfId="29458" xr:uid="{933C414A-D5CD-4664-9E5F-0E8CE095BC9D}"/>
    <cellStyle name="20% - Accent6 2 2 6 2 4" xfId="21017" xr:uid="{D91866CA-E92C-4AF0-BA1F-FF4D0060FA47}"/>
    <cellStyle name="20% - Accent6 2 2 6 2 5" xfId="12576" xr:uid="{4AD2468E-4592-461A-906D-3A6977E3F81C}"/>
    <cellStyle name="20% - Accent6 2 2 6 3" xfId="6199" xr:uid="{00000000-0005-0000-0000-000047030000}"/>
    <cellStyle name="20% - Accent6 2 2 6 3 2" xfId="31531" xr:uid="{8D28ED2D-E9A7-41E6-82EF-189C6A636AD0}"/>
    <cellStyle name="20% - Accent6 2 2 6 3 3" xfId="23090" xr:uid="{00144215-08B9-438D-9AB8-D5B53727D451}"/>
    <cellStyle name="20% - Accent6 2 2 6 3 4" xfId="14649" xr:uid="{6641E362-1BCE-4EAF-8DFC-85365A3ED292}"/>
    <cellStyle name="20% - Accent6 2 2 6 4" xfId="27313" xr:uid="{5FAC83F7-ECA6-4AF1-938D-3CFA44455AD2}"/>
    <cellStyle name="20% - Accent6 2 2 6 5" xfId="18872" xr:uid="{23B32A2E-BDD1-4110-A222-443AAE864B42}"/>
    <cellStyle name="20% - Accent6 2 2 6 6" xfId="10431" xr:uid="{FF0FC65B-4B13-4C7B-B125-2D93676E2139}"/>
    <cellStyle name="20% - Accent6 2 2 7" xfId="2306" xr:uid="{00000000-0005-0000-0000-000048030000}"/>
    <cellStyle name="20% - Accent6 2 2 7 2" xfId="6612" xr:uid="{00000000-0005-0000-0000-000049030000}"/>
    <cellStyle name="20% - Accent6 2 2 7 2 2" xfId="31944" xr:uid="{61A92563-090D-43E2-A630-6F6FAF8F76A8}"/>
    <cellStyle name="20% - Accent6 2 2 7 2 3" xfId="23503" xr:uid="{EFAE1BE2-0322-450F-92AC-64A0C034516F}"/>
    <cellStyle name="20% - Accent6 2 2 7 2 4" xfId="15062" xr:uid="{18C363C5-04F0-4129-866A-D3BA91F376A3}"/>
    <cellStyle name="20% - Accent6 2 2 7 3" xfId="27726" xr:uid="{674F05ED-F96C-4BB4-9CDE-C0CA4BAEF3BD}"/>
    <cellStyle name="20% - Accent6 2 2 7 4" xfId="19285" xr:uid="{0EFC1F42-B70A-419A-8CA9-284019C1D112}"/>
    <cellStyle name="20% - Accent6 2 2 7 5" xfId="10844" xr:uid="{60055FBF-6F8F-4EA2-B8F2-53D476E2E56B}"/>
    <cellStyle name="20% - Accent6 2 2 8" xfId="4546" xr:uid="{00000000-0005-0000-0000-00004A030000}"/>
    <cellStyle name="20% - Accent6 2 2 8 2" xfId="29878" xr:uid="{4C69F4CF-0253-4A52-8DED-ACB8EB22AB2E}"/>
    <cellStyle name="20% - Accent6 2 2 8 3" xfId="21437" xr:uid="{8C3C277C-7107-485E-A41E-63DB2776B7B6}"/>
    <cellStyle name="20% - Accent6 2 2 8 4" xfId="12996" xr:uid="{356284C6-A960-4AAA-B837-797B8B5BA73F}"/>
    <cellStyle name="20% - Accent6 2 2 9" xfId="25660" xr:uid="{7F694CB1-AA13-4CA7-8A1C-4A902940CC5D}"/>
    <cellStyle name="20% - Accent6 2 3" xfId="45" xr:uid="{00000000-0005-0000-0000-00004B030000}"/>
    <cellStyle name="20% - Accent6 2 3 10" xfId="8780" xr:uid="{29EC1736-1D67-425D-888D-E3317CF1D9F6}"/>
    <cellStyle name="20% - Accent6 2 3 2" xfId="614" xr:uid="{00000000-0005-0000-0000-00004C030000}"/>
    <cellStyle name="20% - Accent6 2 3 2 2" xfId="2885" xr:uid="{00000000-0005-0000-0000-00004D030000}"/>
    <cellStyle name="20% - Accent6 2 3 2 2 2" xfId="7107" xr:uid="{00000000-0005-0000-0000-00004E030000}"/>
    <cellStyle name="20% - Accent6 2 3 2 2 2 2" xfId="32439" xr:uid="{6DB45694-82A4-4AEC-91D1-7885D333DC5C}"/>
    <cellStyle name="20% - Accent6 2 3 2 2 2 3" xfId="23998" xr:uid="{EF76E708-A20B-461B-8072-70F77154B808}"/>
    <cellStyle name="20% - Accent6 2 3 2 2 2 4" xfId="15557" xr:uid="{9F5EF48E-12ED-445A-B14B-185C029C36A6}"/>
    <cellStyle name="20% - Accent6 2 3 2 2 3" xfId="28221" xr:uid="{562CFAE4-85CB-4E1F-8DE0-6993972608B8}"/>
    <cellStyle name="20% - Accent6 2 3 2 2 4" xfId="19780" xr:uid="{2B277D60-6116-4ECC-81DA-6EBA21CB9418}"/>
    <cellStyle name="20% - Accent6 2 3 2 2 5" xfId="11339" xr:uid="{9A0E87D7-1796-4C94-8AA1-2F2833CE92F1}"/>
    <cellStyle name="20% - Accent6 2 3 2 3" xfId="4962" xr:uid="{00000000-0005-0000-0000-00004F030000}"/>
    <cellStyle name="20% - Accent6 2 3 2 3 2" xfId="30294" xr:uid="{3D2B368A-804D-430B-B1FE-4C32391D77F1}"/>
    <cellStyle name="20% - Accent6 2 3 2 3 3" xfId="21853" xr:uid="{CBB4657E-22FE-4549-846E-2A2849A75D62}"/>
    <cellStyle name="20% - Accent6 2 3 2 3 4" xfId="13412" xr:uid="{1A922328-1151-46A8-A5AB-7644CE9CA31E}"/>
    <cellStyle name="20% - Accent6 2 3 2 4" xfId="26076" xr:uid="{65481ABE-0CF4-49FB-9BC4-61FA62720F07}"/>
    <cellStyle name="20% - Accent6 2 3 2 5" xfId="17635" xr:uid="{39695F97-C81F-4B4A-9FF9-5DCBC7214799}"/>
    <cellStyle name="20% - Accent6 2 3 2 6" xfId="9194" xr:uid="{F850A3F3-C023-4F56-8145-3AF891E730A6}"/>
    <cellStyle name="20% - Accent6 2 3 3" xfId="1067" xr:uid="{00000000-0005-0000-0000-000050030000}"/>
    <cellStyle name="20% - Accent6 2 3 3 2" xfId="3298" xr:uid="{00000000-0005-0000-0000-000051030000}"/>
    <cellStyle name="20% - Accent6 2 3 3 2 2" xfId="7520" xr:uid="{00000000-0005-0000-0000-000052030000}"/>
    <cellStyle name="20% - Accent6 2 3 3 2 2 2" xfId="32852" xr:uid="{3E713520-9531-4A7D-8184-0A2F5CF367AE}"/>
    <cellStyle name="20% - Accent6 2 3 3 2 2 3" xfId="24411" xr:uid="{83C98FC2-3623-47BB-AFAE-50900BD87EBA}"/>
    <cellStyle name="20% - Accent6 2 3 3 2 2 4" xfId="15970" xr:uid="{F0960C6B-B60C-4453-A3E0-96AE2644EBF4}"/>
    <cellStyle name="20% - Accent6 2 3 3 2 3" xfId="28634" xr:uid="{9F84AFDB-1B19-4234-A163-8986B03316C9}"/>
    <cellStyle name="20% - Accent6 2 3 3 2 4" xfId="20193" xr:uid="{A4482C7E-B361-4E59-ACB6-E00C37E01C0D}"/>
    <cellStyle name="20% - Accent6 2 3 3 2 5" xfId="11752" xr:uid="{362E4C1D-D210-4A7A-89A8-8938CB2EA5CD}"/>
    <cellStyle name="20% - Accent6 2 3 3 3" xfId="5375" xr:uid="{00000000-0005-0000-0000-000053030000}"/>
    <cellStyle name="20% - Accent6 2 3 3 3 2" xfId="30707" xr:uid="{D4E3F956-81A3-4850-9F59-04737F585A11}"/>
    <cellStyle name="20% - Accent6 2 3 3 3 3" xfId="22266" xr:uid="{D71E1C6F-A67C-4BCD-BCED-627EC4C34CD4}"/>
    <cellStyle name="20% - Accent6 2 3 3 3 4" xfId="13825" xr:uid="{FF296528-04EB-442F-8F18-3EE09982EEEB}"/>
    <cellStyle name="20% - Accent6 2 3 3 4" xfId="26489" xr:uid="{5D7131C0-3BB7-4E21-9A6A-8B46530CD531}"/>
    <cellStyle name="20% - Accent6 2 3 3 5" xfId="18048" xr:uid="{49C125C6-22A7-4AAD-BFA6-6B1E0BC0B7C1}"/>
    <cellStyle name="20% - Accent6 2 3 3 6" xfId="9607" xr:uid="{D6553C66-2DF9-4926-87CB-0DFB959E3F19}"/>
    <cellStyle name="20% - Accent6 2 3 4" xfId="1481" xr:uid="{00000000-0005-0000-0000-000054030000}"/>
    <cellStyle name="20% - Accent6 2 3 4 2" xfId="3711" xr:uid="{00000000-0005-0000-0000-000055030000}"/>
    <cellStyle name="20% - Accent6 2 3 4 2 2" xfId="7933" xr:uid="{00000000-0005-0000-0000-000056030000}"/>
    <cellStyle name="20% - Accent6 2 3 4 2 2 2" xfId="33265" xr:uid="{0E1071D0-F473-468A-98B8-B4AF884405FC}"/>
    <cellStyle name="20% - Accent6 2 3 4 2 2 3" xfId="24824" xr:uid="{E26185BB-53EB-4364-8AFC-1F5E95528D82}"/>
    <cellStyle name="20% - Accent6 2 3 4 2 2 4" xfId="16383" xr:uid="{1A4ABA75-19B0-4025-BA29-766C0CD80331}"/>
    <cellStyle name="20% - Accent6 2 3 4 2 3" xfId="29047" xr:uid="{7E2A2F7C-1F90-4148-900C-640D5119F693}"/>
    <cellStyle name="20% - Accent6 2 3 4 2 4" xfId="20606" xr:uid="{60F7E04F-07A6-4B48-B80A-CA52320FB443}"/>
    <cellStyle name="20% - Accent6 2 3 4 2 5" xfId="12165" xr:uid="{6231B227-CFC5-4C16-9A86-9241A51700D3}"/>
    <cellStyle name="20% - Accent6 2 3 4 3" xfId="5788" xr:uid="{00000000-0005-0000-0000-000057030000}"/>
    <cellStyle name="20% - Accent6 2 3 4 3 2" xfId="31120" xr:uid="{1FCA52C5-15C2-4431-ACEB-B4089DE4EC35}"/>
    <cellStyle name="20% - Accent6 2 3 4 3 3" xfId="22679" xr:uid="{45495922-EBDC-4433-89C9-953D29A8146F}"/>
    <cellStyle name="20% - Accent6 2 3 4 3 4" xfId="14238" xr:uid="{0218D5A7-B2CD-4398-B4C6-F947DB0742B3}"/>
    <cellStyle name="20% - Accent6 2 3 4 4" xfId="26902" xr:uid="{7D0764C2-8A25-4C12-848E-096F451384A3}"/>
    <cellStyle name="20% - Accent6 2 3 4 5" xfId="18461" xr:uid="{82F3B52C-E3B5-4694-BA2B-ADE0CAEACB73}"/>
    <cellStyle name="20% - Accent6 2 3 4 6" xfId="10020" xr:uid="{6663313E-3D39-49AC-98D7-7D9C06CFC440}"/>
    <cellStyle name="20% - Accent6 2 3 5" xfId="1895" xr:uid="{00000000-0005-0000-0000-000058030000}"/>
    <cellStyle name="20% - Accent6 2 3 5 2" xfId="4124" xr:uid="{00000000-0005-0000-0000-000059030000}"/>
    <cellStyle name="20% - Accent6 2 3 5 2 2" xfId="8346" xr:uid="{00000000-0005-0000-0000-00005A030000}"/>
    <cellStyle name="20% - Accent6 2 3 5 2 2 2" xfId="33678" xr:uid="{AECB2020-923D-41D5-BE40-BB32571DBAF8}"/>
    <cellStyle name="20% - Accent6 2 3 5 2 2 3" xfId="25237" xr:uid="{00538A22-DF76-405C-A589-F26E2F9F134D}"/>
    <cellStyle name="20% - Accent6 2 3 5 2 2 4" xfId="16796" xr:uid="{7B0437B3-C5FF-4342-9539-692CFFF2D612}"/>
    <cellStyle name="20% - Accent6 2 3 5 2 3" xfId="29460" xr:uid="{12CD4EDC-016C-40E1-8362-6FA7E06C7782}"/>
    <cellStyle name="20% - Accent6 2 3 5 2 4" xfId="21019" xr:uid="{AE8DE79F-202F-46EC-AA2D-1644A65ED59E}"/>
    <cellStyle name="20% - Accent6 2 3 5 2 5" xfId="12578" xr:uid="{21BE56E9-DBE8-48CB-B9F2-F304943B36F9}"/>
    <cellStyle name="20% - Accent6 2 3 5 3" xfId="6201" xr:uid="{00000000-0005-0000-0000-00005B030000}"/>
    <cellStyle name="20% - Accent6 2 3 5 3 2" xfId="31533" xr:uid="{8E63DF2F-7689-479E-9889-178101C85C29}"/>
    <cellStyle name="20% - Accent6 2 3 5 3 3" xfId="23092" xr:uid="{AB6AAD7B-CFB6-4419-A4EC-B911ACD3A155}"/>
    <cellStyle name="20% - Accent6 2 3 5 3 4" xfId="14651" xr:uid="{1E7C1598-F446-4662-867A-682839B0BAFE}"/>
    <cellStyle name="20% - Accent6 2 3 5 4" xfId="27315" xr:uid="{8BE6F463-F253-4FFF-A573-EC3A0700B9A0}"/>
    <cellStyle name="20% - Accent6 2 3 5 5" xfId="18874" xr:uid="{4C8CCD4D-5C6E-42B9-9E6D-E2827B56471F}"/>
    <cellStyle name="20% - Accent6 2 3 5 6" xfId="10433" xr:uid="{FA15B366-C8B4-44D9-A022-BE0854BEE937}"/>
    <cellStyle name="20% - Accent6 2 3 6" xfId="2308" xr:uid="{00000000-0005-0000-0000-00005C030000}"/>
    <cellStyle name="20% - Accent6 2 3 6 2" xfId="6614" xr:uid="{00000000-0005-0000-0000-00005D030000}"/>
    <cellStyle name="20% - Accent6 2 3 6 2 2" xfId="31946" xr:uid="{CECFEADD-82C6-4BFB-8FD0-62F3411D7494}"/>
    <cellStyle name="20% - Accent6 2 3 6 2 3" xfId="23505" xr:uid="{38AE27C2-BD5A-4894-A616-7AFB2D4B10F6}"/>
    <cellStyle name="20% - Accent6 2 3 6 2 4" xfId="15064" xr:uid="{888BF1C8-F46F-407A-928E-44EF28801D0F}"/>
    <cellStyle name="20% - Accent6 2 3 6 3" xfId="27728" xr:uid="{364E1CD8-8E49-431B-8F99-592B7BED0EA5}"/>
    <cellStyle name="20% - Accent6 2 3 6 4" xfId="19287" xr:uid="{6F5E9AAA-5B5B-4BB1-8634-0CE3009FA426}"/>
    <cellStyle name="20% - Accent6 2 3 6 5" xfId="10846" xr:uid="{7B2BEBD9-A3D2-491B-B4DB-C43873AC3BEB}"/>
    <cellStyle name="20% - Accent6 2 3 7" xfId="4548" xr:uid="{00000000-0005-0000-0000-00005E030000}"/>
    <cellStyle name="20% - Accent6 2 3 7 2" xfId="29880" xr:uid="{293415D9-5B96-4D75-A121-DBE93FB86DB0}"/>
    <cellStyle name="20% - Accent6 2 3 7 3" xfId="21439" xr:uid="{02D1936C-006B-4CE7-8154-718EB628EAC9}"/>
    <cellStyle name="20% - Accent6 2 3 7 4" xfId="12998" xr:uid="{B9BB065E-C382-4112-99CE-F18B8B735D9D}"/>
    <cellStyle name="20% - Accent6 2 3 8" xfId="25662" xr:uid="{BF7D0977-DC6E-45B1-8C2F-E6424C09A6FF}"/>
    <cellStyle name="20% - Accent6 2 3 9" xfId="17221" xr:uid="{2A6C7743-D75E-4376-87AD-71CA4F16DA99}"/>
    <cellStyle name="20% - Accent6 2 4" xfId="611" xr:uid="{00000000-0005-0000-0000-00005F030000}"/>
    <cellStyle name="20% - Accent6 2 4 2" xfId="2882" xr:uid="{00000000-0005-0000-0000-000060030000}"/>
    <cellStyle name="20% - Accent6 2 4 2 2" xfId="7104" xr:uid="{00000000-0005-0000-0000-000061030000}"/>
    <cellStyle name="20% - Accent6 2 4 2 2 2" xfId="32436" xr:uid="{C0815788-F7F1-45EF-8786-62D566A2A7C7}"/>
    <cellStyle name="20% - Accent6 2 4 2 2 3" xfId="23995" xr:uid="{BF623446-C250-4175-8403-D7C5699B09DE}"/>
    <cellStyle name="20% - Accent6 2 4 2 2 4" xfId="15554" xr:uid="{461F2BCF-AC33-40F9-ADFD-733037599780}"/>
    <cellStyle name="20% - Accent6 2 4 2 3" xfId="28218" xr:uid="{FD9A4E87-2537-4989-AB79-41B9A25B4D9A}"/>
    <cellStyle name="20% - Accent6 2 4 2 4" xfId="19777" xr:uid="{05543E95-CD32-46E7-9D27-C9D0F004352D}"/>
    <cellStyle name="20% - Accent6 2 4 2 5" xfId="11336" xr:uid="{6250AC84-9C4D-4321-8382-D0A2ABF2FE60}"/>
    <cellStyle name="20% - Accent6 2 4 3" xfId="4959" xr:uid="{00000000-0005-0000-0000-000062030000}"/>
    <cellStyle name="20% - Accent6 2 4 3 2" xfId="30291" xr:uid="{A0BD7324-484B-42F8-9E37-577A98F7710E}"/>
    <cellStyle name="20% - Accent6 2 4 3 3" xfId="21850" xr:uid="{2CF46420-5D4F-4F26-BD29-31109DC37CBA}"/>
    <cellStyle name="20% - Accent6 2 4 3 4" xfId="13409" xr:uid="{38FE6CE0-91BB-4C00-AD2E-4AC853B55DC2}"/>
    <cellStyle name="20% - Accent6 2 4 4" xfId="26073" xr:uid="{E7619D00-916C-491A-B37C-3651A62C7D15}"/>
    <cellStyle name="20% - Accent6 2 4 5" xfId="17632" xr:uid="{FBF8CB39-2AD6-41FC-977D-6991A7CA2909}"/>
    <cellStyle name="20% - Accent6 2 4 6" xfId="9191" xr:uid="{105A4D4A-5C7B-444F-A8DD-88A98A17D863}"/>
    <cellStyle name="20% - Accent6 2 5" xfId="1064" xr:uid="{00000000-0005-0000-0000-000063030000}"/>
    <cellStyle name="20% - Accent6 2 5 2" xfId="3295" xr:uid="{00000000-0005-0000-0000-000064030000}"/>
    <cellStyle name="20% - Accent6 2 5 2 2" xfId="7517" xr:uid="{00000000-0005-0000-0000-000065030000}"/>
    <cellStyle name="20% - Accent6 2 5 2 2 2" xfId="32849" xr:uid="{C2FA807E-23CA-4F3F-99BB-4029F369169B}"/>
    <cellStyle name="20% - Accent6 2 5 2 2 3" xfId="24408" xr:uid="{0D34828C-7D50-4E6F-9351-53DA33370E11}"/>
    <cellStyle name="20% - Accent6 2 5 2 2 4" xfId="15967" xr:uid="{CAFD28CA-3386-4AF3-84BE-A83F5728D91C}"/>
    <cellStyle name="20% - Accent6 2 5 2 3" xfId="28631" xr:uid="{F106DA7C-04FC-44EE-B33D-5769B28EF1EF}"/>
    <cellStyle name="20% - Accent6 2 5 2 4" xfId="20190" xr:uid="{877BC4F1-D9B2-436C-9A3C-AD1789F46024}"/>
    <cellStyle name="20% - Accent6 2 5 2 5" xfId="11749" xr:uid="{26A555FB-B0E2-46CC-BD2A-B549FAFE17BF}"/>
    <cellStyle name="20% - Accent6 2 5 3" xfId="5372" xr:uid="{00000000-0005-0000-0000-000066030000}"/>
    <cellStyle name="20% - Accent6 2 5 3 2" xfId="30704" xr:uid="{58C256F3-F21D-4226-A0F1-9C12C3391F98}"/>
    <cellStyle name="20% - Accent6 2 5 3 3" xfId="22263" xr:uid="{5C45F18A-921F-478D-AD39-6E2772F5B2A2}"/>
    <cellStyle name="20% - Accent6 2 5 3 4" xfId="13822" xr:uid="{DA7FCA68-7106-4C1A-B3F9-2E7D80F2E214}"/>
    <cellStyle name="20% - Accent6 2 5 4" xfId="26486" xr:uid="{FA1F614A-2A57-4E6C-863C-99763FD47E2A}"/>
    <cellStyle name="20% - Accent6 2 5 5" xfId="18045" xr:uid="{07082C63-649D-421C-92BE-A08DFFFCFBF1}"/>
    <cellStyle name="20% - Accent6 2 5 6" xfId="9604" xr:uid="{9493F6A2-C0EB-4B33-8986-26F4F74178DC}"/>
    <cellStyle name="20% - Accent6 2 6" xfId="1478" xr:uid="{00000000-0005-0000-0000-000067030000}"/>
    <cellStyle name="20% - Accent6 2 6 2" xfId="3708" xr:uid="{00000000-0005-0000-0000-000068030000}"/>
    <cellStyle name="20% - Accent6 2 6 2 2" xfId="7930" xr:uid="{00000000-0005-0000-0000-000069030000}"/>
    <cellStyle name="20% - Accent6 2 6 2 2 2" xfId="33262" xr:uid="{0B683805-5D70-468F-9C85-00247C380BF9}"/>
    <cellStyle name="20% - Accent6 2 6 2 2 3" xfId="24821" xr:uid="{0767FA24-38F9-49AA-9D5D-C5CC1961E5F8}"/>
    <cellStyle name="20% - Accent6 2 6 2 2 4" xfId="16380" xr:uid="{22BF155C-EB58-45EA-A0D0-4901FCA5D473}"/>
    <cellStyle name="20% - Accent6 2 6 2 3" xfId="29044" xr:uid="{A98F7C72-9019-4182-8FD6-D7633FC5D04A}"/>
    <cellStyle name="20% - Accent6 2 6 2 4" xfId="20603" xr:uid="{FD32C343-413A-4126-9733-B76A913367BC}"/>
    <cellStyle name="20% - Accent6 2 6 2 5" xfId="12162" xr:uid="{B9F19B9D-6522-46FF-9FED-7ADDBF372877}"/>
    <cellStyle name="20% - Accent6 2 6 3" xfId="5785" xr:uid="{00000000-0005-0000-0000-00006A030000}"/>
    <cellStyle name="20% - Accent6 2 6 3 2" xfId="31117" xr:uid="{FF78DA9E-CADF-4292-884A-6929F01E8853}"/>
    <cellStyle name="20% - Accent6 2 6 3 3" xfId="22676" xr:uid="{BD00B9A5-05B8-479F-99F1-8419D9EA694C}"/>
    <cellStyle name="20% - Accent6 2 6 3 4" xfId="14235" xr:uid="{680EF131-9747-468A-AB01-0CBA323CBA34}"/>
    <cellStyle name="20% - Accent6 2 6 4" xfId="26899" xr:uid="{0A9F0452-D8B7-4266-860A-93BD287A65C2}"/>
    <cellStyle name="20% - Accent6 2 6 5" xfId="18458" xr:uid="{4A57E3EB-99AD-40EE-947D-3BA1E9F778A1}"/>
    <cellStyle name="20% - Accent6 2 6 6" xfId="10017" xr:uid="{6F0C4C0F-79E3-4975-A7AE-0B908AA57B05}"/>
    <cellStyle name="20% - Accent6 2 7" xfId="1892" xr:uid="{00000000-0005-0000-0000-00006B030000}"/>
    <cellStyle name="20% - Accent6 2 7 2" xfId="4121" xr:uid="{00000000-0005-0000-0000-00006C030000}"/>
    <cellStyle name="20% - Accent6 2 7 2 2" xfId="8343" xr:uid="{00000000-0005-0000-0000-00006D030000}"/>
    <cellStyle name="20% - Accent6 2 7 2 2 2" xfId="33675" xr:uid="{EF928DCA-A937-42CE-88A6-7FAF9E0A6E8C}"/>
    <cellStyle name="20% - Accent6 2 7 2 2 3" xfId="25234" xr:uid="{250C7492-F3D6-4BD7-8DD7-A15CC6F4A0F4}"/>
    <cellStyle name="20% - Accent6 2 7 2 2 4" xfId="16793" xr:uid="{7BAC379C-099A-494E-9091-B3539145A7CA}"/>
    <cellStyle name="20% - Accent6 2 7 2 3" xfId="29457" xr:uid="{C7348957-C36D-4F73-95C3-FF00EBA2E295}"/>
    <cellStyle name="20% - Accent6 2 7 2 4" xfId="21016" xr:uid="{106B9BD4-9879-4326-87C8-9C99EFB5AB1C}"/>
    <cellStyle name="20% - Accent6 2 7 2 5" xfId="12575" xr:uid="{9A6898B1-4CE3-4DD8-AA4D-AF8945F6A799}"/>
    <cellStyle name="20% - Accent6 2 7 3" xfId="6198" xr:uid="{00000000-0005-0000-0000-00006E030000}"/>
    <cellStyle name="20% - Accent6 2 7 3 2" xfId="31530" xr:uid="{7DE3BB9A-79C7-48A8-9ED0-17B30795EB74}"/>
    <cellStyle name="20% - Accent6 2 7 3 3" xfId="23089" xr:uid="{FBB034C1-DEE4-4FA6-833A-2596AEE1FB1B}"/>
    <cellStyle name="20% - Accent6 2 7 3 4" xfId="14648" xr:uid="{5112DF05-FBEF-4FCA-9244-4FF64FB06700}"/>
    <cellStyle name="20% - Accent6 2 7 4" xfId="27312" xr:uid="{A55F6CFF-C3EA-4D5C-A151-201794F326E5}"/>
    <cellStyle name="20% - Accent6 2 7 5" xfId="18871" xr:uid="{F5EFC718-7CFE-4253-A0F8-07A2430E642B}"/>
    <cellStyle name="20% - Accent6 2 7 6" xfId="10430" xr:uid="{DBC6775A-3B6C-4C70-9365-849C55EDEF96}"/>
    <cellStyle name="20% - Accent6 2 8" xfId="2305" xr:uid="{00000000-0005-0000-0000-00006F030000}"/>
    <cellStyle name="20% - Accent6 2 8 2" xfId="6611" xr:uid="{00000000-0005-0000-0000-000070030000}"/>
    <cellStyle name="20% - Accent6 2 8 2 2" xfId="31943" xr:uid="{A114EFEC-1B71-43AC-ACE8-248036A57072}"/>
    <cellStyle name="20% - Accent6 2 8 2 3" xfId="23502" xr:uid="{F1C3860F-F178-4F5C-BC90-1E86C457E688}"/>
    <cellStyle name="20% - Accent6 2 8 2 4" xfId="15061" xr:uid="{8807B8ED-EF32-4DD1-B441-92499402349C}"/>
    <cellStyle name="20% - Accent6 2 8 3" xfId="27725" xr:uid="{549BF070-DF50-4F4F-801D-0FCAAB352CEA}"/>
    <cellStyle name="20% - Accent6 2 8 4" xfId="19284" xr:uid="{D59B5699-7CA9-4CD5-B8E1-F976033A1FD8}"/>
    <cellStyle name="20% - Accent6 2 8 5" xfId="10843" xr:uid="{64A67EBE-2B90-4D9F-AF53-B45F71D17F4B}"/>
    <cellStyle name="20% - Accent6 2 9" xfId="4545" xr:uid="{00000000-0005-0000-0000-000071030000}"/>
    <cellStyle name="20% - Accent6 2 9 2" xfId="29877" xr:uid="{B99A5CB9-89F6-4A2F-B525-D16AD4565F4B}"/>
    <cellStyle name="20% - Accent6 2 9 3" xfId="21436" xr:uid="{0C09E125-6B7B-460F-BB42-AA29DFE39718}"/>
    <cellStyle name="20% - Accent6 2 9 4" xfId="12995" xr:uid="{1D505565-120B-4D84-879E-32A60A3E4F16}"/>
    <cellStyle name="20% - Accent6 3" xfId="46" xr:uid="{00000000-0005-0000-0000-000072030000}"/>
    <cellStyle name="20% - Accent6 3 10" xfId="17222" xr:uid="{CB6F5749-61DB-4023-BD6C-A02CB256962A}"/>
    <cellStyle name="20% - Accent6 3 11" xfId="8781" xr:uid="{AC257CB2-4F9E-476A-8586-F22179D2DCD6}"/>
    <cellStyle name="20% - Accent6 3 2" xfId="47" xr:uid="{00000000-0005-0000-0000-000073030000}"/>
    <cellStyle name="20% - Accent6 3 2 10" xfId="8782" xr:uid="{77D6023F-54E8-400A-9981-189CDAD8DB05}"/>
    <cellStyle name="20% - Accent6 3 2 2" xfId="616" xr:uid="{00000000-0005-0000-0000-000074030000}"/>
    <cellStyle name="20% - Accent6 3 2 2 2" xfId="2887" xr:uid="{00000000-0005-0000-0000-000075030000}"/>
    <cellStyle name="20% - Accent6 3 2 2 2 2" xfId="7109" xr:uid="{00000000-0005-0000-0000-000076030000}"/>
    <cellStyle name="20% - Accent6 3 2 2 2 2 2" xfId="32441" xr:uid="{C02AC5EC-3FAA-42F5-91E4-47B5CD171A9A}"/>
    <cellStyle name="20% - Accent6 3 2 2 2 2 3" xfId="24000" xr:uid="{6FFE3969-A4CB-4EAD-A0E2-FB0F293DBA4D}"/>
    <cellStyle name="20% - Accent6 3 2 2 2 2 4" xfId="15559" xr:uid="{DE13BA53-EA5F-471D-95A7-1DE8034FEF00}"/>
    <cellStyle name="20% - Accent6 3 2 2 2 3" xfId="28223" xr:uid="{03A28A4C-4C3D-412F-BC08-1E8E07A68362}"/>
    <cellStyle name="20% - Accent6 3 2 2 2 4" xfId="19782" xr:uid="{1E0ED39E-8C98-4834-8941-90CD3B6F8812}"/>
    <cellStyle name="20% - Accent6 3 2 2 2 5" xfId="11341" xr:uid="{2CF9A84E-0CB1-4485-B50F-75819855F3FB}"/>
    <cellStyle name="20% - Accent6 3 2 2 3" xfId="4964" xr:uid="{00000000-0005-0000-0000-000077030000}"/>
    <cellStyle name="20% - Accent6 3 2 2 3 2" xfId="30296" xr:uid="{72981042-3AE3-49B4-B891-A0AB38ED3E21}"/>
    <cellStyle name="20% - Accent6 3 2 2 3 3" xfId="21855" xr:uid="{1D59AF2B-71B7-4299-9D9A-34A32BFB6407}"/>
    <cellStyle name="20% - Accent6 3 2 2 3 4" xfId="13414" xr:uid="{48EFAC47-C36F-40AE-A375-5EFABEAB320D}"/>
    <cellStyle name="20% - Accent6 3 2 2 4" xfId="26078" xr:uid="{5BF21EFB-1807-4C02-83F5-0C3E2DF7082D}"/>
    <cellStyle name="20% - Accent6 3 2 2 5" xfId="17637" xr:uid="{6C6531B4-3C1A-4A1A-BA92-6BF55D11F920}"/>
    <cellStyle name="20% - Accent6 3 2 2 6" xfId="9196" xr:uid="{C690581C-EB63-4A55-AFC2-34B81D4C8C3C}"/>
    <cellStyle name="20% - Accent6 3 2 3" xfId="1069" xr:uid="{00000000-0005-0000-0000-000078030000}"/>
    <cellStyle name="20% - Accent6 3 2 3 2" xfId="3300" xr:uid="{00000000-0005-0000-0000-000079030000}"/>
    <cellStyle name="20% - Accent6 3 2 3 2 2" xfId="7522" xr:uid="{00000000-0005-0000-0000-00007A030000}"/>
    <cellStyle name="20% - Accent6 3 2 3 2 2 2" xfId="32854" xr:uid="{54ED577F-DBFC-43E9-9213-93CBE114A1D5}"/>
    <cellStyle name="20% - Accent6 3 2 3 2 2 3" xfId="24413" xr:uid="{986E83BB-DA7A-417F-85D7-22488898139B}"/>
    <cellStyle name="20% - Accent6 3 2 3 2 2 4" xfId="15972" xr:uid="{CE7DB424-152F-41C5-94AC-172E289EB65C}"/>
    <cellStyle name="20% - Accent6 3 2 3 2 3" xfId="28636" xr:uid="{DCBAE950-F2F0-4684-80CA-E6E634D8746B}"/>
    <cellStyle name="20% - Accent6 3 2 3 2 4" xfId="20195" xr:uid="{7BF883C8-FA13-451B-9F16-6E59F222EF5F}"/>
    <cellStyle name="20% - Accent6 3 2 3 2 5" xfId="11754" xr:uid="{87507E24-B4E4-4153-932C-3EC2FFC3A49E}"/>
    <cellStyle name="20% - Accent6 3 2 3 3" xfId="5377" xr:uid="{00000000-0005-0000-0000-00007B030000}"/>
    <cellStyle name="20% - Accent6 3 2 3 3 2" xfId="30709" xr:uid="{26977763-BFD2-47FC-932A-8003DB664EEC}"/>
    <cellStyle name="20% - Accent6 3 2 3 3 3" xfId="22268" xr:uid="{385C7A98-963D-4AE0-9F7D-C4B83C601E3D}"/>
    <cellStyle name="20% - Accent6 3 2 3 3 4" xfId="13827" xr:uid="{56F5A731-7F75-43EA-88F6-DC1354DEF8F1}"/>
    <cellStyle name="20% - Accent6 3 2 3 4" xfId="26491" xr:uid="{ECF823CE-8B6E-429B-A380-E6E75FA64D43}"/>
    <cellStyle name="20% - Accent6 3 2 3 5" xfId="18050" xr:uid="{7C6CCA97-B137-4FD4-A0E8-E5D0BF450343}"/>
    <cellStyle name="20% - Accent6 3 2 3 6" xfId="9609" xr:uid="{CEC87007-2844-4FA8-A9DE-B74EF68EC6E9}"/>
    <cellStyle name="20% - Accent6 3 2 4" xfId="1483" xr:uid="{00000000-0005-0000-0000-00007C030000}"/>
    <cellStyle name="20% - Accent6 3 2 4 2" xfId="3713" xr:uid="{00000000-0005-0000-0000-00007D030000}"/>
    <cellStyle name="20% - Accent6 3 2 4 2 2" xfId="7935" xr:uid="{00000000-0005-0000-0000-00007E030000}"/>
    <cellStyle name="20% - Accent6 3 2 4 2 2 2" xfId="33267" xr:uid="{7A0DC993-B022-4E27-9029-355DD9CBB9ED}"/>
    <cellStyle name="20% - Accent6 3 2 4 2 2 3" xfId="24826" xr:uid="{7F736A82-479D-4395-B3AC-D43FAB447E22}"/>
    <cellStyle name="20% - Accent6 3 2 4 2 2 4" xfId="16385" xr:uid="{1D29527E-24C2-4590-A6F9-9FB277437A9E}"/>
    <cellStyle name="20% - Accent6 3 2 4 2 3" xfId="29049" xr:uid="{99E33B3F-2E0F-4B50-B6A5-CAD484C6EC81}"/>
    <cellStyle name="20% - Accent6 3 2 4 2 4" xfId="20608" xr:uid="{BBACB8E9-5928-4152-A4DF-70F8773B70DD}"/>
    <cellStyle name="20% - Accent6 3 2 4 2 5" xfId="12167" xr:uid="{D8DC8226-77DD-4545-B7A5-85509339B5AF}"/>
    <cellStyle name="20% - Accent6 3 2 4 3" xfId="5790" xr:uid="{00000000-0005-0000-0000-00007F030000}"/>
    <cellStyle name="20% - Accent6 3 2 4 3 2" xfId="31122" xr:uid="{DC09EEEF-575B-48B6-8F16-4F1AEB9D93A4}"/>
    <cellStyle name="20% - Accent6 3 2 4 3 3" xfId="22681" xr:uid="{C92BD7E2-A3D0-4EAE-BCE3-149F06BBA185}"/>
    <cellStyle name="20% - Accent6 3 2 4 3 4" xfId="14240" xr:uid="{D7F3B3CD-405E-468D-A8B1-F6794CA035AB}"/>
    <cellStyle name="20% - Accent6 3 2 4 4" xfId="26904" xr:uid="{F3F7ECDD-E96F-4017-9F8B-74CC6A312F18}"/>
    <cellStyle name="20% - Accent6 3 2 4 5" xfId="18463" xr:uid="{8B317996-2AA1-4472-B071-986C519DF1BF}"/>
    <cellStyle name="20% - Accent6 3 2 4 6" xfId="10022" xr:uid="{DEBA2519-086F-48DD-B3A7-C0D53C8D228F}"/>
    <cellStyle name="20% - Accent6 3 2 5" xfId="1897" xr:uid="{00000000-0005-0000-0000-000080030000}"/>
    <cellStyle name="20% - Accent6 3 2 5 2" xfId="4126" xr:uid="{00000000-0005-0000-0000-000081030000}"/>
    <cellStyle name="20% - Accent6 3 2 5 2 2" xfId="8348" xr:uid="{00000000-0005-0000-0000-000082030000}"/>
    <cellStyle name="20% - Accent6 3 2 5 2 2 2" xfId="33680" xr:uid="{157694A5-87A1-4175-82F4-1A7128C07FF6}"/>
    <cellStyle name="20% - Accent6 3 2 5 2 2 3" xfId="25239" xr:uid="{F6AB0487-3010-495D-9A92-75935702D9EA}"/>
    <cellStyle name="20% - Accent6 3 2 5 2 2 4" xfId="16798" xr:uid="{EDC660E0-FCF7-4F7B-A13D-64DAA5264F5B}"/>
    <cellStyle name="20% - Accent6 3 2 5 2 3" xfId="29462" xr:uid="{78AE3BED-B0EB-487F-A3C8-4E0CA5D7B626}"/>
    <cellStyle name="20% - Accent6 3 2 5 2 4" xfId="21021" xr:uid="{8819A830-C8C9-4FB1-99B5-178C374ED3BF}"/>
    <cellStyle name="20% - Accent6 3 2 5 2 5" xfId="12580" xr:uid="{4C9EDD43-D623-46DB-AA4F-1BAD34F6BE8D}"/>
    <cellStyle name="20% - Accent6 3 2 5 3" xfId="6203" xr:uid="{00000000-0005-0000-0000-000083030000}"/>
    <cellStyle name="20% - Accent6 3 2 5 3 2" xfId="31535" xr:uid="{C1CC1ACA-7A88-477B-B7F1-14AC53A6F9CD}"/>
    <cellStyle name="20% - Accent6 3 2 5 3 3" xfId="23094" xr:uid="{AD1F70C2-3DA9-4BBD-91ED-8B6CC83B6964}"/>
    <cellStyle name="20% - Accent6 3 2 5 3 4" xfId="14653" xr:uid="{C2F16A49-0D10-4D49-96CE-F18FC13B64A0}"/>
    <cellStyle name="20% - Accent6 3 2 5 4" xfId="27317" xr:uid="{BE796FD3-F8A8-491E-9336-4CF87217C829}"/>
    <cellStyle name="20% - Accent6 3 2 5 5" xfId="18876" xr:uid="{47A7CF68-0FD0-488C-B243-4D5EFD4B8868}"/>
    <cellStyle name="20% - Accent6 3 2 5 6" xfId="10435" xr:uid="{F1C387A8-671F-4746-B730-39ED997CAA52}"/>
    <cellStyle name="20% - Accent6 3 2 6" xfId="2310" xr:uid="{00000000-0005-0000-0000-000084030000}"/>
    <cellStyle name="20% - Accent6 3 2 6 2" xfId="6616" xr:uid="{00000000-0005-0000-0000-000085030000}"/>
    <cellStyle name="20% - Accent6 3 2 6 2 2" xfId="31948" xr:uid="{F2E375ED-57AA-43A6-9ABE-3B2DB40BCDC6}"/>
    <cellStyle name="20% - Accent6 3 2 6 2 3" xfId="23507" xr:uid="{8C54179A-638B-4E97-B912-4DDDEA8361F2}"/>
    <cellStyle name="20% - Accent6 3 2 6 2 4" xfId="15066" xr:uid="{8C7E5C72-CA2B-4EE2-80C7-82FC3D1A6DF9}"/>
    <cellStyle name="20% - Accent6 3 2 6 3" xfId="27730" xr:uid="{E997288C-D857-4F0C-8FFC-DAC65FB86C0A}"/>
    <cellStyle name="20% - Accent6 3 2 6 4" xfId="19289" xr:uid="{E16F62F5-3852-4201-915E-65286C8F5146}"/>
    <cellStyle name="20% - Accent6 3 2 6 5" xfId="10848" xr:uid="{D0AF1055-0BDA-429F-8E69-49DF4F6CF283}"/>
    <cellStyle name="20% - Accent6 3 2 7" xfId="4550" xr:uid="{00000000-0005-0000-0000-000086030000}"/>
    <cellStyle name="20% - Accent6 3 2 7 2" xfId="29882" xr:uid="{941D2530-21FE-4297-AAA1-ACD926663B9C}"/>
    <cellStyle name="20% - Accent6 3 2 7 3" xfId="21441" xr:uid="{DE592CE9-0FED-4AD9-8328-A82BE39C2654}"/>
    <cellStyle name="20% - Accent6 3 2 7 4" xfId="13000" xr:uid="{8E4F141A-5263-4622-8A4B-DCAC8F837C91}"/>
    <cellStyle name="20% - Accent6 3 2 8" xfId="25664" xr:uid="{D3F95890-84A0-4138-973A-1897BBC8DCA9}"/>
    <cellStyle name="20% - Accent6 3 2 9" xfId="17223" xr:uid="{DC582C49-9F5E-4282-9985-AE0540A1D455}"/>
    <cellStyle name="20% - Accent6 3 3" xfId="615" xr:uid="{00000000-0005-0000-0000-000087030000}"/>
    <cellStyle name="20% - Accent6 3 3 2" xfId="2886" xr:uid="{00000000-0005-0000-0000-000088030000}"/>
    <cellStyle name="20% - Accent6 3 3 2 2" xfId="7108" xr:uid="{00000000-0005-0000-0000-000089030000}"/>
    <cellStyle name="20% - Accent6 3 3 2 2 2" xfId="32440" xr:uid="{010662B7-50A5-44CB-9EB2-8B5D67744480}"/>
    <cellStyle name="20% - Accent6 3 3 2 2 3" xfId="23999" xr:uid="{3BD0A0A0-7E62-405B-8CA3-DEA5017C6146}"/>
    <cellStyle name="20% - Accent6 3 3 2 2 4" xfId="15558" xr:uid="{4F0BCF01-335A-4BF6-835C-ACFAB4E5F7EB}"/>
    <cellStyle name="20% - Accent6 3 3 2 3" xfId="28222" xr:uid="{6A40AD13-624C-42FB-8769-3093AF8ECFF6}"/>
    <cellStyle name="20% - Accent6 3 3 2 4" xfId="19781" xr:uid="{30199D6A-8C9E-404E-8C53-95B0C90F44FB}"/>
    <cellStyle name="20% - Accent6 3 3 2 5" xfId="11340" xr:uid="{5A66F022-8707-46D7-BF50-38F4B8ABF633}"/>
    <cellStyle name="20% - Accent6 3 3 3" xfId="4963" xr:uid="{00000000-0005-0000-0000-00008A030000}"/>
    <cellStyle name="20% - Accent6 3 3 3 2" xfId="30295" xr:uid="{DB78233E-8314-471F-8304-481A322B5C97}"/>
    <cellStyle name="20% - Accent6 3 3 3 3" xfId="21854" xr:uid="{A2B09477-CF85-4F81-9EB0-072EF02312A3}"/>
    <cellStyle name="20% - Accent6 3 3 3 4" xfId="13413" xr:uid="{50CBED9F-17DC-4683-971E-707CF68414DF}"/>
    <cellStyle name="20% - Accent6 3 3 4" xfId="26077" xr:uid="{B8E51B2F-6B8A-4854-9DBD-43CFFDAC814F}"/>
    <cellStyle name="20% - Accent6 3 3 5" xfId="17636" xr:uid="{8DA57793-CF3F-4A51-87A5-61AACEDD25FF}"/>
    <cellStyle name="20% - Accent6 3 3 6" xfId="9195" xr:uid="{4E6B2EB2-D642-4197-A679-4414A0A11427}"/>
    <cellStyle name="20% - Accent6 3 4" xfId="1068" xr:uid="{00000000-0005-0000-0000-00008B030000}"/>
    <cellStyle name="20% - Accent6 3 4 2" xfId="3299" xr:uid="{00000000-0005-0000-0000-00008C030000}"/>
    <cellStyle name="20% - Accent6 3 4 2 2" xfId="7521" xr:uid="{00000000-0005-0000-0000-00008D030000}"/>
    <cellStyle name="20% - Accent6 3 4 2 2 2" xfId="32853" xr:uid="{5EAEE3ED-4628-456B-995F-99A74F727FBB}"/>
    <cellStyle name="20% - Accent6 3 4 2 2 3" xfId="24412" xr:uid="{81A27070-161A-4C3D-A89B-4E4F25A1D400}"/>
    <cellStyle name="20% - Accent6 3 4 2 2 4" xfId="15971" xr:uid="{18BBE3EA-0ADD-48EA-AACB-671EF7707EFA}"/>
    <cellStyle name="20% - Accent6 3 4 2 3" xfId="28635" xr:uid="{50C51527-4C90-46F0-9D4B-AF778BA9A6A9}"/>
    <cellStyle name="20% - Accent6 3 4 2 4" xfId="20194" xr:uid="{11B659D2-D32E-4C82-A88C-2E6D740A224C}"/>
    <cellStyle name="20% - Accent6 3 4 2 5" xfId="11753" xr:uid="{E360F849-0EE3-4F68-9476-A34E335A4DA5}"/>
    <cellStyle name="20% - Accent6 3 4 3" xfId="5376" xr:uid="{00000000-0005-0000-0000-00008E030000}"/>
    <cellStyle name="20% - Accent6 3 4 3 2" xfId="30708" xr:uid="{F69DDA0A-B031-46A2-81D6-AE2D9E593295}"/>
    <cellStyle name="20% - Accent6 3 4 3 3" xfId="22267" xr:uid="{366B9454-5E69-41F7-AA15-73B562F56286}"/>
    <cellStyle name="20% - Accent6 3 4 3 4" xfId="13826" xr:uid="{8B8767E5-D5AB-471E-B49B-3D2E398F041C}"/>
    <cellStyle name="20% - Accent6 3 4 4" xfId="26490" xr:uid="{D25FCC8D-EEE3-4DD9-A7E1-5E6F47D3788D}"/>
    <cellStyle name="20% - Accent6 3 4 5" xfId="18049" xr:uid="{73EDECB4-589C-4227-BBDF-436576982322}"/>
    <cellStyle name="20% - Accent6 3 4 6" xfId="9608" xr:uid="{DF366D18-AEAF-4E81-8619-9EE521DE01CF}"/>
    <cellStyle name="20% - Accent6 3 5" xfId="1482" xr:uid="{00000000-0005-0000-0000-00008F030000}"/>
    <cellStyle name="20% - Accent6 3 5 2" xfId="3712" xr:uid="{00000000-0005-0000-0000-000090030000}"/>
    <cellStyle name="20% - Accent6 3 5 2 2" xfId="7934" xr:uid="{00000000-0005-0000-0000-000091030000}"/>
    <cellStyle name="20% - Accent6 3 5 2 2 2" xfId="33266" xr:uid="{A5157982-064A-45DE-B817-F14C7F6FDE06}"/>
    <cellStyle name="20% - Accent6 3 5 2 2 3" xfId="24825" xr:uid="{F12EA74E-D963-49D1-87B4-4FD7C961115C}"/>
    <cellStyle name="20% - Accent6 3 5 2 2 4" xfId="16384" xr:uid="{F061134E-21E7-4044-BA71-8C7AD1F0B336}"/>
    <cellStyle name="20% - Accent6 3 5 2 3" xfId="29048" xr:uid="{8AA42B8C-73FC-4C12-A87E-5F0F8C1892E0}"/>
    <cellStyle name="20% - Accent6 3 5 2 4" xfId="20607" xr:uid="{349257D8-0007-4AF0-85EE-39BC2D064B45}"/>
    <cellStyle name="20% - Accent6 3 5 2 5" xfId="12166" xr:uid="{5B248DBF-6B79-4AC1-8E17-B868D84289FB}"/>
    <cellStyle name="20% - Accent6 3 5 3" xfId="5789" xr:uid="{00000000-0005-0000-0000-000092030000}"/>
    <cellStyle name="20% - Accent6 3 5 3 2" xfId="31121" xr:uid="{82DB7B6C-2D90-4856-8461-D6480E2813DD}"/>
    <cellStyle name="20% - Accent6 3 5 3 3" xfId="22680" xr:uid="{966D1580-AE56-402F-A63C-772935667E0A}"/>
    <cellStyle name="20% - Accent6 3 5 3 4" xfId="14239" xr:uid="{2FC0C7AB-2CEE-4A29-8F21-987E1A87D49B}"/>
    <cellStyle name="20% - Accent6 3 5 4" xfId="26903" xr:uid="{695D4C3B-45B2-421B-A2C0-64CE90942C10}"/>
    <cellStyle name="20% - Accent6 3 5 5" xfId="18462" xr:uid="{6438128A-1CB2-41A3-A87F-111E4DD139A5}"/>
    <cellStyle name="20% - Accent6 3 5 6" xfId="10021" xr:uid="{2A1340C6-4200-4937-87B1-3FAFFF2FE7AA}"/>
    <cellStyle name="20% - Accent6 3 6" xfId="1896" xr:uid="{00000000-0005-0000-0000-000093030000}"/>
    <cellStyle name="20% - Accent6 3 6 2" xfId="4125" xr:uid="{00000000-0005-0000-0000-000094030000}"/>
    <cellStyle name="20% - Accent6 3 6 2 2" xfId="8347" xr:uid="{00000000-0005-0000-0000-000095030000}"/>
    <cellStyle name="20% - Accent6 3 6 2 2 2" xfId="33679" xr:uid="{77E7ED74-C77E-4717-86FD-A497C291202F}"/>
    <cellStyle name="20% - Accent6 3 6 2 2 3" xfId="25238" xr:uid="{6CDEC6BE-9BC0-442B-9078-AAE961EDCF2A}"/>
    <cellStyle name="20% - Accent6 3 6 2 2 4" xfId="16797" xr:uid="{98F64E8F-8802-447D-A547-728900AF8458}"/>
    <cellStyle name="20% - Accent6 3 6 2 3" xfId="29461" xr:uid="{16DB9CE5-AAA2-485C-A608-3637B14A9EE8}"/>
    <cellStyle name="20% - Accent6 3 6 2 4" xfId="21020" xr:uid="{9678A453-87F1-4DE6-A4D7-314513FE0201}"/>
    <cellStyle name="20% - Accent6 3 6 2 5" xfId="12579" xr:uid="{CF515CB1-A4DF-47FA-862E-5B54634843E0}"/>
    <cellStyle name="20% - Accent6 3 6 3" xfId="6202" xr:uid="{00000000-0005-0000-0000-000096030000}"/>
    <cellStyle name="20% - Accent6 3 6 3 2" xfId="31534" xr:uid="{7CBE5EC5-F6AA-48FF-8247-6B2DDFBBC709}"/>
    <cellStyle name="20% - Accent6 3 6 3 3" xfId="23093" xr:uid="{8394F547-21C4-4392-A840-448617E9D5D6}"/>
    <cellStyle name="20% - Accent6 3 6 3 4" xfId="14652" xr:uid="{96E94973-42AF-408C-897B-64A954D78C6B}"/>
    <cellStyle name="20% - Accent6 3 6 4" xfId="27316" xr:uid="{3749B2EF-15D7-4164-B866-C6E046ADFF7F}"/>
    <cellStyle name="20% - Accent6 3 6 5" xfId="18875" xr:uid="{E55F2041-9274-4584-8C1E-085F99372C2B}"/>
    <cellStyle name="20% - Accent6 3 6 6" xfId="10434" xr:uid="{DF23415C-DAF1-4ACC-BFCF-51B1730C00D9}"/>
    <cellStyle name="20% - Accent6 3 7" xfId="2309" xr:uid="{00000000-0005-0000-0000-000097030000}"/>
    <cellStyle name="20% - Accent6 3 7 2" xfId="6615" xr:uid="{00000000-0005-0000-0000-000098030000}"/>
    <cellStyle name="20% - Accent6 3 7 2 2" xfId="31947" xr:uid="{774AC156-A6F5-477A-8BCF-4F5FAB4EBC5C}"/>
    <cellStyle name="20% - Accent6 3 7 2 3" xfId="23506" xr:uid="{DC0F6253-036F-4486-BBB4-2B221C05B673}"/>
    <cellStyle name="20% - Accent6 3 7 2 4" xfId="15065" xr:uid="{96B5C588-0139-4CB0-98DF-972D03D4BFF9}"/>
    <cellStyle name="20% - Accent6 3 7 3" xfId="27729" xr:uid="{273E1E38-1646-49C9-9C42-A6B0788CA404}"/>
    <cellStyle name="20% - Accent6 3 7 4" xfId="19288" xr:uid="{FADFA005-9E86-4FEE-80BC-8374456D0B88}"/>
    <cellStyle name="20% - Accent6 3 7 5" xfId="10847" xr:uid="{21014E73-9C1B-498F-AC9B-3C66F82792A4}"/>
    <cellStyle name="20% - Accent6 3 8" xfId="4549" xr:uid="{00000000-0005-0000-0000-000099030000}"/>
    <cellStyle name="20% - Accent6 3 8 2" xfId="29881" xr:uid="{8C5FF767-C043-40BF-BB6F-403FB2EEBC59}"/>
    <cellStyle name="20% - Accent6 3 8 3" xfId="21440" xr:uid="{EB00A340-8C05-402B-99C8-8A5916417CFD}"/>
    <cellStyle name="20% - Accent6 3 8 4" xfId="12999" xr:uid="{01642999-F698-47F2-893C-8D3AB3D61E12}"/>
    <cellStyle name="20% - Accent6 3 9" xfId="25663" xr:uid="{05DDCE49-C514-4877-9C5B-B3F4791F196A}"/>
    <cellStyle name="20% - Accent6 4" xfId="48" xr:uid="{00000000-0005-0000-0000-00009A030000}"/>
    <cellStyle name="20% - Accent6 4 10" xfId="8783" xr:uid="{0523A928-F758-4CF0-9AD3-7E185A39823B}"/>
    <cellStyle name="20% - Accent6 4 2" xfId="617" xr:uid="{00000000-0005-0000-0000-00009B030000}"/>
    <cellStyle name="20% - Accent6 4 2 2" xfId="2888" xr:uid="{00000000-0005-0000-0000-00009C030000}"/>
    <cellStyle name="20% - Accent6 4 2 2 2" xfId="7110" xr:uid="{00000000-0005-0000-0000-00009D030000}"/>
    <cellStyle name="20% - Accent6 4 2 2 2 2" xfId="32442" xr:uid="{2F4D2D9D-888C-451F-8DA8-2A2BF12C3BEC}"/>
    <cellStyle name="20% - Accent6 4 2 2 2 3" xfId="24001" xr:uid="{AD8187E8-98F4-4165-8527-4B5A9106CE7D}"/>
    <cellStyle name="20% - Accent6 4 2 2 2 4" xfId="15560" xr:uid="{05E69F43-F106-4D5B-A2A7-D757E8EE93F9}"/>
    <cellStyle name="20% - Accent6 4 2 2 3" xfId="28224" xr:uid="{489A98C7-C4C9-45BA-A485-A302AEDA9021}"/>
    <cellStyle name="20% - Accent6 4 2 2 4" xfId="19783" xr:uid="{F9D6037D-38A7-41E8-99D4-04DE2B93B096}"/>
    <cellStyle name="20% - Accent6 4 2 2 5" xfId="11342" xr:uid="{2ECFB08A-1D48-4D0A-BEE3-FD5E2C25CFC6}"/>
    <cellStyle name="20% - Accent6 4 2 3" xfId="4965" xr:uid="{00000000-0005-0000-0000-00009E030000}"/>
    <cellStyle name="20% - Accent6 4 2 3 2" xfId="30297" xr:uid="{61918DD1-D390-4F4F-89BC-B6A4DCF4EDD7}"/>
    <cellStyle name="20% - Accent6 4 2 3 3" xfId="21856" xr:uid="{E375B735-409B-4E78-8CF7-1356C4F5C54E}"/>
    <cellStyle name="20% - Accent6 4 2 3 4" xfId="13415" xr:uid="{144AF22E-B0FA-4AD5-BAF1-F10710D7EB3C}"/>
    <cellStyle name="20% - Accent6 4 2 4" xfId="26079" xr:uid="{F0E61A3F-946D-410A-BBC1-2BE85ADF9EEE}"/>
    <cellStyle name="20% - Accent6 4 2 5" xfId="17638" xr:uid="{9B731F23-BE1C-48CE-B710-F4597113C805}"/>
    <cellStyle name="20% - Accent6 4 2 6" xfId="9197" xr:uid="{A83BE887-2E79-42FD-A8B1-3A889B05932F}"/>
    <cellStyle name="20% - Accent6 4 3" xfId="1070" xr:uid="{00000000-0005-0000-0000-00009F030000}"/>
    <cellStyle name="20% - Accent6 4 3 2" xfId="3301" xr:uid="{00000000-0005-0000-0000-0000A0030000}"/>
    <cellStyle name="20% - Accent6 4 3 2 2" xfId="7523" xr:uid="{00000000-0005-0000-0000-0000A1030000}"/>
    <cellStyle name="20% - Accent6 4 3 2 2 2" xfId="32855" xr:uid="{596BC088-9A4C-4B2D-9350-8BC521ED7625}"/>
    <cellStyle name="20% - Accent6 4 3 2 2 3" xfId="24414" xr:uid="{FA4F99CF-0223-4E54-86CA-4B0E0DF65BA2}"/>
    <cellStyle name="20% - Accent6 4 3 2 2 4" xfId="15973" xr:uid="{0F5184A8-31D7-4D5C-9473-9714BF401A12}"/>
    <cellStyle name="20% - Accent6 4 3 2 3" xfId="28637" xr:uid="{35DBCCF2-A2B5-4D9B-B270-624AD7245721}"/>
    <cellStyle name="20% - Accent6 4 3 2 4" xfId="20196" xr:uid="{23340CE5-5C51-4C5C-87FA-A4C8C8E907CE}"/>
    <cellStyle name="20% - Accent6 4 3 2 5" xfId="11755" xr:uid="{438E2727-9CCF-4008-AAC8-69A4E845963C}"/>
    <cellStyle name="20% - Accent6 4 3 3" xfId="5378" xr:uid="{00000000-0005-0000-0000-0000A2030000}"/>
    <cellStyle name="20% - Accent6 4 3 3 2" xfId="30710" xr:uid="{9B95120E-9FDF-4CC1-8318-0CF39485EE8E}"/>
    <cellStyle name="20% - Accent6 4 3 3 3" xfId="22269" xr:uid="{6F07F25B-6689-439E-9BBB-5E14C8B31498}"/>
    <cellStyle name="20% - Accent6 4 3 3 4" xfId="13828" xr:uid="{7451F075-77CD-47A1-B9DC-900F2E6562D5}"/>
    <cellStyle name="20% - Accent6 4 3 4" xfId="26492" xr:uid="{4E206D5B-37D1-4467-8722-273B3B74C2DB}"/>
    <cellStyle name="20% - Accent6 4 3 5" xfId="18051" xr:uid="{0021EE9A-6827-47AA-A5AD-1F9DEA04DD9C}"/>
    <cellStyle name="20% - Accent6 4 3 6" xfId="9610" xr:uid="{FA222FB9-D1C8-4537-A752-FDB396002172}"/>
    <cellStyle name="20% - Accent6 4 4" xfId="1484" xr:uid="{00000000-0005-0000-0000-0000A3030000}"/>
    <cellStyle name="20% - Accent6 4 4 2" xfId="3714" xr:uid="{00000000-0005-0000-0000-0000A4030000}"/>
    <cellStyle name="20% - Accent6 4 4 2 2" xfId="7936" xr:uid="{00000000-0005-0000-0000-0000A5030000}"/>
    <cellStyle name="20% - Accent6 4 4 2 2 2" xfId="33268" xr:uid="{4D68A60B-6405-4C7E-83B4-ABD8EF77300A}"/>
    <cellStyle name="20% - Accent6 4 4 2 2 3" xfId="24827" xr:uid="{E3AC52E8-6B29-4FBD-B8F2-38B20F126573}"/>
    <cellStyle name="20% - Accent6 4 4 2 2 4" xfId="16386" xr:uid="{3AE149A0-CEA5-4563-A168-275E2873B6FF}"/>
    <cellStyle name="20% - Accent6 4 4 2 3" xfId="29050" xr:uid="{E76D57BA-4586-4B47-A129-6388C4F8C108}"/>
    <cellStyle name="20% - Accent6 4 4 2 4" xfId="20609" xr:uid="{B7A473B8-C9C9-46DA-96BB-C9F08A5A7612}"/>
    <cellStyle name="20% - Accent6 4 4 2 5" xfId="12168" xr:uid="{D94E740E-01A2-49CB-833D-923400906A65}"/>
    <cellStyle name="20% - Accent6 4 4 3" xfId="5791" xr:uid="{00000000-0005-0000-0000-0000A6030000}"/>
    <cellStyle name="20% - Accent6 4 4 3 2" xfId="31123" xr:uid="{DB42B9E7-712F-4D98-A2FB-80BC9E9044AD}"/>
    <cellStyle name="20% - Accent6 4 4 3 3" xfId="22682" xr:uid="{336844F1-1B10-48D7-8759-EC19318191C0}"/>
    <cellStyle name="20% - Accent6 4 4 3 4" xfId="14241" xr:uid="{465124EF-89C0-42AB-90EC-D89FC019B3B4}"/>
    <cellStyle name="20% - Accent6 4 4 4" xfId="26905" xr:uid="{D79D87FB-9CD5-42ED-B8E4-DA91F5C145A1}"/>
    <cellStyle name="20% - Accent6 4 4 5" xfId="18464" xr:uid="{F7C213D6-A712-4E16-AA2B-5F68ACE903D1}"/>
    <cellStyle name="20% - Accent6 4 4 6" xfId="10023" xr:uid="{D67444B2-0587-417F-AB91-DDFD62210D5D}"/>
    <cellStyle name="20% - Accent6 4 5" xfId="1898" xr:uid="{00000000-0005-0000-0000-0000A7030000}"/>
    <cellStyle name="20% - Accent6 4 5 2" xfId="4127" xr:uid="{00000000-0005-0000-0000-0000A8030000}"/>
    <cellStyle name="20% - Accent6 4 5 2 2" xfId="8349" xr:uid="{00000000-0005-0000-0000-0000A9030000}"/>
    <cellStyle name="20% - Accent6 4 5 2 2 2" xfId="33681" xr:uid="{A2E64918-8C41-419F-9B45-7B5EECAA39EA}"/>
    <cellStyle name="20% - Accent6 4 5 2 2 3" xfId="25240" xr:uid="{2EF0401F-0D11-4485-9537-4A6936C9450F}"/>
    <cellStyle name="20% - Accent6 4 5 2 2 4" xfId="16799" xr:uid="{99E14D0A-D0B1-4086-9D4A-FFF491FE73C2}"/>
    <cellStyle name="20% - Accent6 4 5 2 3" xfId="29463" xr:uid="{BC1F2089-DAA5-4E53-B90E-1046728E9C85}"/>
    <cellStyle name="20% - Accent6 4 5 2 4" xfId="21022" xr:uid="{6C039878-37E7-4BAB-8C82-ECCE34FED91B}"/>
    <cellStyle name="20% - Accent6 4 5 2 5" xfId="12581" xr:uid="{D43431E3-10E5-4CEE-9F19-950D5F1E76D7}"/>
    <cellStyle name="20% - Accent6 4 5 3" xfId="6204" xr:uid="{00000000-0005-0000-0000-0000AA030000}"/>
    <cellStyle name="20% - Accent6 4 5 3 2" xfId="31536" xr:uid="{27899FE2-B10E-4C3E-917E-5A6F4A4899E8}"/>
    <cellStyle name="20% - Accent6 4 5 3 3" xfId="23095" xr:uid="{CC40CA31-872E-4548-BF13-80761AB373FC}"/>
    <cellStyle name="20% - Accent6 4 5 3 4" xfId="14654" xr:uid="{CBA82F7C-CAC4-4AE0-A8FB-85680E7B931D}"/>
    <cellStyle name="20% - Accent6 4 5 4" xfId="27318" xr:uid="{9A6D069D-FA16-41CE-9417-6C1CFD24751F}"/>
    <cellStyle name="20% - Accent6 4 5 5" xfId="18877" xr:uid="{58B69622-1A5B-4343-AA35-3C768E148A33}"/>
    <cellStyle name="20% - Accent6 4 5 6" xfId="10436" xr:uid="{349CC5B3-CCE6-4B27-8966-C4A85F94DC0C}"/>
    <cellStyle name="20% - Accent6 4 6" xfId="2311" xr:uid="{00000000-0005-0000-0000-0000AB030000}"/>
    <cellStyle name="20% - Accent6 4 6 2" xfId="6617" xr:uid="{00000000-0005-0000-0000-0000AC030000}"/>
    <cellStyle name="20% - Accent6 4 6 2 2" xfId="31949" xr:uid="{C236C6B2-76C1-4C95-88F1-1980D7C670E9}"/>
    <cellStyle name="20% - Accent6 4 6 2 3" xfId="23508" xr:uid="{3FC52020-A4D9-4997-AC53-004BC1297060}"/>
    <cellStyle name="20% - Accent6 4 6 2 4" xfId="15067" xr:uid="{A6E9492D-C79C-4DB6-A51C-40BE1DEA68AC}"/>
    <cellStyle name="20% - Accent6 4 6 3" xfId="27731" xr:uid="{2FAE9BA6-DF68-4AF4-9708-632F8A7241FA}"/>
    <cellStyle name="20% - Accent6 4 6 4" xfId="19290" xr:uid="{85C80B8C-BB4A-45E2-9A29-C1FAD10DF2F7}"/>
    <cellStyle name="20% - Accent6 4 6 5" xfId="10849" xr:uid="{1EA81B08-6950-4951-9DB8-FB5D3601EF32}"/>
    <cellStyle name="20% - Accent6 4 7" xfId="4551" xr:uid="{00000000-0005-0000-0000-0000AD030000}"/>
    <cellStyle name="20% - Accent6 4 7 2" xfId="29883" xr:uid="{A947C6D8-8C6C-4B6D-95E7-081C9B6FE772}"/>
    <cellStyle name="20% - Accent6 4 7 3" xfId="21442" xr:uid="{E45F8A24-2B6A-4378-A852-75C6765C444C}"/>
    <cellStyle name="20% - Accent6 4 7 4" xfId="13001" xr:uid="{45E30F77-0165-4A87-9B0D-7468A9ED8209}"/>
    <cellStyle name="20% - Accent6 4 8" xfId="25665" xr:uid="{932EE48C-58C4-46E4-9273-9BA23CBA419D}"/>
    <cellStyle name="20% - Accent6 4 9" xfId="17224" xr:uid="{4E5768FE-B495-4BB5-94AE-93F74044ECEE}"/>
    <cellStyle name="20% - Accent6 5" xfId="610" xr:uid="{00000000-0005-0000-0000-0000AE030000}"/>
    <cellStyle name="20% - Accent6 5 2" xfId="2881" xr:uid="{00000000-0005-0000-0000-0000AF030000}"/>
    <cellStyle name="20% - Accent6 5 2 2" xfId="7103" xr:uid="{00000000-0005-0000-0000-0000B0030000}"/>
    <cellStyle name="20% - Accent6 5 2 2 2" xfId="32435" xr:uid="{EEF332EE-4474-42CD-9F4F-3E78A97A9C53}"/>
    <cellStyle name="20% - Accent6 5 2 2 3" xfId="23994" xr:uid="{EDAE57EF-BD2A-492B-9093-1101D9343455}"/>
    <cellStyle name="20% - Accent6 5 2 2 4" xfId="15553" xr:uid="{925AD5CE-4A95-4C5F-B06B-AF7CD92B8E26}"/>
    <cellStyle name="20% - Accent6 5 2 3" xfId="28217" xr:uid="{E01F3793-8858-4D8C-A88B-FA0D45F677C8}"/>
    <cellStyle name="20% - Accent6 5 2 4" xfId="19776" xr:uid="{556C6B34-1BCD-4503-B39F-2941903CEA1D}"/>
    <cellStyle name="20% - Accent6 5 2 5" xfId="11335" xr:uid="{79FE2FB1-931C-4F04-ACB7-88026DD8EF8E}"/>
    <cellStyle name="20% - Accent6 5 3" xfId="4958" xr:uid="{00000000-0005-0000-0000-0000B1030000}"/>
    <cellStyle name="20% - Accent6 5 3 2" xfId="30290" xr:uid="{D2B86B66-52CD-4529-AEE1-EE00CAD27F49}"/>
    <cellStyle name="20% - Accent6 5 3 3" xfId="21849" xr:uid="{29F15A7C-B1B4-4A23-B44F-D7E26FAEB0A6}"/>
    <cellStyle name="20% - Accent6 5 3 4" xfId="13408" xr:uid="{C020D81D-FF7A-4C28-90BF-5735498D224E}"/>
    <cellStyle name="20% - Accent6 5 4" xfId="26072" xr:uid="{2B6D0286-3FCD-41E1-868C-BD8A07D2B9FA}"/>
    <cellStyle name="20% - Accent6 5 5" xfId="17631" xr:uid="{B5353E9B-FED7-403B-AA45-E2C01FED6930}"/>
    <cellStyle name="20% - Accent6 5 6" xfId="9190" xr:uid="{1DB26D19-C127-4DA5-B669-8FA1FDDA8210}"/>
    <cellStyle name="20% - Accent6 6" xfId="1063" xr:uid="{00000000-0005-0000-0000-0000B2030000}"/>
    <cellStyle name="20% - Accent6 6 2" xfId="3294" xr:uid="{00000000-0005-0000-0000-0000B3030000}"/>
    <cellStyle name="20% - Accent6 6 2 2" xfId="7516" xr:uid="{00000000-0005-0000-0000-0000B4030000}"/>
    <cellStyle name="20% - Accent6 6 2 2 2" xfId="32848" xr:uid="{40A40ABD-27EC-43EF-AE06-C4CC1926E44D}"/>
    <cellStyle name="20% - Accent6 6 2 2 3" xfId="24407" xr:uid="{278484E3-55ED-4DBC-82F1-8C4BE3914D3E}"/>
    <cellStyle name="20% - Accent6 6 2 2 4" xfId="15966" xr:uid="{1B4C67FF-65DE-41E3-B3C9-C04C529DCD27}"/>
    <cellStyle name="20% - Accent6 6 2 3" xfId="28630" xr:uid="{1355A47A-11F2-4117-8C94-A4ABF5D4C456}"/>
    <cellStyle name="20% - Accent6 6 2 4" xfId="20189" xr:uid="{2F286C7F-37BA-4127-96EF-949CF1CBFA4D}"/>
    <cellStyle name="20% - Accent6 6 2 5" xfId="11748" xr:uid="{CCCE710C-53A2-45DA-B471-FB24776A28D8}"/>
    <cellStyle name="20% - Accent6 6 3" xfId="5371" xr:uid="{00000000-0005-0000-0000-0000B5030000}"/>
    <cellStyle name="20% - Accent6 6 3 2" xfId="30703" xr:uid="{7B63178C-4506-494F-A6C1-792C280B2583}"/>
    <cellStyle name="20% - Accent6 6 3 3" xfId="22262" xr:uid="{F75C82B2-A480-4922-99B4-9B7E50297591}"/>
    <cellStyle name="20% - Accent6 6 3 4" xfId="13821" xr:uid="{B5E13DC4-CB15-43E3-8F0E-3914DB9ECEAD}"/>
    <cellStyle name="20% - Accent6 6 4" xfId="26485" xr:uid="{27F37F65-D4A0-4E8D-9E63-E52C84C403B1}"/>
    <cellStyle name="20% - Accent6 6 5" xfId="18044" xr:uid="{0F5F788F-51D2-4F8E-AA81-09DE783CF3D7}"/>
    <cellStyle name="20% - Accent6 6 6" xfId="9603" xr:uid="{20ADF955-3CC2-4A62-9948-A5FF5DD1C200}"/>
    <cellStyle name="20% - Accent6 7" xfId="1477" xr:uid="{00000000-0005-0000-0000-0000B6030000}"/>
    <cellStyle name="20% - Accent6 7 2" xfId="3707" xr:uid="{00000000-0005-0000-0000-0000B7030000}"/>
    <cellStyle name="20% - Accent6 7 2 2" xfId="7929" xr:uid="{00000000-0005-0000-0000-0000B8030000}"/>
    <cellStyle name="20% - Accent6 7 2 2 2" xfId="33261" xr:uid="{32DE6C18-1C21-40B1-A8F7-15734152509D}"/>
    <cellStyle name="20% - Accent6 7 2 2 3" xfId="24820" xr:uid="{B1C887A0-C0C8-4BB0-8C75-6D652D4156BA}"/>
    <cellStyle name="20% - Accent6 7 2 2 4" xfId="16379" xr:uid="{BED55447-2E9A-4185-9FA3-9ACDDF6A738E}"/>
    <cellStyle name="20% - Accent6 7 2 3" xfId="29043" xr:uid="{17D0A27E-BFD8-41E1-B88A-5BD27884660C}"/>
    <cellStyle name="20% - Accent6 7 2 4" xfId="20602" xr:uid="{61AA2F84-2819-4C50-BEB5-344B16AA648E}"/>
    <cellStyle name="20% - Accent6 7 2 5" xfId="12161" xr:uid="{4B459503-CB4C-442C-929F-CA065B1595BC}"/>
    <cellStyle name="20% - Accent6 7 3" xfId="5784" xr:uid="{00000000-0005-0000-0000-0000B9030000}"/>
    <cellStyle name="20% - Accent6 7 3 2" xfId="31116" xr:uid="{F41F8523-1DB0-4972-9BA9-55F832C40068}"/>
    <cellStyle name="20% - Accent6 7 3 3" xfId="22675" xr:uid="{39950675-B39E-4C0F-8399-0F4B83F48959}"/>
    <cellStyle name="20% - Accent6 7 3 4" xfId="14234" xr:uid="{17F262A7-0A92-49E7-BC6E-6E00576D9C39}"/>
    <cellStyle name="20% - Accent6 7 4" xfId="26898" xr:uid="{162E8768-0712-4B15-919B-06439EAFFDC3}"/>
    <cellStyle name="20% - Accent6 7 5" xfId="18457" xr:uid="{C3875972-1F85-4D19-B129-65B5D7DC3477}"/>
    <cellStyle name="20% - Accent6 7 6" xfId="10016" xr:uid="{E9529D16-F391-4FD1-9D28-1483A1A53E94}"/>
    <cellStyle name="20% - Accent6 8" xfId="1891" xr:uid="{00000000-0005-0000-0000-0000BA030000}"/>
    <cellStyle name="20% - Accent6 8 2" xfId="4120" xr:uid="{00000000-0005-0000-0000-0000BB030000}"/>
    <cellStyle name="20% - Accent6 8 2 2" xfId="8342" xr:uid="{00000000-0005-0000-0000-0000BC030000}"/>
    <cellStyle name="20% - Accent6 8 2 2 2" xfId="33674" xr:uid="{A332639C-DF10-43A4-BA7F-0C6B09344AE8}"/>
    <cellStyle name="20% - Accent6 8 2 2 3" xfId="25233" xr:uid="{5EF97C1F-7AB1-47E3-8E9F-01A302A9DD43}"/>
    <cellStyle name="20% - Accent6 8 2 2 4" xfId="16792" xr:uid="{7300E64D-344E-4F3B-924F-8AB19F7FDF17}"/>
    <cellStyle name="20% - Accent6 8 2 3" xfId="29456" xr:uid="{AE193D46-332D-4122-9BCD-74967D9389D6}"/>
    <cellStyle name="20% - Accent6 8 2 4" xfId="21015" xr:uid="{2540C61A-C6C2-4EB4-991D-88587738B3CD}"/>
    <cellStyle name="20% - Accent6 8 2 5" xfId="12574" xr:uid="{AF6019F9-9545-471C-B59F-724AE8286260}"/>
    <cellStyle name="20% - Accent6 8 3" xfId="6197" xr:uid="{00000000-0005-0000-0000-0000BD030000}"/>
    <cellStyle name="20% - Accent6 8 3 2" xfId="31529" xr:uid="{89059EE1-DE73-49E9-A0EF-7F29F108C593}"/>
    <cellStyle name="20% - Accent6 8 3 3" xfId="23088" xr:uid="{3E28A37A-AF91-413D-9F01-208A5B705DB8}"/>
    <cellStyle name="20% - Accent6 8 3 4" xfId="14647" xr:uid="{F9457181-E6DB-40A1-A42B-26E337305C05}"/>
    <cellStyle name="20% - Accent6 8 4" xfId="27311" xr:uid="{10DE0624-F3AD-432B-AAFA-454DD8BF5DB7}"/>
    <cellStyle name="20% - Accent6 8 5" xfId="18870" xr:uid="{AE6B7B75-5E95-4805-8DEC-24BAA36DA7CF}"/>
    <cellStyle name="20% - Accent6 8 6" xfId="10429" xr:uid="{A628F9AA-E25A-4446-9048-47E4EA7A5D77}"/>
    <cellStyle name="20% - Accent6 9" xfId="2304" xr:uid="{00000000-0005-0000-0000-0000BE030000}"/>
    <cellStyle name="20% - Accent6 9 2" xfId="6610" xr:uid="{00000000-0005-0000-0000-0000BF030000}"/>
    <cellStyle name="20% - Accent6 9 2 2" xfId="31942" xr:uid="{F7FE34A9-296E-4BDA-A205-B1D6C4C30AEE}"/>
    <cellStyle name="20% - Accent6 9 2 3" xfId="23501" xr:uid="{E43651FC-B7C2-4D73-8831-981CD0787AA9}"/>
    <cellStyle name="20% - Accent6 9 2 4" xfId="15060" xr:uid="{046B105D-31A9-4E49-A418-C582A91A4437}"/>
    <cellStyle name="20% - Accent6 9 3" xfId="27724" xr:uid="{C19E9A10-18E0-42E5-A976-398F58268CA7}"/>
    <cellStyle name="20% - Accent6 9 4" xfId="19283" xr:uid="{1AC9CA0E-62DE-4D2A-B0F4-07FF06BA23E4}"/>
    <cellStyle name="20% - Accent6 9 5" xfId="10842" xr:uid="{FBA265CD-221E-4853-88E1-B31FBE775256}"/>
    <cellStyle name="40% - Accent1" xfId="49" builtinId="31" customBuiltin="1"/>
    <cellStyle name="40% - Accent1 10" xfId="4552" xr:uid="{00000000-0005-0000-0000-0000C1030000}"/>
    <cellStyle name="40% - Accent1 10 2" xfId="29884" xr:uid="{A28AB334-2FBD-4819-B15D-D37B96C15441}"/>
    <cellStyle name="40% - Accent1 10 3" xfId="21443" xr:uid="{209AC9EC-16E8-4D7D-9D42-1A54E99FEF19}"/>
    <cellStyle name="40% - Accent1 10 4" xfId="13002" xr:uid="{DE35A9C9-3BB1-4957-938C-C5E6D2AEE726}"/>
    <cellStyle name="40% - Accent1 11" xfId="25666" xr:uid="{A0CDF4FF-6543-4F45-9284-44F629B21517}"/>
    <cellStyle name="40% - Accent1 12" xfId="17225" xr:uid="{8D651B3F-6343-4532-8DCA-4A8B99CDE3EA}"/>
    <cellStyle name="40% - Accent1 13" xfId="8784" xr:uid="{1756E52E-A838-460E-BED8-C79D62F4C3C5}"/>
    <cellStyle name="40% - Accent1 2" xfId="50" xr:uid="{00000000-0005-0000-0000-0000C2030000}"/>
    <cellStyle name="40% - Accent1 2 10" xfId="25667" xr:uid="{6BE8B07D-6049-49FE-9C7A-B81213EAF17E}"/>
    <cellStyle name="40% - Accent1 2 11" xfId="17226" xr:uid="{3B34E647-9A86-45BF-8076-0F1E7DD2A8E9}"/>
    <cellStyle name="40% - Accent1 2 12" xfId="8785" xr:uid="{321CC9E3-91C8-4763-BA82-F6A1932E770D}"/>
    <cellStyle name="40% - Accent1 2 2" xfId="51" xr:uid="{00000000-0005-0000-0000-0000C3030000}"/>
    <cellStyle name="40% - Accent1 2 2 10" xfId="17227" xr:uid="{52915524-EBF4-4A80-8DA7-9AB0CB4CF34B}"/>
    <cellStyle name="40% - Accent1 2 2 11" xfId="8786" xr:uid="{2F3B1A0B-A437-4B0B-AA90-470617B5FB75}"/>
    <cellStyle name="40% - Accent1 2 2 2" xfId="52" xr:uid="{00000000-0005-0000-0000-0000C4030000}"/>
    <cellStyle name="40% - Accent1 2 2 2 10" xfId="8787" xr:uid="{BA563CC6-0C7E-4F5D-8DD5-F1AF754BA209}"/>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2 2 2" xfId="32446" xr:uid="{C5E0D30D-99E5-4499-B9B3-F285FE812F41}"/>
    <cellStyle name="40% - Accent1 2 2 2 2 2 2 3" xfId="24005" xr:uid="{772948CD-8AB6-457E-B214-20972DB51F08}"/>
    <cellStyle name="40% - Accent1 2 2 2 2 2 2 4" xfId="15564" xr:uid="{A9E0A916-9CD6-4B2B-9A52-DC120EF6F255}"/>
    <cellStyle name="40% - Accent1 2 2 2 2 2 3" xfId="28228" xr:uid="{7F27390B-A533-4740-9000-B468E5D5CD94}"/>
    <cellStyle name="40% - Accent1 2 2 2 2 2 4" xfId="19787" xr:uid="{1F642A25-AF85-4030-A589-8E8B76E77432}"/>
    <cellStyle name="40% - Accent1 2 2 2 2 2 5" xfId="11346" xr:uid="{330A2D7A-66C0-4961-8B71-305693B168F2}"/>
    <cellStyle name="40% - Accent1 2 2 2 2 3" xfId="4969" xr:uid="{00000000-0005-0000-0000-0000C8030000}"/>
    <cellStyle name="40% - Accent1 2 2 2 2 3 2" xfId="30301" xr:uid="{2C24288B-A86D-48EC-AA64-81F707CF2FB3}"/>
    <cellStyle name="40% - Accent1 2 2 2 2 3 3" xfId="21860" xr:uid="{96F55299-96E5-4AB6-AAD3-66BE26F702F3}"/>
    <cellStyle name="40% - Accent1 2 2 2 2 3 4" xfId="13419" xr:uid="{677D033E-720D-484A-97DB-F9742A289278}"/>
    <cellStyle name="40% - Accent1 2 2 2 2 4" xfId="26083" xr:uid="{71617CC1-C967-4549-8FDF-F27E57EAE494}"/>
    <cellStyle name="40% - Accent1 2 2 2 2 5" xfId="17642" xr:uid="{E5DD4C7B-4D29-4547-92A8-E10642E5833E}"/>
    <cellStyle name="40% - Accent1 2 2 2 2 6" xfId="9201" xr:uid="{1DBD5A16-6FEE-4137-9EBB-B3016AD3A44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2 2 2" xfId="32859" xr:uid="{5893D522-524F-4B7E-907D-C49F7440C4E5}"/>
    <cellStyle name="40% - Accent1 2 2 2 3 2 2 3" xfId="24418" xr:uid="{4CA303F8-0647-4800-8F33-FFE3E91AD394}"/>
    <cellStyle name="40% - Accent1 2 2 2 3 2 2 4" xfId="15977" xr:uid="{C1978B3C-FF7C-4A0B-9D60-B8FCC6886E19}"/>
    <cellStyle name="40% - Accent1 2 2 2 3 2 3" xfId="28641" xr:uid="{8A9A233A-BCA6-4FEB-97F6-15AABCEBE086}"/>
    <cellStyle name="40% - Accent1 2 2 2 3 2 4" xfId="20200" xr:uid="{06C18767-FE52-46ED-8168-4CFE2ED2E2E2}"/>
    <cellStyle name="40% - Accent1 2 2 2 3 2 5" xfId="11759" xr:uid="{C5B5FEE5-681F-4677-AE0F-D7265ACBCDF6}"/>
    <cellStyle name="40% - Accent1 2 2 2 3 3" xfId="5382" xr:uid="{00000000-0005-0000-0000-0000CC030000}"/>
    <cellStyle name="40% - Accent1 2 2 2 3 3 2" xfId="30714" xr:uid="{1B52564E-DCA0-4A19-88AD-0D6D97763A41}"/>
    <cellStyle name="40% - Accent1 2 2 2 3 3 3" xfId="22273" xr:uid="{A3C6D3F8-79EB-4D72-B7E6-550097CF2AB6}"/>
    <cellStyle name="40% - Accent1 2 2 2 3 3 4" xfId="13832" xr:uid="{525EA7EE-D94C-434F-B94E-B45EB7DF01DE}"/>
    <cellStyle name="40% - Accent1 2 2 2 3 4" xfId="26496" xr:uid="{EB9E4B25-0B98-43AB-B30D-F577E95414BA}"/>
    <cellStyle name="40% - Accent1 2 2 2 3 5" xfId="18055" xr:uid="{18ADC408-D30D-4A45-932A-7EB01D8FAB7F}"/>
    <cellStyle name="40% - Accent1 2 2 2 3 6" xfId="9614" xr:uid="{840AF0F9-78C3-4893-B2D5-85B6E887A80C}"/>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2 2 2" xfId="33272" xr:uid="{D12D70EA-71D3-4F5F-8014-9ECFA936F682}"/>
    <cellStyle name="40% - Accent1 2 2 2 4 2 2 3" xfId="24831" xr:uid="{D791CAA6-127D-4787-BD72-A032D15B7A5B}"/>
    <cellStyle name="40% - Accent1 2 2 2 4 2 2 4" xfId="16390" xr:uid="{612231B6-2831-4DA4-84A5-E61076549042}"/>
    <cellStyle name="40% - Accent1 2 2 2 4 2 3" xfId="29054" xr:uid="{3D4FC5D4-65DB-4FDB-827E-87FE57CB4D7C}"/>
    <cellStyle name="40% - Accent1 2 2 2 4 2 4" xfId="20613" xr:uid="{24EF0DB6-247E-405F-85CB-379DB561FBF9}"/>
    <cellStyle name="40% - Accent1 2 2 2 4 2 5" xfId="12172" xr:uid="{24BB3948-A7D9-4BAF-9599-2501E2AFC32C}"/>
    <cellStyle name="40% - Accent1 2 2 2 4 3" xfId="5795" xr:uid="{00000000-0005-0000-0000-0000D0030000}"/>
    <cellStyle name="40% - Accent1 2 2 2 4 3 2" xfId="31127" xr:uid="{8F61E18A-446A-480A-A5E8-A885AC70F980}"/>
    <cellStyle name="40% - Accent1 2 2 2 4 3 3" xfId="22686" xr:uid="{83D79924-A849-48D6-BAD6-1D16738AF212}"/>
    <cellStyle name="40% - Accent1 2 2 2 4 3 4" xfId="14245" xr:uid="{2788DA6A-932D-4ECC-8BED-0C8AAA8F976C}"/>
    <cellStyle name="40% - Accent1 2 2 2 4 4" xfId="26909" xr:uid="{72BEF6D8-495B-40FF-BA76-08D5532DF1DB}"/>
    <cellStyle name="40% - Accent1 2 2 2 4 5" xfId="18468" xr:uid="{A5D08238-0850-4166-A8FD-0B6A2644EFF9}"/>
    <cellStyle name="40% - Accent1 2 2 2 4 6" xfId="10027" xr:uid="{2D3E9FEB-109D-4F87-9584-8C2253DAEE7D}"/>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2 2 2" xfId="33685" xr:uid="{AFCE2092-209B-4DF4-ACE0-A77FCDEAC744}"/>
    <cellStyle name="40% - Accent1 2 2 2 5 2 2 3" xfId="25244" xr:uid="{EFBBDFC0-DA6D-4BE3-85F6-D04F776CAC8A}"/>
    <cellStyle name="40% - Accent1 2 2 2 5 2 2 4" xfId="16803" xr:uid="{4B0DF699-5578-49FB-AF91-37C91DD8BF33}"/>
    <cellStyle name="40% - Accent1 2 2 2 5 2 3" xfId="29467" xr:uid="{0ADF53E0-C68C-44C4-8D8D-6DCD6ED52C52}"/>
    <cellStyle name="40% - Accent1 2 2 2 5 2 4" xfId="21026" xr:uid="{DA27A6A9-017B-4C69-9A92-FE722A9ABDB4}"/>
    <cellStyle name="40% - Accent1 2 2 2 5 2 5" xfId="12585" xr:uid="{3442FA65-EE13-458A-ADCF-FDC94DBD8FDC}"/>
    <cellStyle name="40% - Accent1 2 2 2 5 3" xfId="6208" xr:uid="{00000000-0005-0000-0000-0000D4030000}"/>
    <cellStyle name="40% - Accent1 2 2 2 5 3 2" xfId="31540" xr:uid="{EBE0FFA6-DD6C-4E79-AC2C-D1BEC930A30F}"/>
    <cellStyle name="40% - Accent1 2 2 2 5 3 3" xfId="23099" xr:uid="{D3597398-AB2F-4BD2-AB4C-3468723C36A1}"/>
    <cellStyle name="40% - Accent1 2 2 2 5 3 4" xfId="14658" xr:uid="{D7364C51-A17D-4E63-9EE2-369C20A6597F}"/>
    <cellStyle name="40% - Accent1 2 2 2 5 4" xfId="27322" xr:uid="{98120B68-7C11-483E-9F37-FFE3843130A9}"/>
    <cellStyle name="40% - Accent1 2 2 2 5 5" xfId="18881" xr:uid="{3FDF673F-A082-45CA-B5A3-CC235D931833}"/>
    <cellStyle name="40% - Accent1 2 2 2 5 6" xfId="10440" xr:uid="{DAC17FFA-2C0C-48B0-BAF5-2F249EAA5169}"/>
    <cellStyle name="40% - Accent1 2 2 2 6" xfId="2315" xr:uid="{00000000-0005-0000-0000-0000D5030000}"/>
    <cellStyle name="40% - Accent1 2 2 2 6 2" xfId="6621" xr:uid="{00000000-0005-0000-0000-0000D6030000}"/>
    <cellStyle name="40% - Accent1 2 2 2 6 2 2" xfId="31953" xr:uid="{B5C2DD0A-6980-44FB-BB05-94836C9B35E7}"/>
    <cellStyle name="40% - Accent1 2 2 2 6 2 3" xfId="23512" xr:uid="{66E1A48A-3430-4382-9E31-BF78DF4CDD93}"/>
    <cellStyle name="40% - Accent1 2 2 2 6 2 4" xfId="15071" xr:uid="{E9B587AD-FB54-44D5-8FCC-53FE3A76C806}"/>
    <cellStyle name="40% - Accent1 2 2 2 6 3" xfId="27735" xr:uid="{D36EB19E-F916-4F7C-BA4E-65E7C887A19D}"/>
    <cellStyle name="40% - Accent1 2 2 2 6 4" xfId="19294" xr:uid="{30A74198-320B-4A3B-A642-B0EA2F95C41A}"/>
    <cellStyle name="40% - Accent1 2 2 2 6 5" xfId="10853" xr:uid="{B3E02A18-DE63-4B17-AC5F-7948E668A605}"/>
    <cellStyle name="40% - Accent1 2 2 2 7" xfId="4555" xr:uid="{00000000-0005-0000-0000-0000D7030000}"/>
    <cellStyle name="40% - Accent1 2 2 2 7 2" xfId="29887" xr:uid="{FC20F6DA-B7D7-4DFF-A704-E330531C6903}"/>
    <cellStyle name="40% - Accent1 2 2 2 7 3" xfId="21446" xr:uid="{C43CA606-6849-449E-8A56-93A893E012A2}"/>
    <cellStyle name="40% - Accent1 2 2 2 7 4" xfId="13005" xr:uid="{832C9EBB-EDA2-41D7-9A68-E03554389790}"/>
    <cellStyle name="40% - Accent1 2 2 2 8" xfId="25669" xr:uid="{3EEA3A07-A758-4CCF-8C87-DD7670B926E3}"/>
    <cellStyle name="40% - Accent1 2 2 2 9" xfId="17228" xr:uid="{C788F18F-FE86-401C-A679-93EA635DB9D4}"/>
    <cellStyle name="40% - Accent1 2 2 3" xfId="620" xr:uid="{00000000-0005-0000-0000-0000D8030000}"/>
    <cellStyle name="40% - Accent1 2 2 3 2" xfId="2891" xr:uid="{00000000-0005-0000-0000-0000D9030000}"/>
    <cellStyle name="40% - Accent1 2 2 3 2 2" xfId="7113" xr:uid="{00000000-0005-0000-0000-0000DA030000}"/>
    <cellStyle name="40% - Accent1 2 2 3 2 2 2" xfId="32445" xr:uid="{8ABB9F0B-2EA3-4C08-ACA0-3DEEEA41D7D3}"/>
    <cellStyle name="40% - Accent1 2 2 3 2 2 3" xfId="24004" xr:uid="{D41DD7EE-C591-4CC5-B094-5F14A7DCC728}"/>
    <cellStyle name="40% - Accent1 2 2 3 2 2 4" xfId="15563" xr:uid="{39B11749-0D4C-4401-B554-55A4C85A4160}"/>
    <cellStyle name="40% - Accent1 2 2 3 2 3" xfId="28227" xr:uid="{BB6268CF-AE5C-458D-AA54-406FB13158B2}"/>
    <cellStyle name="40% - Accent1 2 2 3 2 4" xfId="19786" xr:uid="{7234BDA3-E3EB-4D44-A8B1-0514E67414B3}"/>
    <cellStyle name="40% - Accent1 2 2 3 2 5" xfId="11345" xr:uid="{83D21DEB-AFCB-466B-B76C-FBBA5DBA4634}"/>
    <cellStyle name="40% - Accent1 2 2 3 3" xfId="4968" xr:uid="{00000000-0005-0000-0000-0000DB030000}"/>
    <cellStyle name="40% - Accent1 2 2 3 3 2" xfId="30300" xr:uid="{852BF3C2-1BDC-4A15-8677-9283EFAE6441}"/>
    <cellStyle name="40% - Accent1 2 2 3 3 3" xfId="21859" xr:uid="{2547A8D9-AD69-4B83-9209-A3D5CED31F18}"/>
    <cellStyle name="40% - Accent1 2 2 3 3 4" xfId="13418" xr:uid="{0D61010E-6CD1-4716-952E-B58484496FA7}"/>
    <cellStyle name="40% - Accent1 2 2 3 4" xfId="26082" xr:uid="{38DBD596-80EB-4CD7-9AFB-43CFBE670204}"/>
    <cellStyle name="40% - Accent1 2 2 3 5" xfId="17641" xr:uid="{BEC39673-5D23-4321-BF2D-73EAFB797421}"/>
    <cellStyle name="40% - Accent1 2 2 3 6" xfId="9200" xr:uid="{AE103003-0C49-4678-A91B-4C99AFBC1D63}"/>
    <cellStyle name="40% - Accent1 2 2 4" xfId="1073" xr:uid="{00000000-0005-0000-0000-0000DC030000}"/>
    <cellStyle name="40% - Accent1 2 2 4 2" xfId="3304" xr:uid="{00000000-0005-0000-0000-0000DD030000}"/>
    <cellStyle name="40% - Accent1 2 2 4 2 2" xfId="7526" xr:uid="{00000000-0005-0000-0000-0000DE030000}"/>
    <cellStyle name="40% - Accent1 2 2 4 2 2 2" xfId="32858" xr:uid="{FB412355-77D7-4BB1-B242-8679486FC2FC}"/>
    <cellStyle name="40% - Accent1 2 2 4 2 2 3" xfId="24417" xr:uid="{AFB9296F-04A4-4CF8-9426-93A622179033}"/>
    <cellStyle name="40% - Accent1 2 2 4 2 2 4" xfId="15976" xr:uid="{945D234B-81CC-455F-9627-E44E18BFCF9C}"/>
    <cellStyle name="40% - Accent1 2 2 4 2 3" xfId="28640" xr:uid="{17C2FFD2-6AC7-44D3-9093-30F5EC8CF779}"/>
    <cellStyle name="40% - Accent1 2 2 4 2 4" xfId="20199" xr:uid="{EA24DCA6-48B4-4B8A-9898-8E2EC0370999}"/>
    <cellStyle name="40% - Accent1 2 2 4 2 5" xfId="11758" xr:uid="{7CDD501F-8D78-4D8A-98BC-A545FB106FCC}"/>
    <cellStyle name="40% - Accent1 2 2 4 3" xfId="5381" xr:uid="{00000000-0005-0000-0000-0000DF030000}"/>
    <cellStyle name="40% - Accent1 2 2 4 3 2" xfId="30713" xr:uid="{C8F50034-B90A-4001-BB2E-558C20949E33}"/>
    <cellStyle name="40% - Accent1 2 2 4 3 3" xfId="22272" xr:uid="{B74F82C2-F2A6-4290-869F-389C2BBF1359}"/>
    <cellStyle name="40% - Accent1 2 2 4 3 4" xfId="13831" xr:uid="{4760D504-01C4-4DDB-83A9-0E6498451EDA}"/>
    <cellStyle name="40% - Accent1 2 2 4 4" xfId="26495" xr:uid="{B9DCDC72-0B0A-4F0A-9B47-21DDA0A3C270}"/>
    <cellStyle name="40% - Accent1 2 2 4 5" xfId="18054" xr:uid="{7A4BE44D-6784-400D-879F-E5A437F9FFC9}"/>
    <cellStyle name="40% - Accent1 2 2 4 6" xfId="9613" xr:uid="{60E27B08-649C-4E4D-8BD7-3FCBD432BE46}"/>
    <cellStyle name="40% - Accent1 2 2 5" xfId="1487" xr:uid="{00000000-0005-0000-0000-0000E0030000}"/>
    <cellStyle name="40% - Accent1 2 2 5 2" xfId="3717" xr:uid="{00000000-0005-0000-0000-0000E1030000}"/>
    <cellStyle name="40% - Accent1 2 2 5 2 2" xfId="7939" xr:uid="{00000000-0005-0000-0000-0000E2030000}"/>
    <cellStyle name="40% - Accent1 2 2 5 2 2 2" xfId="33271" xr:uid="{097729F1-66AB-4DED-93D7-7224BC92767D}"/>
    <cellStyle name="40% - Accent1 2 2 5 2 2 3" xfId="24830" xr:uid="{3077C394-C1BC-4E71-9EDD-7B1BB8D1398F}"/>
    <cellStyle name="40% - Accent1 2 2 5 2 2 4" xfId="16389" xr:uid="{819E1F24-C5F6-442D-9246-E7E69FA33140}"/>
    <cellStyle name="40% - Accent1 2 2 5 2 3" xfId="29053" xr:uid="{A921FA37-B649-48D6-A28E-81DCAC8AADEC}"/>
    <cellStyle name="40% - Accent1 2 2 5 2 4" xfId="20612" xr:uid="{9D1F17C5-F0EA-4545-B0E9-90254216CB51}"/>
    <cellStyle name="40% - Accent1 2 2 5 2 5" xfId="12171" xr:uid="{5C3D47B1-8F3F-4947-9D50-9CF184FBD998}"/>
    <cellStyle name="40% - Accent1 2 2 5 3" xfId="5794" xr:uid="{00000000-0005-0000-0000-0000E3030000}"/>
    <cellStyle name="40% - Accent1 2 2 5 3 2" xfId="31126" xr:uid="{3FD72C48-C5D3-4919-AB6E-5601175DB2CC}"/>
    <cellStyle name="40% - Accent1 2 2 5 3 3" xfId="22685" xr:uid="{A0714913-85AD-423D-8EF6-018E9BCD99C2}"/>
    <cellStyle name="40% - Accent1 2 2 5 3 4" xfId="14244" xr:uid="{10249136-34FA-4D6C-8F27-9DC171A29E72}"/>
    <cellStyle name="40% - Accent1 2 2 5 4" xfId="26908" xr:uid="{7B4911D0-1001-4BB3-A77D-ED0D7C9C1CC0}"/>
    <cellStyle name="40% - Accent1 2 2 5 5" xfId="18467" xr:uid="{493D6777-85B4-4D60-83CE-3B76B8B5DABF}"/>
    <cellStyle name="40% - Accent1 2 2 5 6" xfId="10026" xr:uid="{DEADACB7-04D8-45E4-9BCE-382EB77DAB68}"/>
    <cellStyle name="40% - Accent1 2 2 6" xfId="1901" xr:uid="{00000000-0005-0000-0000-0000E4030000}"/>
    <cellStyle name="40% - Accent1 2 2 6 2" xfId="4130" xr:uid="{00000000-0005-0000-0000-0000E5030000}"/>
    <cellStyle name="40% - Accent1 2 2 6 2 2" xfId="8352" xr:uid="{00000000-0005-0000-0000-0000E6030000}"/>
    <cellStyle name="40% - Accent1 2 2 6 2 2 2" xfId="33684" xr:uid="{E55BA397-4DD1-4B4D-999B-A84B247BE57F}"/>
    <cellStyle name="40% - Accent1 2 2 6 2 2 3" xfId="25243" xr:uid="{68B40A1A-1418-4967-8480-DADF403B7BD8}"/>
    <cellStyle name="40% - Accent1 2 2 6 2 2 4" xfId="16802" xr:uid="{EF39B4C7-BD69-47AC-999C-9FBDB02F04E5}"/>
    <cellStyle name="40% - Accent1 2 2 6 2 3" xfId="29466" xr:uid="{793959CC-A4B9-466E-A2A1-2B7A50C60AD7}"/>
    <cellStyle name="40% - Accent1 2 2 6 2 4" xfId="21025" xr:uid="{740FD9E5-987A-4F81-A705-9BBFBC2C15DB}"/>
    <cellStyle name="40% - Accent1 2 2 6 2 5" xfId="12584" xr:uid="{6AB35C48-A60E-4956-B395-96C8CF5B2A0A}"/>
    <cellStyle name="40% - Accent1 2 2 6 3" xfId="6207" xr:uid="{00000000-0005-0000-0000-0000E7030000}"/>
    <cellStyle name="40% - Accent1 2 2 6 3 2" xfId="31539" xr:uid="{3F4BD08D-ACA4-478D-8218-6EC70CC53FB8}"/>
    <cellStyle name="40% - Accent1 2 2 6 3 3" xfId="23098" xr:uid="{9AA82923-EE41-4DB9-A0B8-6238F0738BE7}"/>
    <cellStyle name="40% - Accent1 2 2 6 3 4" xfId="14657" xr:uid="{D02075F5-7DA3-4A57-BC7E-99646AE12D62}"/>
    <cellStyle name="40% - Accent1 2 2 6 4" xfId="27321" xr:uid="{CF013B72-A260-432C-ABA3-43E6E76E76B5}"/>
    <cellStyle name="40% - Accent1 2 2 6 5" xfId="18880" xr:uid="{C9F726EB-E5B1-4E86-8BF2-22FA2CC4D9F9}"/>
    <cellStyle name="40% - Accent1 2 2 6 6" xfId="10439" xr:uid="{D1D3B45D-63A7-4A1E-8325-B8C668B68292}"/>
    <cellStyle name="40% - Accent1 2 2 7" xfId="2314" xr:uid="{00000000-0005-0000-0000-0000E8030000}"/>
    <cellStyle name="40% - Accent1 2 2 7 2" xfId="6620" xr:uid="{00000000-0005-0000-0000-0000E9030000}"/>
    <cellStyle name="40% - Accent1 2 2 7 2 2" xfId="31952" xr:uid="{B4666679-2B47-4C5F-95C1-3B6A7E342115}"/>
    <cellStyle name="40% - Accent1 2 2 7 2 3" xfId="23511" xr:uid="{955370C9-302B-481C-8C6B-10CB174DDCE6}"/>
    <cellStyle name="40% - Accent1 2 2 7 2 4" xfId="15070" xr:uid="{DB18E9A9-A77A-4F6F-9CBF-91B17BC8B31B}"/>
    <cellStyle name="40% - Accent1 2 2 7 3" xfId="27734" xr:uid="{3E8A1701-C967-49BA-99CF-E0A2749F443F}"/>
    <cellStyle name="40% - Accent1 2 2 7 4" xfId="19293" xr:uid="{AB3CFB07-B9B2-45F3-8271-6EB835D8E6D7}"/>
    <cellStyle name="40% - Accent1 2 2 7 5" xfId="10852" xr:uid="{74D0EC0B-AF64-4B78-9D78-740F6AC0C556}"/>
    <cellStyle name="40% - Accent1 2 2 8" xfId="4554" xr:uid="{00000000-0005-0000-0000-0000EA030000}"/>
    <cellStyle name="40% - Accent1 2 2 8 2" xfId="29886" xr:uid="{C1EBB010-2201-43B5-9FB1-5A1D5949508E}"/>
    <cellStyle name="40% - Accent1 2 2 8 3" xfId="21445" xr:uid="{16C096AB-39F0-4CFF-9E48-9123C57E4C62}"/>
    <cellStyle name="40% - Accent1 2 2 8 4" xfId="13004" xr:uid="{02F2FBE1-3BF8-4926-9308-4F19EDDBDE1E}"/>
    <cellStyle name="40% - Accent1 2 2 9" xfId="25668" xr:uid="{8C0F3BF6-17C2-4CFB-84D6-1CD423190297}"/>
    <cellStyle name="40% - Accent1 2 3" xfId="53" xr:uid="{00000000-0005-0000-0000-0000EB030000}"/>
    <cellStyle name="40% - Accent1 2 3 10" xfId="8788" xr:uid="{1FB2AEC7-2F91-4572-9722-98D3BECF6411}"/>
    <cellStyle name="40% - Accent1 2 3 2" xfId="622" xr:uid="{00000000-0005-0000-0000-0000EC030000}"/>
    <cellStyle name="40% - Accent1 2 3 2 2" xfId="2893" xr:uid="{00000000-0005-0000-0000-0000ED030000}"/>
    <cellStyle name="40% - Accent1 2 3 2 2 2" xfId="7115" xr:uid="{00000000-0005-0000-0000-0000EE030000}"/>
    <cellStyle name="40% - Accent1 2 3 2 2 2 2" xfId="32447" xr:uid="{3E5644C8-B525-4B5C-B8B1-8D75F887A342}"/>
    <cellStyle name="40% - Accent1 2 3 2 2 2 3" xfId="24006" xr:uid="{C6352705-ECBE-4E0E-8850-29A6077B4BD9}"/>
    <cellStyle name="40% - Accent1 2 3 2 2 2 4" xfId="15565" xr:uid="{C478EC98-01B7-4923-8BF0-BEB6F563F21A}"/>
    <cellStyle name="40% - Accent1 2 3 2 2 3" xfId="28229" xr:uid="{BCC0687A-44B1-40F1-B551-1720D3660307}"/>
    <cellStyle name="40% - Accent1 2 3 2 2 4" xfId="19788" xr:uid="{8A5A0F1D-D658-4D9E-878A-93383A1A1654}"/>
    <cellStyle name="40% - Accent1 2 3 2 2 5" xfId="11347" xr:uid="{44DAA27E-37D8-4A83-8853-AE8AA3CDD7FD}"/>
    <cellStyle name="40% - Accent1 2 3 2 3" xfId="4970" xr:uid="{00000000-0005-0000-0000-0000EF030000}"/>
    <cellStyle name="40% - Accent1 2 3 2 3 2" xfId="30302" xr:uid="{941F2F0B-E511-4043-9116-82D348423568}"/>
    <cellStyle name="40% - Accent1 2 3 2 3 3" xfId="21861" xr:uid="{E5E8606D-2914-4540-B5A2-927CDCF1A131}"/>
    <cellStyle name="40% - Accent1 2 3 2 3 4" xfId="13420" xr:uid="{EEFAF76E-20FF-4BF4-BAB9-B329EF112B31}"/>
    <cellStyle name="40% - Accent1 2 3 2 4" xfId="26084" xr:uid="{438D137D-28AE-48D8-9CA9-12552B662189}"/>
    <cellStyle name="40% - Accent1 2 3 2 5" xfId="17643" xr:uid="{1F9EBD52-FCED-43B8-ADC3-A28353C359E2}"/>
    <cellStyle name="40% - Accent1 2 3 2 6" xfId="9202" xr:uid="{48215FAD-CC7B-4124-BF82-C126F52EC939}"/>
    <cellStyle name="40% - Accent1 2 3 3" xfId="1075" xr:uid="{00000000-0005-0000-0000-0000F0030000}"/>
    <cellStyle name="40% - Accent1 2 3 3 2" xfId="3306" xr:uid="{00000000-0005-0000-0000-0000F1030000}"/>
    <cellStyle name="40% - Accent1 2 3 3 2 2" xfId="7528" xr:uid="{00000000-0005-0000-0000-0000F2030000}"/>
    <cellStyle name="40% - Accent1 2 3 3 2 2 2" xfId="32860" xr:uid="{686FC909-9A5C-4371-99FA-8EB6BF5FC565}"/>
    <cellStyle name="40% - Accent1 2 3 3 2 2 3" xfId="24419" xr:uid="{53E56FC0-E18C-4F44-8CED-65CE1CB87863}"/>
    <cellStyle name="40% - Accent1 2 3 3 2 2 4" xfId="15978" xr:uid="{75916B4A-2C90-47E2-9D3B-98F2006B474D}"/>
    <cellStyle name="40% - Accent1 2 3 3 2 3" xfId="28642" xr:uid="{518651DC-3C36-46CC-B49A-010360BC80B6}"/>
    <cellStyle name="40% - Accent1 2 3 3 2 4" xfId="20201" xr:uid="{6D4063AE-2FC6-42E2-8C77-EF5FE294590A}"/>
    <cellStyle name="40% - Accent1 2 3 3 2 5" xfId="11760" xr:uid="{7DF4CE7A-1373-4821-AE19-F9CEF0F8BFE9}"/>
    <cellStyle name="40% - Accent1 2 3 3 3" xfId="5383" xr:uid="{00000000-0005-0000-0000-0000F3030000}"/>
    <cellStyle name="40% - Accent1 2 3 3 3 2" xfId="30715" xr:uid="{8C016CF8-185E-4766-A0FA-B8ED29702A64}"/>
    <cellStyle name="40% - Accent1 2 3 3 3 3" xfId="22274" xr:uid="{ABE29E93-FA6F-43E4-B21C-B49EE537FE53}"/>
    <cellStyle name="40% - Accent1 2 3 3 3 4" xfId="13833" xr:uid="{F94433C0-BB12-4F66-871E-B6B0A19751E6}"/>
    <cellStyle name="40% - Accent1 2 3 3 4" xfId="26497" xr:uid="{97BB24F9-38FF-40F5-A934-3444F854D57E}"/>
    <cellStyle name="40% - Accent1 2 3 3 5" xfId="18056" xr:uid="{A60CBDC1-FFFF-4396-B471-E6F8376B1813}"/>
    <cellStyle name="40% - Accent1 2 3 3 6" xfId="9615" xr:uid="{7C04FFC9-6A34-4780-A212-AC53D5CDD374}"/>
    <cellStyle name="40% - Accent1 2 3 4" xfId="1489" xr:uid="{00000000-0005-0000-0000-0000F4030000}"/>
    <cellStyle name="40% - Accent1 2 3 4 2" xfId="3719" xr:uid="{00000000-0005-0000-0000-0000F5030000}"/>
    <cellStyle name="40% - Accent1 2 3 4 2 2" xfId="7941" xr:uid="{00000000-0005-0000-0000-0000F6030000}"/>
    <cellStyle name="40% - Accent1 2 3 4 2 2 2" xfId="33273" xr:uid="{28CBA1AC-0845-44A0-9FE0-44EAE38B31FF}"/>
    <cellStyle name="40% - Accent1 2 3 4 2 2 3" xfId="24832" xr:uid="{600BE3DD-A400-43E6-A753-FC6D601AA918}"/>
    <cellStyle name="40% - Accent1 2 3 4 2 2 4" xfId="16391" xr:uid="{28DBB906-1D13-4855-AFE4-117680F5A2A4}"/>
    <cellStyle name="40% - Accent1 2 3 4 2 3" xfId="29055" xr:uid="{EE0AA18E-3E6C-4E19-BE48-FC08DD0EB486}"/>
    <cellStyle name="40% - Accent1 2 3 4 2 4" xfId="20614" xr:uid="{FDDBAF8A-8EA2-48F2-AF66-091666DE280A}"/>
    <cellStyle name="40% - Accent1 2 3 4 2 5" xfId="12173" xr:uid="{BFC47E2A-B060-4DE9-986F-4E3C3AC857A8}"/>
    <cellStyle name="40% - Accent1 2 3 4 3" xfId="5796" xr:uid="{00000000-0005-0000-0000-0000F7030000}"/>
    <cellStyle name="40% - Accent1 2 3 4 3 2" xfId="31128" xr:uid="{811C24DF-C6DF-465B-A780-708D369B995C}"/>
    <cellStyle name="40% - Accent1 2 3 4 3 3" xfId="22687" xr:uid="{0DB51FA1-EBF0-443C-9024-9BC118A604A7}"/>
    <cellStyle name="40% - Accent1 2 3 4 3 4" xfId="14246" xr:uid="{6AFB5298-0565-4F4E-B9BB-79BB0EF08F99}"/>
    <cellStyle name="40% - Accent1 2 3 4 4" xfId="26910" xr:uid="{3EA5A250-21E8-4F6D-B8DA-1902DADE19E2}"/>
    <cellStyle name="40% - Accent1 2 3 4 5" xfId="18469" xr:uid="{07FA7F73-35AD-4689-8E62-AB018837030E}"/>
    <cellStyle name="40% - Accent1 2 3 4 6" xfId="10028" xr:uid="{22FBB6E4-BA85-491D-AC70-0470BDFADECA}"/>
    <cellStyle name="40% - Accent1 2 3 5" xfId="1903" xr:uid="{00000000-0005-0000-0000-0000F8030000}"/>
    <cellStyle name="40% - Accent1 2 3 5 2" xfId="4132" xr:uid="{00000000-0005-0000-0000-0000F9030000}"/>
    <cellStyle name="40% - Accent1 2 3 5 2 2" xfId="8354" xr:uid="{00000000-0005-0000-0000-0000FA030000}"/>
    <cellStyle name="40% - Accent1 2 3 5 2 2 2" xfId="33686" xr:uid="{CF77AA05-4692-4832-A412-E59C38A73363}"/>
    <cellStyle name="40% - Accent1 2 3 5 2 2 3" xfId="25245" xr:uid="{E074BFB4-3788-4883-BDE7-3761F6B1CD09}"/>
    <cellStyle name="40% - Accent1 2 3 5 2 2 4" xfId="16804" xr:uid="{CADCC625-61E7-459B-81C3-F9AFC030E26E}"/>
    <cellStyle name="40% - Accent1 2 3 5 2 3" xfId="29468" xr:uid="{9305F955-C59E-46DA-831A-D8AC3351B774}"/>
    <cellStyle name="40% - Accent1 2 3 5 2 4" xfId="21027" xr:uid="{33E1BD75-7483-40B2-8C91-3496933CEF3D}"/>
    <cellStyle name="40% - Accent1 2 3 5 2 5" xfId="12586" xr:uid="{32527BFE-FB8D-4C03-B782-5EC871AF9BE7}"/>
    <cellStyle name="40% - Accent1 2 3 5 3" xfId="6209" xr:uid="{00000000-0005-0000-0000-0000FB030000}"/>
    <cellStyle name="40% - Accent1 2 3 5 3 2" xfId="31541" xr:uid="{56368DEA-93D1-4B24-9685-F8240ADE7F46}"/>
    <cellStyle name="40% - Accent1 2 3 5 3 3" xfId="23100" xr:uid="{9455ED1E-7B5B-4BFE-80DF-18600C7AAE28}"/>
    <cellStyle name="40% - Accent1 2 3 5 3 4" xfId="14659" xr:uid="{0F4388AB-16AF-4C90-92C0-C16174F5997C}"/>
    <cellStyle name="40% - Accent1 2 3 5 4" xfId="27323" xr:uid="{9FD904DE-66CF-453F-AB65-837DDDFAB2E7}"/>
    <cellStyle name="40% - Accent1 2 3 5 5" xfId="18882" xr:uid="{CD076C58-3FBC-4D96-9513-937C474F255B}"/>
    <cellStyle name="40% - Accent1 2 3 5 6" xfId="10441" xr:uid="{66F05DF9-7DD4-45A3-BDF7-E4900154E030}"/>
    <cellStyle name="40% - Accent1 2 3 6" xfId="2316" xr:uid="{00000000-0005-0000-0000-0000FC030000}"/>
    <cellStyle name="40% - Accent1 2 3 6 2" xfId="6622" xr:uid="{00000000-0005-0000-0000-0000FD030000}"/>
    <cellStyle name="40% - Accent1 2 3 6 2 2" xfId="31954" xr:uid="{C3D7DCA0-6764-41DD-996C-67B2FE3068CE}"/>
    <cellStyle name="40% - Accent1 2 3 6 2 3" xfId="23513" xr:uid="{75E1E6F3-71A9-4A85-880D-5C5945D4163A}"/>
    <cellStyle name="40% - Accent1 2 3 6 2 4" xfId="15072" xr:uid="{69255443-C66E-4BFD-966D-A760C5872438}"/>
    <cellStyle name="40% - Accent1 2 3 6 3" xfId="27736" xr:uid="{E3B78C01-B274-4C78-9119-C0849B16AF6B}"/>
    <cellStyle name="40% - Accent1 2 3 6 4" xfId="19295" xr:uid="{373522A7-5DC0-478A-839C-2E15351B7CC3}"/>
    <cellStyle name="40% - Accent1 2 3 6 5" xfId="10854" xr:uid="{61C513CB-3C9B-42F7-8F7A-1E92BBFD861E}"/>
    <cellStyle name="40% - Accent1 2 3 7" xfId="4556" xr:uid="{00000000-0005-0000-0000-0000FE030000}"/>
    <cellStyle name="40% - Accent1 2 3 7 2" xfId="29888" xr:uid="{4EBDD53D-21F7-4D09-9336-CD734CFFAD50}"/>
    <cellStyle name="40% - Accent1 2 3 7 3" xfId="21447" xr:uid="{E61FB42B-0D3A-45DF-9842-AAA1F6601D61}"/>
    <cellStyle name="40% - Accent1 2 3 7 4" xfId="13006" xr:uid="{73E908AC-F858-45B6-8F02-090B5AF1933A}"/>
    <cellStyle name="40% - Accent1 2 3 8" xfId="25670" xr:uid="{6C01F318-665C-4146-AD74-7AF5DA950A1A}"/>
    <cellStyle name="40% - Accent1 2 3 9" xfId="17229" xr:uid="{CCB06604-1AFA-4A5F-AF7D-3135364402E5}"/>
    <cellStyle name="40% - Accent1 2 4" xfId="619" xr:uid="{00000000-0005-0000-0000-0000FF030000}"/>
    <cellStyle name="40% - Accent1 2 4 2" xfId="2890" xr:uid="{00000000-0005-0000-0000-000000040000}"/>
    <cellStyle name="40% - Accent1 2 4 2 2" xfId="7112" xr:uid="{00000000-0005-0000-0000-000001040000}"/>
    <cellStyle name="40% - Accent1 2 4 2 2 2" xfId="32444" xr:uid="{A6DA1F86-F7DB-4F7F-9E4D-09ABF2507025}"/>
    <cellStyle name="40% - Accent1 2 4 2 2 3" xfId="24003" xr:uid="{4FBCA5C0-B8F3-4F46-AA7A-DBFE8B17493A}"/>
    <cellStyle name="40% - Accent1 2 4 2 2 4" xfId="15562" xr:uid="{E0D9D320-8ABD-463A-B874-CD830826B749}"/>
    <cellStyle name="40% - Accent1 2 4 2 3" xfId="28226" xr:uid="{724E8694-3FC4-4808-89FC-7540E18F18A2}"/>
    <cellStyle name="40% - Accent1 2 4 2 4" xfId="19785" xr:uid="{46478E9C-C9EB-4FCA-9868-4AB7B3C178AA}"/>
    <cellStyle name="40% - Accent1 2 4 2 5" xfId="11344" xr:uid="{30181412-017C-4622-815A-F77937881AA5}"/>
    <cellStyle name="40% - Accent1 2 4 3" xfId="4967" xr:uid="{00000000-0005-0000-0000-000002040000}"/>
    <cellStyle name="40% - Accent1 2 4 3 2" xfId="30299" xr:uid="{F4FFCB45-A315-42F5-8B1D-33FF679A0D6B}"/>
    <cellStyle name="40% - Accent1 2 4 3 3" xfId="21858" xr:uid="{3518BF24-1BA8-480F-A344-54AF137A8988}"/>
    <cellStyle name="40% - Accent1 2 4 3 4" xfId="13417" xr:uid="{5B196AB8-7C46-43A1-B81B-2235F6D671BB}"/>
    <cellStyle name="40% - Accent1 2 4 4" xfId="26081" xr:uid="{638055BB-1605-4610-B85F-F9C075746460}"/>
    <cellStyle name="40% - Accent1 2 4 5" xfId="17640" xr:uid="{D7AED935-40CF-4EC5-A562-3A9722DB30CD}"/>
    <cellStyle name="40% - Accent1 2 4 6" xfId="9199" xr:uid="{8BA6A079-4F9D-4700-B8E5-1B09B1DDD322}"/>
    <cellStyle name="40% - Accent1 2 5" xfId="1072" xr:uid="{00000000-0005-0000-0000-000003040000}"/>
    <cellStyle name="40% - Accent1 2 5 2" xfId="3303" xr:uid="{00000000-0005-0000-0000-000004040000}"/>
    <cellStyle name="40% - Accent1 2 5 2 2" xfId="7525" xr:uid="{00000000-0005-0000-0000-000005040000}"/>
    <cellStyle name="40% - Accent1 2 5 2 2 2" xfId="32857" xr:uid="{794412E0-B1E0-4B85-84FF-252D82E63F11}"/>
    <cellStyle name="40% - Accent1 2 5 2 2 3" xfId="24416" xr:uid="{F6A5EA0C-E79D-4CDE-A43C-E5BDDA7D758F}"/>
    <cellStyle name="40% - Accent1 2 5 2 2 4" xfId="15975" xr:uid="{F51B47E1-95E6-4023-8EB6-E759854093DA}"/>
    <cellStyle name="40% - Accent1 2 5 2 3" xfId="28639" xr:uid="{AC2947A7-7B6C-457E-8183-0EDA335D9CE6}"/>
    <cellStyle name="40% - Accent1 2 5 2 4" xfId="20198" xr:uid="{6D564B23-762E-4A8C-A565-E3D9B87061CE}"/>
    <cellStyle name="40% - Accent1 2 5 2 5" xfId="11757" xr:uid="{6FFC69EB-AFC5-4931-B28C-88E54E27A42D}"/>
    <cellStyle name="40% - Accent1 2 5 3" xfId="5380" xr:uid="{00000000-0005-0000-0000-000006040000}"/>
    <cellStyle name="40% - Accent1 2 5 3 2" xfId="30712" xr:uid="{7CFF8779-ACE6-42D0-99B6-029AE08F2373}"/>
    <cellStyle name="40% - Accent1 2 5 3 3" xfId="22271" xr:uid="{0FB6870A-1FEA-49C8-9EF9-BF67074616CE}"/>
    <cellStyle name="40% - Accent1 2 5 3 4" xfId="13830" xr:uid="{194CBDAB-6927-406F-B3CB-1C669B405B0E}"/>
    <cellStyle name="40% - Accent1 2 5 4" xfId="26494" xr:uid="{8957926D-AD4E-4F95-A0A9-9C56D3356340}"/>
    <cellStyle name="40% - Accent1 2 5 5" xfId="18053" xr:uid="{67A14E31-8769-40E9-B2D5-6F42751C8169}"/>
    <cellStyle name="40% - Accent1 2 5 6" xfId="9612" xr:uid="{660A5AD1-48E4-4C53-967B-BE60ACEF400D}"/>
    <cellStyle name="40% - Accent1 2 6" xfId="1486" xr:uid="{00000000-0005-0000-0000-000007040000}"/>
    <cellStyle name="40% - Accent1 2 6 2" xfId="3716" xr:uid="{00000000-0005-0000-0000-000008040000}"/>
    <cellStyle name="40% - Accent1 2 6 2 2" xfId="7938" xr:uid="{00000000-0005-0000-0000-000009040000}"/>
    <cellStyle name="40% - Accent1 2 6 2 2 2" xfId="33270" xr:uid="{256A6313-DECD-494D-A3AD-D53BA54A9FBD}"/>
    <cellStyle name="40% - Accent1 2 6 2 2 3" xfId="24829" xr:uid="{D9AC6E19-F26F-46EC-A8F9-33F7823E4F44}"/>
    <cellStyle name="40% - Accent1 2 6 2 2 4" xfId="16388" xr:uid="{4B595725-D3D1-44EC-9FDB-35D1917503E6}"/>
    <cellStyle name="40% - Accent1 2 6 2 3" xfId="29052" xr:uid="{F5B9F331-8E5F-47E2-9816-9296F3023F7A}"/>
    <cellStyle name="40% - Accent1 2 6 2 4" xfId="20611" xr:uid="{23C9BD4A-8FEE-4583-9198-61271FE42DD5}"/>
    <cellStyle name="40% - Accent1 2 6 2 5" xfId="12170" xr:uid="{338D4383-5C51-45E9-975F-5B149CDBB210}"/>
    <cellStyle name="40% - Accent1 2 6 3" xfId="5793" xr:uid="{00000000-0005-0000-0000-00000A040000}"/>
    <cellStyle name="40% - Accent1 2 6 3 2" xfId="31125" xr:uid="{3E4334A4-16E1-4730-9380-855B03C1B4B5}"/>
    <cellStyle name="40% - Accent1 2 6 3 3" xfId="22684" xr:uid="{0429C882-701C-458C-B3C3-935F245B10A1}"/>
    <cellStyle name="40% - Accent1 2 6 3 4" xfId="14243" xr:uid="{AEF51E45-7C23-4E28-A519-D137EF241C3A}"/>
    <cellStyle name="40% - Accent1 2 6 4" xfId="26907" xr:uid="{FCFB8959-BAC7-469F-A487-069C5EFE5D9C}"/>
    <cellStyle name="40% - Accent1 2 6 5" xfId="18466" xr:uid="{22B8AE60-EE2F-4F53-935F-9A86EF3E43C6}"/>
    <cellStyle name="40% - Accent1 2 6 6" xfId="10025" xr:uid="{E1E34E63-A098-4D58-BD41-FF861A02BE28}"/>
    <cellStyle name="40% - Accent1 2 7" xfId="1900" xr:uid="{00000000-0005-0000-0000-00000B040000}"/>
    <cellStyle name="40% - Accent1 2 7 2" xfId="4129" xr:uid="{00000000-0005-0000-0000-00000C040000}"/>
    <cellStyle name="40% - Accent1 2 7 2 2" xfId="8351" xr:uid="{00000000-0005-0000-0000-00000D040000}"/>
    <cellStyle name="40% - Accent1 2 7 2 2 2" xfId="33683" xr:uid="{7BB76ABD-3334-4D6E-91E6-E6503667BEE4}"/>
    <cellStyle name="40% - Accent1 2 7 2 2 3" xfId="25242" xr:uid="{CA4A38BD-7EDC-4C1F-BBC9-9884FA100988}"/>
    <cellStyle name="40% - Accent1 2 7 2 2 4" xfId="16801" xr:uid="{B571E386-5552-4F80-AC5B-7C90F13EFD35}"/>
    <cellStyle name="40% - Accent1 2 7 2 3" xfId="29465" xr:uid="{A80F2A4E-D070-4693-94FC-D2809B36E6A3}"/>
    <cellStyle name="40% - Accent1 2 7 2 4" xfId="21024" xr:uid="{6CBE4112-C73E-4C29-B5C0-C95D53441679}"/>
    <cellStyle name="40% - Accent1 2 7 2 5" xfId="12583" xr:uid="{99D58ED4-0829-4C1A-A842-8A2EBD4B0E08}"/>
    <cellStyle name="40% - Accent1 2 7 3" xfId="6206" xr:uid="{00000000-0005-0000-0000-00000E040000}"/>
    <cellStyle name="40% - Accent1 2 7 3 2" xfId="31538" xr:uid="{D4CE699F-7084-4E8A-BA7F-AD6591230B95}"/>
    <cellStyle name="40% - Accent1 2 7 3 3" xfId="23097" xr:uid="{52576E69-B95D-4D48-BF30-264AAD038DDC}"/>
    <cellStyle name="40% - Accent1 2 7 3 4" xfId="14656" xr:uid="{F2C43066-F56E-4237-B355-16699CCD2583}"/>
    <cellStyle name="40% - Accent1 2 7 4" xfId="27320" xr:uid="{C215B407-C7B4-4434-8953-1750D3E5133D}"/>
    <cellStyle name="40% - Accent1 2 7 5" xfId="18879" xr:uid="{D400924A-8979-4BFE-8F55-DAF039EE029F}"/>
    <cellStyle name="40% - Accent1 2 7 6" xfId="10438" xr:uid="{A2BC08E2-C7D8-4F70-8E2A-3B2A9F56C375}"/>
    <cellStyle name="40% - Accent1 2 8" xfId="2313" xr:uid="{00000000-0005-0000-0000-00000F040000}"/>
    <cellStyle name="40% - Accent1 2 8 2" xfId="6619" xr:uid="{00000000-0005-0000-0000-000010040000}"/>
    <cellStyle name="40% - Accent1 2 8 2 2" xfId="31951" xr:uid="{D65F8E61-B36F-49DB-B9A5-993E4325DCC8}"/>
    <cellStyle name="40% - Accent1 2 8 2 3" xfId="23510" xr:uid="{23DBEC04-6584-46B3-8404-7843B3823A95}"/>
    <cellStyle name="40% - Accent1 2 8 2 4" xfId="15069" xr:uid="{3F7B7096-EC19-4D6E-9C64-8AC2D4833C24}"/>
    <cellStyle name="40% - Accent1 2 8 3" xfId="27733" xr:uid="{70830803-7B66-4A1D-BAEA-58AF404CE36C}"/>
    <cellStyle name="40% - Accent1 2 8 4" xfId="19292" xr:uid="{638702C0-0995-4299-8C66-218D8C9F4CC3}"/>
    <cellStyle name="40% - Accent1 2 8 5" xfId="10851" xr:uid="{492924AD-0F7E-4249-8464-238EA07E0A44}"/>
    <cellStyle name="40% - Accent1 2 9" xfId="4553" xr:uid="{00000000-0005-0000-0000-000011040000}"/>
    <cellStyle name="40% - Accent1 2 9 2" xfId="29885" xr:uid="{48D936F4-5648-4D7D-B587-164D2AE74617}"/>
    <cellStyle name="40% - Accent1 2 9 3" xfId="21444" xr:uid="{92EB8E37-A4B0-42D3-81DA-F62901224E67}"/>
    <cellStyle name="40% - Accent1 2 9 4" xfId="13003" xr:uid="{2CCC8CD7-AA9E-40BA-9C08-97C5B9FF0FCC}"/>
    <cellStyle name="40% - Accent1 3" xfId="54" xr:uid="{00000000-0005-0000-0000-000012040000}"/>
    <cellStyle name="40% - Accent1 3 10" xfId="17230" xr:uid="{03ACDFAD-CDB9-4A8D-9014-84E8C06BB2A5}"/>
    <cellStyle name="40% - Accent1 3 11" xfId="8789" xr:uid="{238D9BC8-2F0D-4D5D-A720-9F528628A072}"/>
    <cellStyle name="40% - Accent1 3 2" xfId="55" xr:uid="{00000000-0005-0000-0000-000013040000}"/>
    <cellStyle name="40% - Accent1 3 2 10" xfId="8790" xr:uid="{8B3B98C3-B856-44D2-A2C1-57C7B1183E29}"/>
    <cellStyle name="40% - Accent1 3 2 2" xfId="624" xr:uid="{00000000-0005-0000-0000-000014040000}"/>
    <cellStyle name="40% - Accent1 3 2 2 2" xfId="2895" xr:uid="{00000000-0005-0000-0000-000015040000}"/>
    <cellStyle name="40% - Accent1 3 2 2 2 2" xfId="7117" xr:uid="{00000000-0005-0000-0000-000016040000}"/>
    <cellStyle name="40% - Accent1 3 2 2 2 2 2" xfId="32449" xr:uid="{0BEE9383-CD33-4619-856D-7AD51201658B}"/>
    <cellStyle name="40% - Accent1 3 2 2 2 2 3" xfId="24008" xr:uid="{BED0B28F-0040-4CD9-AA38-9AE2C6241F34}"/>
    <cellStyle name="40% - Accent1 3 2 2 2 2 4" xfId="15567" xr:uid="{2F8410C5-E33A-4DAF-B091-9F2DC837B5E3}"/>
    <cellStyle name="40% - Accent1 3 2 2 2 3" xfId="28231" xr:uid="{3BB9C5F8-31D5-4D1A-A91D-C08A21C4103D}"/>
    <cellStyle name="40% - Accent1 3 2 2 2 4" xfId="19790" xr:uid="{C941762F-3624-4180-87D1-11634C91CD30}"/>
    <cellStyle name="40% - Accent1 3 2 2 2 5" xfId="11349" xr:uid="{C34833EE-534A-46D8-BC50-858875BBF82E}"/>
    <cellStyle name="40% - Accent1 3 2 2 3" xfId="4972" xr:uid="{00000000-0005-0000-0000-000017040000}"/>
    <cellStyle name="40% - Accent1 3 2 2 3 2" xfId="30304" xr:uid="{A4873A10-3917-4C3D-9CFB-F42555957504}"/>
    <cellStyle name="40% - Accent1 3 2 2 3 3" xfId="21863" xr:uid="{0E8A2B46-3E5F-4B45-A414-C9B27B9249CB}"/>
    <cellStyle name="40% - Accent1 3 2 2 3 4" xfId="13422" xr:uid="{D5648263-F420-45F7-BA66-3BAB9847EB82}"/>
    <cellStyle name="40% - Accent1 3 2 2 4" xfId="26086" xr:uid="{6DB3428B-29AD-4370-868C-DBCB50799A3D}"/>
    <cellStyle name="40% - Accent1 3 2 2 5" xfId="17645" xr:uid="{675C4B9E-EC29-4003-8368-2FE12D7DC711}"/>
    <cellStyle name="40% - Accent1 3 2 2 6" xfId="9204" xr:uid="{4028ADCF-0594-4455-9AFF-26F0AC7FC3EF}"/>
    <cellStyle name="40% - Accent1 3 2 3" xfId="1077" xr:uid="{00000000-0005-0000-0000-000018040000}"/>
    <cellStyle name="40% - Accent1 3 2 3 2" xfId="3308" xr:uid="{00000000-0005-0000-0000-000019040000}"/>
    <cellStyle name="40% - Accent1 3 2 3 2 2" xfId="7530" xr:uid="{00000000-0005-0000-0000-00001A040000}"/>
    <cellStyle name="40% - Accent1 3 2 3 2 2 2" xfId="32862" xr:uid="{2C41B94C-2B50-43FE-BF74-B62C27F63B91}"/>
    <cellStyle name="40% - Accent1 3 2 3 2 2 3" xfId="24421" xr:uid="{28FA959D-5C90-4B7F-AC6C-AC40A2F4C51D}"/>
    <cellStyle name="40% - Accent1 3 2 3 2 2 4" xfId="15980" xr:uid="{B597F272-1878-4FBE-860C-6E4186C17158}"/>
    <cellStyle name="40% - Accent1 3 2 3 2 3" xfId="28644" xr:uid="{7BC63307-8283-494C-AF39-F9B2AB57D977}"/>
    <cellStyle name="40% - Accent1 3 2 3 2 4" xfId="20203" xr:uid="{5D6AD1BA-1D94-4BD1-8909-4410BD88AC5B}"/>
    <cellStyle name="40% - Accent1 3 2 3 2 5" xfId="11762" xr:uid="{D13D963F-9AD3-4986-A15B-3EC96A96F0A7}"/>
    <cellStyle name="40% - Accent1 3 2 3 3" xfId="5385" xr:uid="{00000000-0005-0000-0000-00001B040000}"/>
    <cellStyle name="40% - Accent1 3 2 3 3 2" xfId="30717" xr:uid="{D019689A-F5B8-49A2-B276-560D8736C965}"/>
    <cellStyle name="40% - Accent1 3 2 3 3 3" xfId="22276" xr:uid="{65D6AE36-FCDC-4EE5-A775-F5AA560AFE68}"/>
    <cellStyle name="40% - Accent1 3 2 3 3 4" xfId="13835" xr:uid="{3C813D03-BBC0-4727-9AAC-166EAD215160}"/>
    <cellStyle name="40% - Accent1 3 2 3 4" xfId="26499" xr:uid="{D5FE94AE-7DC9-4898-8479-D321D4A5BA84}"/>
    <cellStyle name="40% - Accent1 3 2 3 5" xfId="18058" xr:uid="{B81D010C-FED8-40CD-A06B-24C03AC94DF1}"/>
    <cellStyle name="40% - Accent1 3 2 3 6" xfId="9617" xr:uid="{D66AC47F-F938-427C-8603-DAB1E0E95F9A}"/>
    <cellStyle name="40% - Accent1 3 2 4" xfId="1491" xr:uid="{00000000-0005-0000-0000-00001C040000}"/>
    <cellStyle name="40% - Accent1 3 2 4 2" xfId="3721" xr:uid="{00000000-0005-0000-0000-00001D040000}"/>
    <cellStyle name="40% - Accent1 3 2 4 2 2" xfId="7943" xr:uid="{00000000-0005-0000-0000-00001E040000}"/>
    <cellStyle name="40% - Accent1 3 2 4 2 2 2" xfId="33275" xr:uid="{14DA3158-861D-4477-A707-893C4A3A03EE}"/>
    <cellStyle name="40% - Accent1 3 2 4 2 2 3" xfId="24834" xr:uid="{4726E116-C312-4F89-BEC1-E90221870045}"/>
    <cellStyle name="40% - Accent1 3 2 4 2 2 4" xfId="16393" xr:uid="{6A96B434-7B46-4ECE-8E8C-93F1699FA4DE}"/>
    <cellStyle name="40% - Accent1 3 2 4 2 3" xfId="29057" xr:uid="{929DB4E4-08B4-4D1F-A3E5-3889FCE6D2A0}"/>
    <cellStyle name="40% - Accent1 3 2 4 2 4" xfId="20616" xr:uid="{2CDE2F17-B965-48BE-BFB8-F09B5FA74609}"/>
    <cellStyle name="40% - Accent1 3 2 4 2 5" xfId="12175" xr:uid="{AC94A723-1EC0-4BC8-A504-FE397712E2FF}"/>
    <cellStyle name="40% - Accent1 3 2 4 3" xfId="5798" xr:uid="{00000000-0005-0000-0000-00001F040000}"/>
    <cellStyle name="40% - Accent1 3 2 4 3 2" xfId="31130" xr:uid="{0A1EA74D-4969-4A42-8694-2D8EDA720A9D}"/>
    <cellStyle name="40% - Accent1 3 2 4 3 3" xfId="22689" xr:uid="{7E48333A-20F2-4295-81D5-63A09398E49B}"/>
    <cellStyle name="40% - Accent1 3 2 4 3 4" xfId="14248" xr:uid="{5862E939-6593-4152-B284-3E3CA49F6B9A}"/>
    <cellStyle name="40% - Accent1 3 2 4 4" xfId="26912" xr:uid="{174DDDA5-2BB6-4017-9A1E-2CD4E02210CC}"/>
    <cellStyle name="40% - Accent1 3 2 4 5" xfId="18471" xr:uid="{0B7E6F07-96FA-4A3A-8EE5-645D58F50C48}"/>
    <cellStyle name="40% - Accent1 3 2 4 6" xfId="10030" xr:uid="{3A6D49F7-6799-42D3-B5FB-CA34EAA62651}"/>
    <cellStyle name="40% - Accent1 3 2 5" xfId="1905" xr:uid="{00000000-0005-0000-0000-000020040000}"/>
    <cellStyle name="40% - Accent1 3 2 5 2" xfId="4134" xr:uid="{00000000-0005-0000-0000-000021040000}"/>
    <cellStyle name="40% - Accent1 3 2 5 2 2" xfId="8356" xr:uid="{00000000-0005-0000-0000-000022040000}"/>
    <cellStyle name="40% - Accent1 3 2 5 2 2 2" xfId="33688" xr:uid="{64538E26-5E20-4115-8FFA-FA5C4CE9CFC2}"/>
    <cellStyle name="40% - Accent1 3 2 5 2 2 3" xfId="25247" xr:uid="{96AA3824-A83F-4645-BF6F-A0160634656C}"/>
    <cellStyle name="40% - Accent1 3 2 5 2 2 4" xfId="16806" xr:uid="{BAD42979-8991-4142-A725-4BD77BE2EB61}"/>
    <cellStyle name="40% - Accent1 3 2 5 2 3" xfId="29470" xr:uid="{85FBEBD6-E607-4366-AD8D-CCF218BB2E5A}"/>
    <cellStyle name="40% - Accent1 3 2 5 2 4" xfId="21029" xr:uid="{06DD37CF-48DA-46A8-A8C1-6F9512996C9B}"/>
    <cellStyle name="40% - Accent1 3 2 5 2 5" xfId="12588" xr:uid="{2336A1B6-88A5-47F2-BABE-92AFF07B19EF}"/>
    <cellStyle name="40% - Accent1 3 2 5 3" xfId="6211" xr:uid="{00000000-0005-0000-0000-000023040000}"/>
    <cellStyle name="40% - Accent1 3 2 5 3 2" xfId="31543" xr:uid="{5C0243FF-A85A-4617-A19E-183AF9DD152F}"/>
    <cellStyle name="40% - Accent1 3 2 5 3 3" xfId="23102" xr:uid="{9EB61051-91D4-4A78-BF3C-0F7850DE7722}"/>
    <cellStyle name="40% - Accent1 3 2 5 3 4" xfId="14661" xr:uid="{7FC010C9-0786-4A23-946F-A19BDD51E325}"/>
    <cellStyle name="40% - Accent1 3 2 5 4" xfId="27325" xr:uid="{5D981684-6AC2-4F44-A67D-66392602C802}"/>
    <cellStyle name="40% - Accent1 3 2 5 5" xfId="18884" xr:uid="{1CC12C96-61C1-4CC1-A942-70DB2FFD2704}"/>
    <cellStyle name="40% - Accent1 3 2 5 6" xfId="10443" xr:uid="{1AFCDCFD-6F58-42BB-9794-9629D052D671}"/>
    <cellStyle name="40% - Accent1 3 2 6" xfId="2318" xr:uid="{00000000-0005-0000-0000-000024040000}"/>
    <cellStyle name="40% - Accent1 3 2 6 2" xfId="6624" xr:uid="{00000000-0005-0000-0000-000025040000}"/>
    <cellStyle name="40% - Accent1 3 2 6 2 2" xfId="31956" xr:uid="{BE8356D6-6C27-45AB-9883-5951A15E94EF}"/>
    <cellStyle name="40% - Accent1 3 2 6 2 3" xfId="23515" xr:uid="{20F22045-B6BD-4941-ACAE-2E6FAA2EA5CE}"/>
    <cellStyle name="40% - Accent1 3 2 6 2 4" xfId="15074" xr:uid="{6D7A6783-1F8C-4A34-8C45-95B1F6A981D9}"/>
    <cellStyle name="40% - Accent1 3 2 6 3" xfId="27738" xr:uid="{82A40627-EEFE-40FD-B2C2-D30DB59B824B}"/>
    <cellStyle name="40% - Accent1 3 2 6 4" xfId="19297" xr:uid="{CE70C179-DD18-4EAF-8A92-CE0BE13062EF}"/>
    <cellStyle name="40% - Accent1 3 2 6 5" xfId="10856" xr:uid="{70CFD817-8338-4825-AD0F-A4D8D4F65738}"/>
    <cellStyle name="40% - Accent1 3 2 7" xfId="4558" xr:uid="{00000000-0005-0000-0000-000026040000}"/>
    <cellStyle name="40% - Accent1 3 2 7 2" xfId="29890" xr:uid="{C76EF44C-B01A-4FC9-898C-A6469A9F8714}"/>
    <cellStyle name="40% - Accent1 3 2 7 3" xfId="21449" xr:uid="{846F03DD-5C6C-4571-A24B-5012BCB0C67C}"/>
    <cellStyle name="40% - Accent1 3 2 7 4" xfId="13008" xr:uid="{1F87523A-7450-464E-914F-6608E0DD4B9E}"/>
    <cellStyle name="40% - Accent1 3 2 8" xfId="25672" xr:uid="{06B67E5A-59EF-412B-8238-DB8673DD0D13}"/>
    <cellStyle name="40% - Accent1 3 2 9" xfId="17231" xr:uid="{96FCFB27-E46E-41C6-939C-2CD9F6591EB6}"/>
    <cellStyle name="40% - Accent1 3 3" xfId="623" xr:uid="{00000000-0005-0000-0000-000027040000}"/>
    <cellStyle name="40% - Accent1 3 3 2" xfId="2894" xr:uid="{00000000-0005-0000-0000-000028040000}"/>
    <cellStyle name="40% - Accent1 3 3 2 2" xfId="7116" xr:uid="{00000000-0005-0000-0000-000029040000}"/>
    <cellStyle name="40% - Accent1 3 3 2 2 2" xfId="32448" xr:uid="{734EA559-4047-439E-B3A0-90B3A58E2567}"/>
    <cellStyle name="40% - Accent1 3 3 2 2 3" xfId="24007" xr:uid="{D6CEED25-F466-4EEE-BEEC-820AD63AF78A}"/>
    <cellStyle name="40% - Accent1 3 3 2 2 4" xfId="15566" xr:uid="{D464FDA9-8EA5-4D19-95CF-A7BE90F4927F}"/>
    <cellStyle name="40% - Accent1 3 3 2 3" xfId="28230" xr:uid="{4A3E1013-0CFC-47FA-874B-37F59AB65ACB}"/>
    <cellStyle name="40% - Accent1 3 3 2 4" xfId="19789" xr:uid="{26501210-05C4-44FD-95B0-2A65C586A2E4}"/>
    <cellStyle name="40% - Accent1 3 3 2 5" xfId="11348" xr:uid="{32A5E64B-3AB5-4983-94E5-A7DDDEAE93D1}"/>
    <cellStyle name="40% - Accent1 3 3 3" xfId="4971" xr:uid="{00000000-0005-0000-0000-00002A040000}"/>
    <cellStyle name="40% - Accent1 3 3 3 2" xfId="30303" xr:uid="{BB5D83BF-DCDC-4655-BAD8-5B7AB0C0EDE2}"/>
    <cellStyle name="40% - Accent1 3 3 3 3" xfId="21862" xr:uid="{422E8E7F-3924-47AE-A5EA-B0AF3AB5BCF7}"/>
    <cellStyle name="40% - Accent1 3 3 3 4" xfId="13421" xr:uid="{59FE0B4B-9DDB-416C-B90C-077B20B191AD}"/>
    <cellStyle name="40% - Accent1 3 3 4" xfId="26085" xr:uid="{4E3B6DDF-9948-4A7E-9635-F6B42A400E30}"/>
    <cellStyle name="40% - Accent1 3 3 5" xfId="17644" xr:uid="{3303CF6D-4359-440A-B8B3-2CE6BDA23189}"/>
    <cellStyle name="40% - Accent1 3 3 6" xfId="9203" xr:uid="{100539FD-0609-467D-AD7D-268C860D5A37}"/>
    <cellStyle name="40% - Accent1 3 4" xfId="1076" xr:uid="{00000000-0005-0000-0000-00002B040000}"/>
    <cellStyle name="40% - Accent1 3 4 2" xfId="3307" xr:uid="{00000000-0005-0000-0000-00002C040000}"/>
    <cellStyle name="40% - Accent1 3 4 2 2" xfId="7529" xr:uid="{00000000-0005-0000-0000-00002D040000}"/>
    <cellStyle name="40% - Accent1 3 4 2 2 2" xfId="32861" xr:uid="{0E5C70FA-09E0-473E-8A1F-E643B39D8059}"/>
    <cellStyle name="40% - Accent1 3 4 2 2 3" xfId="24420" xr:uid="{0156D830-092B-4C8F-8662-C8A699529807}"/>
    <cellStyle name="40% - Accent1 3 4 2 2 4" xfId="15979" xr:uid="{A29451AA-4693-481C-9DDA-FD350737EE8C}"/>
    <cellStyle name="40% - Accent1 3 4 2 3" xfId="28643" xr:uid="{69BC1AA8-1861-48F8-BBF1-D533F57AC5DC}"/>
    <cellStyle name="40% - Accent1 3 4 2 4" xfId="20202" xr:uid="{9B0A8DB1-5157-4529-8A44-2C81040B094F}"/>
    <cellStyle name="40% - Accent1 3 4 2 5" xfId="11761" xr:uid="{38A1A227-A136-4FF1-AF76-B6F6F2B78D02}"/>
    <cellStyle name="40% - Accent1 3 4 3" xfId="5384" xr:uid="{00000000-0005-0000-0000-00002E040000}"/>
    <cellStyle name="40% - Accent1 3 4 3 2" xfId="30716" xr:uid="{A9695626-5D88-48A4-9FD4-8B875E85CD10}"/>
    <cellStyle name="40% - Accent1 3 4 3 3" xfId="22275" xr:uid="{5163350A-29E0-4D9C-9DC6-390B09A179D6}"/>
    <cellStyle name="40% - Accent1 3 4 3 4" xfId="13834" xr:uid="{9B36786D-09A9-4F3F-988A-19C5FD9CB911}"/>
    <cellStyle name="40% - Accent1 3 4 4" xfId="26498" xr:uid="{765F5A31-5AEF-4FEE-924E-1B41FB6EDFD0}"/>
    <cellStyle name="40% - Accent1 3 4 5" xfId="18057" xr:uid="{7F2A7CB2-0DE8-4624-BF4D-7C62EB061B9F}"/>
    <cellStyle name="40% - Accent1 3 4 6" xfId="9616" xr:uid="{FB01A549-9A67-4EF4-A748-6749EE756438}"/>
    <cellStyle name="40% - Accent1 3 5" xfId="1490" xr:uid="{00000000-0005-0000-0000-00002F040000}"/>
    <cellStyle name="40% - Accent1 3 5 2" xfId="3720" xr:uid="{00000000-0005-0000-0000-000030040000}"/>
    <cellStyle name="40% - Accent1 3 5 2 2" xfId="7942" xr:uid="{00000000-0005-0000-0000-000031040000}"/>
    <cellStyle name="40% - Accent1 3 5 2 2 2" xfId="33274" xr:uid="{E183ED75-9C84-4EFE-91E2-DC55E464F777}"/>
    <cellStyle name="40% - Accent1 3 5 2 2 3" xfId="24833" xr:uid="{3C7F9CFD-D80A-4912-8385-DE95F7B0B4FE}"/>
    <cellStyle name="40% - Accent1 3 5 2 2 4" xfId="16392" xr:uid="{72C01BFA-0B17-4F1D-93A7-FE6E2018B794}"/>
    <cellStyle name="40% - Accent1 3 5 2 3" xfId="29056" xr:uid="{81C04545-3717-480F-873A-D28EFE3A74AE}"/>
    <cellStyle name="40% - Accent1 3 5 2 4" xfId="20615" xr:uid="{AC4E3F51-CDBE-434A-9D6D-6488FC91A784}"/>
    <cellStyle name="40% - Accent1 3 5 2 5" xfId="12174" xr:uid="{B12252F7-053C-4BF9-A550-7A2F597D2D9A}"/>
    <cellStyle name="40% - Accent1 3 5 3" xfId="5797" xr:uid="{00000000-0005-0000-0000-000032040000}"/>
    <cellStyle name="40% - Accent1 3 5 3 2" xfId="31129" xr:uid="{C874B770-289C-4527-9351-574DA68AB0EB}"/>
    <cellStyle name="40% - Accent1 3 5 3 3" xfId="22688" xr:uid="{1E5C64B3-EEB0-44CB-A357-FE3F45A0A2D4}"/>
    <cellStyle name="40% - Accent1 3 5 3 4" xfId="14247" xr:uid="{EA32D481-5601-4052-B0AC-3612B3EE2EA8}"/>
    <cellStyle name="40% - Accent1 3 5 4" xfId="26911" xr:uid="{E22B8510-1DFB-4EB4-8490-B99EE30BEACE}"/>
    <cellStyle name="40% - Accent1 3 5 5" xfId="18470" xr:uid="{54C15D7A-2D90-4969-9CD3-87E7DA86C912}"/>
    <cellStyle name="40% - Accent1 3 5 6" xfId="10029" xr:uid="{BE92AA14-F0BC-47CC-8111-CF19374009D7}"/>
    <cellStyle name="40% - Accent1 3 6" xfId="1904" xr:uid="{00000000-0005-0000-0000-000033040000}"/>
    <cellStyle name="40% - Accent1 3 6 2" xfId="4133" xr:uid="{00000000-0005-0000-0000-000034040000}"/>
    <cellStyle name="40% - Accent1 3 6 2 2" xfId="8355" xr:uid="{00000000-0005-0000-0000-000035040000}"/>
    <cellStyle name="40% - Accent1 3 6 2 2 2" xfId="33687" xr:uid="{E8E1C1C8-A50E-4A72-ABED-67A4CA252F92}"/>
    <cellStyle name="40% - Accent1 3 6 2 2 3" xfId="25246" xr:uid="{DC9461AC-1880-4F2B-A040-F44453FBD5A4}"/>
    <cellStyle name="40% - Accent1 3 6 2 2 4" xfId="16805" xr:uid="{60E5655B-C7AB-4357-9BAF-4FC972660E36}"/>
    <cellStyle name="40% - Accent1 3 6 2 3" xfId="29469" xr:uid="{E087E6A5-704C-4FB5-AE02-8529A7778209}"/>
    <cellStyle name="40% - Accent1 3 6 2 4" xfId="21028" xr:uid="{9B2C1953-AC9D-4663-86FE-D2910F102258}"/>
    <cellStyle name="40% - Accent1 3 6 2 5" xfId="12587" xr:uid="{2E737665-C7A6-4995-B120-6F1125AFDC00}"/>
    <cellStyle name="40% - Accent1 3 6 3" xfId="6210" xr:uid="{00000000-0005-0000-0000-000036040000}"/>
    <cellStyle name="40% - Accent1 3 6 3 2" xfId="31542" xr:uid="{72C44D41-E0AB-4204-8AE4-11B1013A2693}"/>
    <cellStyle name="40% - Accent1 3 6 3 3" xfId="23101" xr:uid="{755F9140-F0A5-4CBE-9207-B493369BB490}"/>
    <cellStyle name="40% - Accent1 3 6 3 4" xfId="14660" xr:uid="{E652FB71-8F03-4ED6-8EB8-1B416FA62662}"/>
    <cellStyle name="40% - Accent1 3 6 4" xfId="27324" xr:uid="{7D61C7EA-BF5A-4CEA-9741-2797C23C423F}"/>
    <cellStyle name="40% - Accent1 3 6 5" xfId="18883" xr:uid="{BE37671B-C867-4893-AD91-D24E8FEAF423}"/>
    <cellStyle name="40% - Accent1 3 6 6" xfId="10442" xr:uid="{EB7B953D-C017-4D3D-887F-D0B3E06D0D85}"/>
    <cellStyle name="40% - Accent1 3 7" xfId="2317" xr:uid="{00000000-0005-0000-0000-000037040000}"/>
    <cellStyle name="40% - Accent1 3 7 2" xfId="6623" xr:uid="{00000000-0005-0000-0000-000038040000}"/>
    <cellStyle name="40% - Accent1 3 7 2 2" xfId="31955" xr:uid="{2DBA89EC-E4E5-46B2-A427-73AC08AF3ACD}"/>
    <cellStyle name="40% - Accent1 3 7 2 3" xfId="23514" xr:uid="{D2DA4A80-C0A1-43EE-BE11-1A4D796ECEF4}"/>
    <cellStyle name="40% - Accent1 3 7 2 4" xfId="15073" xr:uid="{F192D846-7C62-45BC-BD7E-80DB851BD95E}"/>
    <cellStyle name="40% - Accent1 3 7 3" xfId="27737" xr:uid="{BAB00E59-537E-4880-A274-15ADB298A4B8}"/>
    <cellStyle name="40% - Accent1 3 7 4" xfId="19296" xr:uid="{45824A56-0B1D-4995-8AF8-3A7C61DD82C3}"/>
    <cellStyle name="40% - Accent1 3 7 5" xfId="10855" xr:uid="{035232E6-D61E-4E2C-9221-C6D89D0D62BB}"/>
    <cellStyle name="40% - Accent1 3 8" xfId="4557" xr:uid="{00000000-0005-0000-0000-000039040000}"/>
    <cellStyle name="40% - Accent1 3 8 2" xfId="29889" xr:uid="{B95F7FCF-BD31-4BEC-8F87-01C59D6EB171}"/>
    <cellStyle name="40% - Accent1 3 8 3" xfId="21448" xr:uid="{D72C97A1-0FF0-4D2A-B7EA-F49889C24C6E}"/>
    <cellStyle name="40% - Accent1 3 8 4" xfId="13007" xr:uid="{91D24990-8F79-4FED-939E-53282849FA38}"/>
    <cellStyle name="40% - Accent1 3 9" xfId="25671" xr:uid="{552486B5-D8CC-4027-B61A-3B06B8637720}"/>
    <cellStyle name="40% - Accent1 4" xfId="56" xr:uid="{00000000-0005-0000-0000-00003A040000}"/>
    <cellStyle name="40% - Accent1 4 10" xfId="8791" xr:uid="{9F993F05-7B29-4E4D-910F-7D996A505273}"/>
    <cellStyle name="40% - Accent1 4 2" xfId="625" xr:uid="{00000000-0005-0000-0000-00003B040000}"/>
    <cellStyle name="40% - Accent1 4 2 2" xfId="2896" xr:uid="{00000000-0005-0000-0000-00003C040000}"/>
    <cellStyle name="40% - Accent1 4 2 2 2" xfId="7118" xr:uid="{00000000-0005-0000-0000-00003D040000}"/>
    <cellStyle name="40% - Accent1 4 2 2 2 2" xfId="32450" xr:uid="{93063A22-E87F-47C7-99E4-34A196AE72F1}"/>
    <cellStyle name="40% - Accent1 4 2 2 2 3" xfId="24009" xr:uid="{55D75DF2-86BE-4B25-BC00-1A8FEF539557}"/>
    <cellStyle name="40% - Accent1 4 2 2 2 4" xfId="15568" xr:uid="{D2678F22-2B3F-4E45-8A1F-EC72A719F0E7}"/>
    <cellStyle name="40% - Accent1 4 2 2 3" xfId="28232" xr:uid="{8E24C3F3-20F3-4558-9A07-FA7C63C579C2}"/>
    <cellStyle name="40% - Accent1 4 2 2 4" xfId="19791" xr:uid="{0916AB9D-5A4C-444F-A78A-3BF048ADE5BF}"/>
    <cellStyle name="40% - Accent1 4 2 2 5" xfId="11350" xr:uid="{7201903A-9EF0-4FDC-8F0B-C8E65BEA6F2D}"/>
    <cellStyle name="40% - Accent1 4 2 3" xfId="4973" xr:uid="{00000000-0005-0000-0000-00003E040000}"/>
    <cellStyle name="40% - Accent1 4 2 3 2" xfId="30305" xr:uid="{5E6F6581-85C3-43C2-96AB-CB22328964B6}"/>
    <cellStyle name="40% - Accent1 4 2 3 3" xfId="21864" xr:uid="{A90FB84D-13A5-4901-B88C-F59246B6BB2D}"/>
    <cellStyle name="40% - Accent1 4 2 3 4" xfId="13423" xr:uid="{7D0AB484-BCCF-43DE-9BC4-DB082844E6EB}"/>
    <cellStyle name="40% - Accent1 4 2 4" xfId="26087" xr:uid="{5C62BC65-6FE1-45D3-BC49-87C911CD0AEE}"/>
    <cellStyle name="40% - Accent1 4 2 5" xfId="17646" xr:uid="{28FF3A39-E716-4447-AD72-F026D8C8A2D5}"/>
    <cellStyle name="40% - Accent1 4 2 6" xfId="9205" xr:uid="{9D9376E5-606D-4F5B-A3F3-6C21E3317D20}"/>
    <cellStyle name="40% - Accent1 4 3" xfId="1078" xr:uid="{00000000-0005-0000-0000-00003F040000}"/>
    <cellStyle name="40% - Accent1 4 3 2" xfId="3309" xr:uid="{00000000-0005-0000-0000-000040040000}"/>
    <cellStyle name="40% - Accent1 4 3 2 2" xfId="7531" xr:uid="{00000000-0005-0000-0000-000041040000}"/>
    <cellStyle name="40% - Accent1 4 3 2 2 2" xfId="32863" xr:uid="{7D3871B7-43D6-4FB3-B344-A74B26EFA703}"/>
    <cellStyle name="40% - Accent1 4 3 2 2 3" xfId="24422" xr:uid="{3501C3B2-B1D1-4F36-A0D3-716AD0DE6BCC}"/>
    <cellStyle name="40% - Accent1 4 3 2 2 4" xfId="15981" xr:uid="{70C00F8A-8168-41BA-8BF6-C251D31FCF91}"/>
    <cellStyle name="40% - Accent1 4 3 2 3" xfId="28645" xr:uid="{36FCD097-4390-45F3-A959-FF980BCE9DAD}"/>
    <cellStyle name="40% - Accent1 4 3 2 4" xfId="20204" xr:uid="{41E1ED89-53F4-423E-A025-984B58AA5111}"/>
    <cellStyle name="40% - Accent1 4 3 2 5" xfId="11763" xr:uid="{CF438A21-F7D3-4895-B681-3ADC3515D7BF}"/>
    <cellStyle name="40% - Accent1 4 3 3" xfId="5386" xr:uid="{00000000-0005-0000-0000-000042040000}"/>
    <cellStyle name="40% - Accent1 4 3 3 2" xfId="30718" xr:uid="{A89F367F-0FFC-40D2-A338-8F7BBA6C208F}"/>
    <cellStyle name="40% - Accent1 4 3 3 3" xfId="22277" xr:uid="{92633CD3-8791-400E-9DFB-F470A4D88A1B}"/>
    <cellStyle name="40% - Accent1 4 3 3 4" xfId="13836" xr:uid="{0DDA93DB-8054-4597-902A-72026966FE76}"/>
    <cellStyle name="40% - Accent1 4 3 4" xfId="26500" xr:uid="{19A01C1B-1BA6-46D6-A5CA-0D10BA8B3567}"/>
    <cellStyle name="40% - Accent1 4 3 5" xfId="18059" xr:uid="{460DF75E-ACBE-4777-9D33-5B9DC19ABDF9}"/>
    <cellStyle name="40% - Accent1 4 3 6" xfId="9618" xr:uid="{1ED0ECEA-B5F2-42F4-829C-AEE303B620C2}"/>
    <cellStyle name="40% - Accent1 4 4" xfId="1492" xr:uid="{00000000-0005-0000-0000-000043040000}"/>
    <cellStyle name="40% - Accent1 4 4 2" xfId="3722" xr:uid="{00000000-0005-0000-0000-000044040000}"/>
    <cellStyle name="40% - Accent1 4 4 2 2" xfId="7944" xr:uid="{00000000-0005-0000-0000-000045040000}"/>
    <cellStyle name="40% - Accent1 4 4 2 2 2" xfId="33276" xr:uid="{9B6F2E85-57FA-4405-B9C6-2C441D292E4E}"/>
    <cellStyle name="40% - Accent1 4 4 2 2 3" xfId="24835" xr:uid="{C1FD5483-4336-4562-A590-204C718702B4}"/>
    <cellStyle name="40% - Accent1 4 4 2 2 4" xfId="16394" xr:uid="{23B0A5DC-8912-4D44-8E90-1264C6F17064}"/>
    <cellStyle name="40% - Accent1 4 4 2 3" xfId="29058" xr:uid="{AEE63F01-06A6-497E-BD4E-5ED8BC1756C7}"/>
    <cellStyle name="40% - Accent1 4 4 2 4" xfId="20617" xr:uid="{CFB77DAD-D526-4DD4-BCD3-A278B689A5A6}"/>
    <cellStyle name="40% - Accent1 4 4 2 5" xfId="12176" xr:uid="{871C78F8-DE5D-4634-94DB-53F7F736A295}"/>
    <cellStyle name="40% - Accent1 4 4 3" xfId="5799" xr:uid="{00000000-0005-0000-0000-000046040000}"/>
    <cellStyle name="40% - Accent1 4 4 3 2" xfId="31131" xr:uid="{2A9EE709-8AC2-4871-88AE-17BE1E727111}"/>
    <cellStyle name="40% - Accent1 4 4 3 3" xfId="22690" xr:uid="{7E3057CB-9969-4C58-99C5-86C7758FA1FC}"/>
    <cellStyle name="40% - Accent1 4 4 3 4" xfId="14249" xr:uid="{68593D5B-06CE-408A-B1D2-EEC7019034A6}"/>
    <cellStyle name="40% - Accent1 4 4 4" xfId="26913" xr:uid="{C80F9BAA-948C-4FE3-B13F-B985D53B9BB1}"/>
    <cellStyle name="40% - Accent1 4 4 5" xfId="18472" xr:uid="{021E069F-99F6-493A-B0A8-5A31457D218C}"/>
    <cellStyle name="40% - Accent1 4 4 6" xfId="10031" xr:uid="{99CA1068-CBD2-49BC-BCDF-6F1563B0B235}"/>
    <cellStyle name="40% - Accent1 4 5" xfId="1906" xr:uid="{00000000-0005-0000-0000-000047040000}"/>
    <cellStyle name="40% - Accent1 4 5 2" xfId="4135" xr:uid="{00000000-0005-0000-0000-000048040000}"/>
    <cellStyle name="40% - Accent1 4 5 2 2" xfId="8357" xr:uid="{00000000-0005-0000-0000-000049040000}"/>
    <cellStyle name="40% - Accent1 4 5 2 2 2" xfId="33689" xr:uid="{4A7DBD95-BE09-4A3A-8240-AB28F4E71DAB}"/>
    <cellStyle name="40% - Accent1 4 5 2 2 3" xfId="25248" xr:uid="{5B96373D-E3A4-49DE-86B1-F422DB5743A4}"/>
    <cellStyle name="40% - Accent1 4 5 2 2 4" xfId="16807" xr:uid="{BB6271DC-1E4B-41E6-A34D-D0180D3BD758}"/>
    <cellStyle name="40% - Accent1 4 5 2 3" xfId="29471" xr:uid="{468C3CF1-6DF1-4060-AD90-5D881B888535}"/>
    <cellStyle name="40% - Accent1 4 5 2 4" xfId="21030" xr:uid="{C3DE1127-25AE-487C-9D91-DCBE5CD8C7A5}"/>
    <cellStyle name="40% - Accent1 4 5 2 5" xfId="12589" xr:uid="{0B4587D6-8FDE-444B-913E-136A9118ECDB}"/>
    <cellStyle name="40% - Accent1 4 5 3" xfId="6212" xr:uid="{00000000-0005-0000-0000-00004A040000}"/>
    <cellStyle name="40% - Accent1 4 5 3 2" xfId="31544" xr:uid="{894CDF00-DD52-4CB1-8167-4231F07692A7}"/>
    <cellStyle name="40% - Accent1 4 5 3 3" xfId="23103" xr:uid="{B826E5C4-6751-4276-B04D-AAA340D8382C}"/>
    <cellStyle name="40% - Accent1 4 5 3 4" xfId="14662" xr:uid="{5F2B5898-3D33-438D-AF86-098A6CB143C1}"/>
    <cellStyle name="40% - Accent1 4 5 4" xfId="27326" xr:uid="{362FA74B-8C17-4B73-8EF3-2C9F9BC13EFB}"/>
    <cellStyle name="40% - Accent1 4 5 5" xfId="18885" xr:uid="{6870C447-4B95-4A17-885A-6154BEF46A42}"/>
    <cellStyle name="40% - Accent1 4 5 6" xfId="10444" xr:uid="{CB08CD08-21F2-432C-A5B0-620F4523764C}"/>
    <cellStyle name="40% - Accent1 4 6" xfId="2319" xr:uid="{00000000-0005-0000-0000-00004B040000}"/>
    <cellStyle name="40% - Accent1 4 6 2" xfId="6625" xr:uid="{00000000-0005-0000-0000-00004C040000}"/>
    <cellStyle name="40% - Accent1 4 6 2 2" xfId="31957" xr:uid="{47B3B3F1-354C-4D57-B77F-B8F8E03ACBF8}"/>
    <cellStyle name="40% - Accent1 4 6 2 3" xfId="23516" xr:uid="{88B694FC-2E6E-4150-BA1C-9C03D3F9314C}"/>
    <cellStyle name="40% - Accent1 4 6 2 4" xfId="15075" xr:uid="{3B97520A-3C04-4199-8394-BB89864A6E74}"/>
    <cellStyle name="40% - Accent1 4 6 3" xfId="27739" xr:uid="{FBEA986E-3F40-45E4-A731-E50935AB2200}"/>
    <cellStyle name="40% - Accent1 4 6 4" xfId="19298" xr:uid="{F8065C75-AC5F-4D78-9B51-71B1057503BD}"/>
    <cellStyle name="40% - Accent1 4 6 5" xfId="10857" xr:uid="{103979AA-F1D5-4516-ADD8-64B13478B2D1}"/>
    <cellStyle name="40% - Accent1 4 7" xfId="4559" xr:uid="{00000000-0005-0000-0000-00004D040000}"/>
    <cellStyle name="40% - Accent1 4 7 2" xfId="29891" xr:uid="{5FF6C56F-FE46-4293-BB6A-E0B68A4D5B3C}"/>
    <cellStyle name="40% - Accent1 4 7 3" xfId="21450" xr:uid="{44F35EE2-C317-4106-BF75-928BF985C0D6}"/>
    <cellStyle name="40% - Accent1 4 7 4" xfId="13009" xr:uid="{4EF3FC37-EED3-47D4-8472-7900ABFAF8ED}"/>
    <cellStyle name="40% - Accent1 4 8" xfId="25673" xr:uid="{988E138A-C275-4453-AD9B-0B3297349772}"/>
    <cellStyle name="40% - Accent1 4 9" xfId="17232" xr:uid="{D953DBBB-C2F1-4DBA-95FE-EE6B82AD1112}"/>
    <cellStyle name="40% - Accent1 5" xfId="618" xr:uid="{00000000-0005-0000-0000-00004E040000}"/>
    <cellStyle name="40% - Accent1 5 2" xfId="2889" xr:uid="{00000000-0005-0000-0000-00004F040000}"/>
    <cellStyle name="40% - Accent1 5 2 2" xfId="7111" xr:uid="{00000000-0005-0000-0000-000050040000}"/>
    <cellStyle name="40% - Accent1 5 2 2 2" xfId="32443" xr:uid="{80FEB4BF-CE55-4DF2-B59B-EF60BC159889}"/>
    <cellStyle name="40% - Accent1 5 2 2 3" xfId="24002" xr:uid="{60934B22-7E01-49DC-BA5D-5133D51EA063}"/>
    <cellStyle name="40% - Accent1 5 2 2 4" xfId="15561" xr:uid="{BE741ACD-8BEB-4341-BC22-9DB0DF217561}"/>
    <cellStyle name="40% - Accent1 5 2 3" xfId="28225" xr:uid="{1911B712-63E0-4AE4-A72D-551AC8B6A887}"/>
    <cellStyle name="40% - Accent1 5 2 4" xfId="19784" xr:uid="{265C02D8-FA1D-454F-9BCC-7598A7B51BDD}"/>
    <cellStyle name="40% - Accent1 5 2 5" xfId="11343" xr:uid="{3991D7A8-9080-4588-A769-858E5BAAFEDD}"/>
    <cellStyle name="40% - Accent1 5 3" xfId="4966" xr:uid="{00000000-0005-0000-0000-000051040000}"/>
    <cellStyle name="40% - Accent1 5 3 2" xfId="30298" xr:uid="{76308992-F9CD-4525-B7FB-1D5F517DD8D7}"/>
    <cellStyle name="40% - Accent1 5 3 3" xfId="21857" xr:uid="{FE91697B-E895-409B-8F3D-D6852836FE86}"/>
    <cellStyle name="40% - Accent1 5 3 4" xfId="13416" xr:uid="{8E81207C-6007-4360-B0D6-CA3CAC8F1931}"/>
    <cellStyle name="40% - Accent1 5 4" xfId="26080" xr:uid="{9A924EC1-054A-4521-8E5F-0A072D0446D2}"/>
    <cellStyle name="40% - Accent1 5 5" xfId="17639" xr:uid="{40A6C497-3EE0-49B4-99A1-8762FFA82CBA}"/>
    <cellStyle name="40% - Accent1 5 6" xfId="9198" xr:uid="{32BCB1FC-289D-4ECC-88A3-A3F005580EA5}"/>
    <cellStyle name="40% - Accent1 6" xfId="1071" xr:uid="{00000000-0005-0000-0000-000052040000}"/>
    <cellStyle name="40% - Accent1 6 2" xfId="3302" xr:uid="{00000000-0005-0000-0000-000053040000}"/>
    <cellStyle name="40% - Accent1 6 2 2" xfId="7524" xr:uid="{00000000-0005-0000-0000-000054040000}"/>
    <cellStyle name="40% - Accent1 6 2 2 2" xfId="32856" xr:uid="{B181A7D7-F9B8-4968-B3A3-AD65C849EE84}"/>
    <cellStyle name="40% - Accent1 6 2 2 3" xfId="24415" xr:uid="{9836506C-C98C-42ED-9104-A5BA6BC96C8A}"/>
    <cellStyle name="40% - Accent1 6 2 2 4" xfId="15974" xr:uid="{65B3F7E1-6217-4B7C-8631-6CBFBE425822}"/>
    <cellStyle name="40% - Accent1 6 2 3" xfId="28638" xr:uid="{AAB75F97-E69A-4202-902D-461304F2C4BB}"/>
    <cellStyle name="40% - Accent1 6 2 4" xfId="20197" xr:uid="{5FC35DFE-1D90-41D4-A5D7-3A5F1CBF268E}"/>
    <cellStyle name="40% - Accent1 6 2 5" xfId="11756" xr:uid="{7BD2F6B7-1408-445A-9CB5-E3FF7FAB8C2A}"/>
    <cellStyle name="40% - Accent1 6 3" xfId="5379" xr:uid="{00000000-0005-0000-0000-000055040000}"/>
    <cellStyle name="40% - Accent1 6 3 2" xfId="30711" xr:uid="{F07AEF54-325A-420E-9B5F-E509E47CDFA2}"/>
    <cellStyle name="40% - Accent1 6 3 3" xfId="22270" xr:uid="{D7F3D9A3-FC7A-441B-9674-94178D89A387}"/>
    <cellStyle name="40% - Accent1 6 3 4" xfId="13829" xr:uid="{8445C9EB-B212-4CF4-AEE3-93F914AD3A87}"/>
    <cellStyle name="40% - Accent1 6 4" xfId="26493" xr:uid="{15B96CCE-39FE-4033-8D21-77112EE1F0BC}"/>
    <cellStyle name="40% - Accent1 6 5" xfId="18052" xr:uid="{469B8007-45E6-4CB5-BA76-3827C7B595DB}"/>
    <cellStyle name="40% - Accent1 6 6" xfId="9611" xr:uid="{6A54EBE9-FAB8-4DE4-8FA7-FAF784922BB3}"/>
    <cellStyle name="40% - Accent1 7" xfId="1485" xr:uid="{00000000-0005-0000-0000-000056040000}"/>
    <cellStyle name="40% - Accent1 7 2" xfId="3715" xr:uid="{00000000-0005-0000-0000-000057040000}"/>
    <cellStyle name="40% - Accent1 7 2 2" xfId="7937" xr:uid="{00000000-0005-0000-0000-000058040000}"/>
    <cellStyle name="40% - Accent1 7 2 2 2" xfId="33269" xr:uid="{E042D551-EA48-442E-95BE-E42E0D06B015}"/>
    <cellStyle name="40% - Accent1 7 2 2 3" xfId="24828" xr:uid="{6A83AFE4-1C68-43AF-836C-FC10DDA433A8}"/>
    <cellStyle name="40% - Accent1 7 2 2 4" xfId="16387" xr:uid="{FF90C469-60F8-4CB3-8AFF-B9653ED18ED9}"/>
    <cellStyle name="40% - Accent1 7 2 3" xfId="29051" xr:uid="{AFD8C176-DEB5-4F0A-9295-398DF7915CA7}"/>
    <cellStyle name="40% - Accent1 7 2 4" xfId="20610" xr:uid="{AD72F31D-1D0C-4E6D-9F36-034EED44895E}"/>
    <cellStyle name="40% - Accent1 7 2 5" xfId="12169" xr:uid="{552D445A-40BC-4939-93A5-37BA7D0AC64D}"/>
    <cellStyle name="40% - Accent1 7 3" xfId="5792" xr:uid="{00000000-0005-0000-0000-000059040000}"/>
    <cellStyle name="40% - Accent1 7 3 2" xfId="31124" xr:uid="{485194E0-E976-4C97-ABC2-EE706FC5B30C}"/>
    <cellStyle name="40% - Accent1 7 3 3" xfId="22683" xr:uid="{089FF0F1-18BE-4D6D-862F-5B2FEC73866C}"/>
    <cellStyle name="40% - Accent1 7 3 4" xfId="14242" xr:uid="{CE757BD2-DDB0-464E-9C61-F4B560554EC2}"/>
    <cellStyle name="40% - Accent1 7 4" xfId="26906" xr:uid="{337B1DC4-47E8-4724-9276-F1FB0C1A451D}"/>
    <cellStyle name="40% - Accent1 7 5" xfId="18465" xr:uid="{CC5875D4-4274-4986-9AC8-2FBA968BF1BF}"/>
    <cellStyle name="40% - Accent1 7 6" xfId="10024" xr:uid="{92526AB6-43CC-4D53-B232-1F733B4D0C8F}"/>
    <cellStyle name="40% - Accent1 8" xfId="1899" xr:uid="{00000000-0005-0000-0000-00005A040000}"/>
    <cellStyle name="40% - Accent1 8 2" xfId="4128" xr:uid="{00000000-0005-0000-0000-00005B040000}"/>
    <cellStyle name="40% - Accent1 8 2 2" xfId="8350" xr:uid="{00000000-0005-0000-0000-00005C040000}"/>
    <cellStyle name="40% - Accent1 8 2 2 2" xfId="33682" xr:uid="{A02AD5D8-134A-4998-9496-C506BD33226F}"/>
    <cellStyle name="40% - Accent1 8 2 2 3" xfId="25241" xr:uid="{81F92804-3B50-4AD7-8F41-ED24E1361902}"/>
    <cellStyle name="40% - Accent1 8 2 2 4" xfId="16800" xr:uid="{6052C06E-CFD6-48E3-9705-A26047B9ACF6}"/>
    <cellStyle name="40% - Accent1 8 2 3" xfId="29464" xr:uid="{ECBCEAFC-617B-4924-A649-B37B20DCA58B}"/>
    <cellStyle name="40% - Accent1 8 2 4" xfId="21023" xr:uid="{CA0575F4-2E20-467E-9800-2DE8FBE7EFA5}"/>
    <cellStyle name="40% - Accent1 8 2 5" xfId="12582" xr:uid="{74219441-12D3-4725-AFD4-2226A44E0D1F}"/>
    <cellStyle name="40% - Accent1 8 3" xfId="6205" xr:uid="{00000000-0005-0000-0000-00005D040000}"/>
    <cellStyle name="40% - Accent1 8 3 2" xfId="31537" xr:uid="{AF20CDDC-50A0-4FB3-8E42-1E196FF0368C}"/>
    <cellStyle name="40% - Accent1 8 3 3" xfId="23096" xr:uid="{7DC9CF7C-046F-43DA-8E5A-29BB43716ADD}"/>
    <cellStyle name="40% - Accent1 8 3 4" xfId="14655" xr:uid="{BD60E585-4433-407C-A73A-3B7D611F4074}"/>
    <cellStyle name="40% - Accent1 8 4" xfId="27319" xr:uid="{1B88F1CC-6AF9-4C7B-A5E4-C302B5132A5B}"/>
    <cellStyle name="40% - Accent1 8 5" xfId="18878" xr:uid="{90E0DCF7-7D74-45D4-820B-BD825793084A}"/>
    <cellStyle name="40% - Accent1 8 6" xfId="10437" xr:uid="{BB03D6B2-A8B8-4C7A-9379-01B8CFDD7314}"/>
    <cellStyle name="40% - Accent1 9" xfId="2312" xr:uid="{00000000-0005-0000-0000-00005E040000}"/>
    <cellStyle name="40% - Accent1 9 2" xfId="6618" xr:uid="{00000000-0005-0000-0000-00005F040000}"/>
    <cellStyle name="40% - Accent1 9 2 2" xfId="31950" xr:uid="{419F8468-5767-4BF5-8406-273B1B8063BD}"/>
    <cellStyle name="40% - Accent1 9 2 3" xfId="23509" xr:uid="{707327CF-E9EE-4F58-BB59-A5B9BC51BF7F}"/>
    <cellStyle name="40% - Accent1 9 2 4" xfId="15068" xr:uid="{588764D1-92FB-42E7-AFC8-2E3EB7456941}"/>
    <cellStyle name="40% - Accent1 9 3" xfId="27732" xr:uid="{4870FFCC-E129-44CF-8B74-8DFE1F3F59CC}"/>
    <cellStyle name="40% - Accent1 9 4" xfId="19291" xr:uid="{F55C677D-F385-4F87-9E7C-454923C9A224}"/>
    <cellStyle name="40% - Accent1 9 5" xfId="10850" xr:uid="{2A5779A7-68AB-414F-94C1-A92A9DFB34B6}"/>
    <cellStyle name="40% - Accent2" xfId="57" builtinId="35" customBuiltin="1"/>
    <cellStyle name="40% - Accent2 10" xfId="4560" xr:uid="{00000000-0005-0000-0000-000061040000}"/>
    <cellStyle name="40% - Accent2 10 2" xfId="29892" xr:uid="{29CA2902-E1D8-4AA2-850C-293C96FFCED5}"/>
    <cellStyle name="40% - Accent2 10 3" xfId="21451" xr:uid="{72AC4A20-4D82-4247-91E6-9D06BFA12496}"/>
    <cellStyle name="40% - Accent2 10 4" xfId="13010" xr:uid="{D422E78D-9C95-49EB-B70C-4093259F8061}"/>
    <cellStyle name="40% - Accent2 11" xfId="25674" xr:uid="{164633EA-439F-47EE-B200-3ABDE410954F}"/>
    <cellStyle name="40% - Accent2 12" xfId="17233" xr:uid="{5F774D52-4D16-402F-A623-0608746639DD}"/>
    <cellStyle name="40% - Accent2 13" xfId="8792" xr:uid="{1A1D0500-A30E-478C-8A52-EB158EA35238}"/>
    <cellStyle name="40% - Accent2 2" xfId="58" xr:uid="{00000000-0005-0000-0000-000062040000}"/>
    <cellStyle name="40% - Accent2 2 10" xfId="25675" xr:uid="{02A1FEAE-0DF2-4D87-B07D-A525FB9C6EF1}"/>
    <cellStyle name="40% - Accent2 2 11" xfId="17234" xr:uid="{EECC5C52-1BF7-4EDD-8AFC-C8943D2D9B4C}"/>
    <cellStyle name="40% - Accent2 2 12" xfId="8793" xr:uid="{DB8832D4-3594-4380-BC1C-B4911123F08F}"/>
    <cellStyle name="40% - Accent2 2 2" xfId="59" xr:uid="{00000000-0005-0000-0000-000063040000}"/>
    <cellStyle name="40% - Accent2 2 2 10" xfId="17235" xr:uid="{1D33A987-3722-4A19-851A-52C43A1DB60D}"/>
    <cellStyle name="40% - Accent2 2 2 11" xfId="8794" xr:uid="{F459CC99-A4AA-4A2C-BC20-EC76B635D6EB}"/>
    <cellStyle name="40% - Accent2 2 2 2" xfId="60" xr:uid="{00000000-0005-0000-0000-000064040000}"/>
    <cellStyle name="40% - Accent2 2 2 2 10" xfId="8795" xr:uid="{344DC22E-230E-4EA4-B9EE-E5CD3B7B8347}"/>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2 2 2" xfId="32454" xr:uid="{CFC46A76-43EA-42EB-A271-BEA0FDAC88F9}"/>
    <cellStyle name="40% - Accent2 2 2 2 2 2 2 3" xfId="24013" xr:uid="{2B096DEC-DD17-4C3D-A477-B05248C24364}"/>
    <cellStyle name="40% - Accent2 2 2 2 2 2 2 4" xfId="15572" xr:uid="{9BB8A84A-99E8-488D-9CCA-98DAEB1A835E}"/>
    <cellStyle name="40% - Accent2 2 2 2 2 2 3" xfId="28236" xr:uid="{831E5AE6-2D13-4CA8-A777-A1FE16F316D0}"/>
    <cellStyle name="40% - Accent2 2 2 2 2 2 4" xfId="19795" xr:uid="{55248BB8-80DD-42F6-96BB-75E945A5E4BF}"/>
    <cellStyle name="40% - Accent2 2 2 2 2 2 5" xfId="11354" xr:uid="{E8C8E64B-BD29-46F0-BDD6-F4B94B068F46}"/>
    <cellStyle name="40% - Accent2 2 2 2 2 3" xfId="4977" xr:uid="{00000000-0005-0000-0000-000068040000}"/>
    <cellStyle name="40% - Accent2 2 2 2 2 3 2" xfId="30309" xr:uid="{2894C703-767E-43CC-B7CF-BE6372EDE34C}"/>
    <cellStyle name="40% - Accent2 2 2 2 2 3 3" xfId="21868" xr:uid="{EECC599F-8039-431A-95A0-FDD7BEEE8892}"/>
    <cellStyle name="40% - Accent2 2 2 2 2 3 4" xfId="13427" xr:uid="{694281B4-6DD9-4279-96FE-EC65982FC0DC}"/>
    <cellStyle name="40% - Accent2 2 2 2 2 4" xfId="26091" xr:uid="{B1C8BEAF-748D-41BA-BA67-F4A9CE2A6AC8}"/>
    <cellStyle name="40% - Accent2 2 2 2 2 5" xfId="17650" xr:uid="{6BF99935-2C4C-4946-A6E2-2103D65EC3EF}"/>
    <cellStyle name="40% - Accent2 2 2 2 2 6" xfId="9209" xr:uid="{36D7158E-366B-48F9-AAF6-2EF69029289E}"/>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2 2 2" xfId="32867" xr:uid="{AA5E7E1D-C02C-4384-B7DB-EE8C37FCCA10}"/>
    <cellStyle name="40% - Accent2 2 2 2 3 2 2 3" xfId="24426" xr:uid="{B993F6BB-4D7C-4F50-85AF-D38DDAA63803}"/>
    <cellStyle name="40% - Accent2 2 2 2 3 2 2 4" xfId="15985" xr:uid="{40BB37B1-9BDE-4CB8-8A8D-7FB582A6FBE9}"/>
    <cellStyle name="40% - Accent2 2 2 2 3 2 3" xfId="28649" xr:uid="{6EF3B0D6-EBAE-443C-B203-824DCC40431E}"/>
    <cellStyle name="40% - Accent2 2 2 2 3 2 4" xfId="20208" xr:uid="{7BEA4763-8C29-4914-85F3-2E67FF11BDEE}"/>
    <cellStyle name="40% - Accent2 2 2 2 3 2 5" xfId="11767" xr:uid="{C5C99FA7-E606-4421-92D0-669C716D54F3}"/>
    <cellStyle name="40% - Accent2 2 2 2 3 3" xfId="5390" xr:uid="{00000000-0005-0000-0000-00006C040000}"/>
    <cellStyle name="40% - Accent2 2 2 2 3 3 2" xfId="30722" xr:uid="{35AF4080-2FA2-4014-B65E-5DF8C9567384}"/>
    <cellStyle name="40% - Accent2 2 2 2 3 3 3" xfId="22281" xr:uid="{98D1E8EC-6AFE-4DB4-8735-FFAC8A0FA9AF}"/>
    <cellStyle name="40% - Accent2 2 2 2 3 3 4" xfId="13840" xr:uid="{59DED7A4-5890-499A-BCE2-053D5E39C2DD}"/>
    <cellStyle name="40% - Accent2 2 2 2 3 4" xfId="26504" xr:uid="{8B97E63A-CA8C-4DD0-9B90-0FEF226FEF61}"/>
    <cellStyle name="40% - Accent2 2 2 2 3 5" xfId="18063" xr:uid="{42048034-2D5F-40E4-9FFD-98B771D907DC}"/>
    <cellStyle name="40% - Accent2 2 2 2 3 6" xfId="9622" xr:uid="{B6789EED-A9B4-4886-AD5A-000816F9CA1F}"/>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2 2 2" xfId="33280" xr:uid="{C8221365-D2F6-4BE0-8187-DE5045EC7B2B}"/>
    <cellStyle name="40% - Accent2 2 2 2 4 2 2 3" xfId="24839" xr:uid="{6C2D47F3-0F9C-4AA9-926D-46B8905EE499}"/>
    <cellStyle name="40% - Accent2 2 2 2 4 2 2 4" xfId="16398" xr:uid="{61A665B2-CB8E-4298-A20E-BE382940DC94}"/>
    <cellStyle name="40% - Accent2 2 2 2 4 2 3" xfId="29062" xr:uid="{DF330E94-FE77-4B03-AE71-2039C4E8CD68}"/>
    <cellStyle name="40% - Accent2 2 2 2 4 2 4" xfId="20621" xr:uid="{243A1C4F-D367-4E54-8B06-FC66C047EDD8}"/>
    <cellStyle name="40% - Accent2 2 2 2 4 2 5" xfId="12180" xr:uid="{623F2980-5FA2-4E37-B6B6-8FF18E7F229C}"/>
    <cellStyle name="40% - Accent2 2 2 2 4 3" xfId="5803" xr:uid="{00000000-0005-0000-0000-000070040000}"/>
    <cellStyle name="40% - Accent2 2 2 2 4 3 2" xfId="31135" xr:uid="{98DFDC73-84B3-4AB3-826A-28CF5F7E2959}"/>
    <cellStyle name="40% - Accent2 2 2 2 4 3 3" xfId="22694" xr:uid="{AF87D33D-98BA-4FAA-BF7B-25B2DCEE35A5}"/>
    <cellStyle name="40% - Accent2 2 2 2 4 3 4" xfId="14253" xr:uid="{16EAB81F-9752-4B5D-8648-BCF6AF1AA459}"/>
    <cellStyle name="40% - Accent2 2 2 2 4 4" xfId="26917" xr:uid="{1B7C7F10-7111-4579-8536-072EC831C395}"/>
    <cellStyle name="40% - Accent2 2 2 2 4 5" xfId="18476" xr:uid="{F37364D7-E86D-49F3-B25D-872F2D4CEDDF}"/>
    <cellStyle name="40% - Accent2 2 2 2 4 6" xfId="10035" xr:uid="{6006A49E-8DAA-4DF9-AAD1-8B0056F88A36}"/>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2 2 2" xfId="33693" xr:uid="{F8381743-050C-4296-A985-C6797C05CC83}"/>
    <cellStyle name="40% - Accent2 2 2 2 5 2 2 3" xfId="25252" xr:uid="{F56467C6-ED59-402D-B39E-DAB37C9D0E4A}"/>
    <cellStyle name="40% - Accent2 2 2 2 5 2 2 4" xfId="16811" xr:uid="{C19F4D60-8AC0-492F-94A9-E5CA1CF2EF79}"/>
    <cellStyle name="40% - Accent2 2 2 2 5 2 3" xfId="29475" xr:uid="{E7F70BCD-A1CD-4EE9-9C35-8D1CAE18FFDC}"/>
    <cellStyle name="40% - Accent2 2 2 2 5 2 4" xfId="21034" xr:uid="{2E004672-F7E9-454E-996C-4833E90809FA}"/>
    <cellStyle name="40% - Accent2 2 2 2 5 2 5" xfId="12593" xr:uid="{7E33AE9B-15A7-46CE-B13A-45E389FD7C1D}"/>
    <cellStyle name="40% - Accent2 2 2 2 5 3" xfId="6216" xr:uid="{00000000-0005-0000-0000-000074040000}"/>
    <cellStyle name="40% - Accent2 2 2 2 5 3 2" xfId="31548" xr:uid="{976A62DE-6F22-488C-9D5F-AC3F22D97C36}"/>
    <cellStyle name="40% - Accent2 2 2 2 5 3 3" xfId="23107" xr:uid="{0EE05879-CBF5-4754-ADAA-F24650DB50DC}"/>
    <cellStyle name="40% - Accent2 2 2 2 5 3 4" xfId="14666" xr:uid="{604F1ADB-F8FC-438A-A168-80C9A0847916}"/>
    <cellStyle name="40% - Accent2 2 2 2 5 4" xfId="27330" xr:uid="{A22259F5-90D4-4E10-8E33-EE21D3A38366}"/>
    <cellStyle name="40% - Accent2 2 2 2 5 5" xfId="18889" xr:uid="{A3B571B2-D6D1-4874-B24D-7316D2BE8BE7}"/>
    <cellStyle name="40% - Accent2 2 2 2 5 6" xfId="10448" xr:uid="{8CAC0E57-B8E1-434B-B1EE-56CAA4759878}"/>
    <cellStyle name="40% - Accent2 2 2 2 6" xfId="2323" xr:uid="{00000000-0005-0000-0000-000075040000}"/>
    <cellStyle name="40% - Accent2 2 2 2 6 2" xfId="6629" xr:uid="{00000000-0005-0000-0000-000076040000}"/>
    <cellStyle name="40% - Accent2 2 2 2 6 2 2" xfId="31961" xr:uid="{6DEB5277-D9D3-40F8-A2DF-B05DB309B58E}"/>
    <cellStyle name="40% - Accent2 2 2 2 6 2 3" xfId="23520" xr:uid="{F13711D8-DAD7-442D-9787-3F78B79E7C69}"/>
    <cellStyle name="40% - Accent2 2 2 2 6 2 4" xfId="15079" xr:uid="{B65C94F2-8B18-4D2C-8772-8BFDAB51DB2D}"/>
    <cellStyle name="40% - Accent2 2 2 2 6 3" xfId="27743" xr:uid="{9ACDD9CC-3748-49E3-80AA-D9A62455CAB9}"/>
    <cellStyle name="40% - Accent2 2 2 2 6 4" xfId="19302" xr:uid="{D48189EE-99BB-404E-8275-5332F637CEA5}"/>
    <cellStyle name="40% - Accent2 2 2 2 6 5" xfId="10861" xr:uid="{57AD5377-5D49-41F7-95FF-92F3EA643E7C}"/>
    <cellStyle name="40% - Accent2 2 2 2 7" xfId="4563" xr:uid="{00000000-0005-0000-0000-000077040000}"/>
    <cellStyle name="40% - Accent2 2 2 2 7 2" xfId="29895" xr:uid="{E3D5DB44-E644-45CD-B78E-89157FBC5E27}"/>
    <cellStyle name="40% - Accent2 2 2 2 7 3" xfId="21454" xr:uid="{85E69F65-FD6B-4538-AD49-96C0F78480E0}"/>
    <cellStyle name="40% - Accent2 2 2 2 7 4" xfId="13013" xr:uid="{F2CDC3EA-CE4E-4895-B449-2DCEB771DC4B}"/>
    <cellStyle name="40% - Accent2 2 2 2 8" xfId="25677" xr:uid="{C14B8F2E-3C2D-4812-A61A-41631CCE1A70}"/>
    <cellStyle name="40% - Accent2 2 2 2 9" xfId="17236" xr:uid="{16BF90D0-E454-442A-A30B-CE35FE26B340}"/>
    <cellStyle name="40% - Accent2 2 2 3" xfId="628" xr:uid="{00000000-0005-0000-0000-000078040000}"/>
    <cellStyle name="40% - Accent2 2 2 3 2" xfId="2899" xr:uid="{00000000-0005-0000-0000-000079040000}"/>
    <cellStyle name="40% - Accent2 2 2 3 2 2" xfId="7121" xr:uid="{00000000-0005-0000-0000-00007A040000}"/>
    <cellStyle name="40% - Accent2 2 2 3 2 2 2" xfId="32453" xr:uid="{49CD6196-7D65-462E-A949-432F44F57DEA}"/>
    <cellStyle name="40% - Accent2 2 2 3 2 2 3" xfId="24012" xr:uid="{EA65A987-C74F-4C89-B18A-DE9CD601BDF6}"/>
    <cellStyle name="40% - Accent2 2 2 3 2 2 4" xfId="15571" xr:uid="{88AFEECA-68AF-493F-AE60-B752266C375B}"/>
    <cellStyle name="40% - Accent2 2 2 3 2 3" xfId="28235" xr:uid="{99CC6CE3-4124-4E50-8497-1E3B7C7DECF0}"/>
    <cellStyle name="40% - Accent2 2 2 3 2 4" xfId="19794" xr:uid="{18558A8C-3D8C-4415-A03E-EDEBC3258F1A}"/>
    <cellStyle name="40% - Accent2 2 2 3 2 5" xfId="11353" xr:uid="{1EEB656C-ED9F-4F26-BD42-077CF23F3A7D}"/>
    <cellStyle name="40% - Accent2 2 2 3 3" xfId="4976" xr:uid="{00000000-0005-0000-0000-00007B040000}"/>
    <cellStyle name="40% - Accent2 2 2 3 3 2" xfId="30308" xr:uid="{D8296A4B-194D-4484-9FE0-2241D886E403}"/>
    <cellStyle name="40% - Accent2 2 2 3 3 3" xfId="21867" xr:uid="{C7E16662-4DC5-41EE-9D51-B381CD6DEEFB}"/>
    <cellStyle name="40% - Accent2 2 2 3 3 4" xfId="13426" xr:uid="{62425496-6A74-42AD-B63A-C2A55830B5ED}"/>
    <cellStyle name="40% - Accent2 2 2 3 4" xfId="26090" xr:uid="{DF8C1C47-5F92-4194-B0D9-4E3452E5281B}"/>
    <cellStyle name="40% - Accent2 2 2 3 5" xfId="17649" xr:uid="{B4A90D50-75A0-4CD5-8C44-E190CE474427}"/>
    <cellStyle name="40% - Accent2 2 2 3 6" xfId="9208" xr:uid="{560DE7B6-895B-40B0-BDBC-2D22796F5CED}"/>
    <cellStyle name="40% - Accent2 2 2 4" xfId="1081" xr:uid="{00000000-0005-0000-0000-00007C040000}"/>
    <cellStyle name="40% - Accent2 2 2 4 2" xfId="3312" xr:uid="{00000000-0005-0000-0000-00007D040000}"/>
    <cellStyle name="40% - Accent2 2 2 4 2 2" xfId="7534" xr:uid="{00000000-0005-0000-0000-00007E040000}"/>
    <cellStyle name="40% - Accent2 2 2 4 2 2 2" xfId="32866" xr:uid="{78C726B2-C928-40DA-BA68-F85A6ADA0B44}"/>
    <cellStyle name="40% - Accent2 2 2 4 2 2 3" xfId="24425" xr:uid="{E061714E-C646-4F22-B478-9C13B372CC60}"/>
    <cellStyle name="40% - Accent2 2 2 4 2 2 4" xfId="15984" xr:uid="{F95C1DCA-1BF5-4BC5-97F3-2194DD2E6CAA}"/>
    <cellStyle name="40% - Accent2 2 2 4 2 3" xfId="28648" xr:uid="{F56C5BF1-2E13-4A2E-9DB1-1CB93CED9B2E}"/>
    <cellStyle name="40% - Accent2 2 2 4 2 4" xfId="20207" xr:uid="{1C8916D2-09DA-4AB7-A9AF-B4F824800B45}"/>
    <cellStyle name="40% - Accent2 2 2 4 2 5" xfId="11766" xr:uid="{D6D4997E-26BC-4EF3-8CD4-047E7DF86F75}"/>
    <cellStyle name="40% - Accent2 2 2 4 3" xfId="5389" xr:uid="{00000000-0005-0000-0000-00007F040000}"/>
    <cellStyle name="40% - Accent2 2 2 4 3 2" xfId="30721" xr:uid="{ACD85AEA-C22D-45F9-B1C5-318AB84924CD}"/>
    <cellStyle name="40% - Accent2 2 2 4 3 3" xfId="22280" xr:uid="{DD3A2416-5F5F-4B79-970A-9C99A601C303}"/>
    <cellStyle name="40% - Accent2 2 2 4 3 4" xfId="13839" xr:uid="{33705E6B-04B0-42B1-9010-B3999530580D}"/>
    <cellStyle name="40% - Accent2 2 2 4 4" xfId="26503" xr:uid="{8C99D0F2-5D71-4E75-8618-C3B85BA17B8A}"/>
    <cellStyle name="40% - Accent2 2 2 4 5" xfId="18062" xr:uid="{E9DD332B-1B76-446A-887A-29C500B73354}"/>
    <cellStyle name="40% - Accent2 2 2 4 6" xfId="9621" xr:uid="{F5AB9A00-BD27-49B9-B7B2-25CBF42B1B33}"/>
    <cellStyle name="40% - Accent2 2 2 5" xfId="1495" xr:uid="{00000000-0005-0000-0000-000080040000}"/>
    <cellStyle name="40% - Accent2 2 2 5 2" xfId="3725" xr:uid="{00000000-0005-0000-0000-000081040000}"/>
    <cellStyle name="40% - Accent2 2 2 5 2 2" xfId="7947" xr:uid="{00000000-0005-0000-0000-000082040000}"/>
    <cellStyle name="40% - Accent2 2 2 5 2 2 2" xfId="33279" xr:uid="{86A83C5C-4EDB-42F3-BAB4-7424B878FEAE}"/>
    <cellStyle name="40% - Accent2 2 2 5 2 2 3" xfId="24838" xr:uid="{8F566AB7-7366-49A9-A6D9-002D85B12770}"/>
    <cellStyle name="40% - Accent2 2 2 5 2 2 4" xfId="16397" xr:uid="{D589F452-8962-4E5B-B795-2E9299CA9ED5}"/>
    <cellStyle name="40% - Accent2 2 2 5 2 3" xfId="29061" xr:uid="{95C8DF6C-E9C0-4BD2-BA4C-E3C74EBB06D1}"/>
    <cellStyle name="40% - Accent2 2 2 5 2 4" xfId="20620" xr:uid="{FC49FFD6-A7E0-4B47-B6AE-F262CF04C171}"/>
    <cellStyle name="40% - Accent2 2 2 5 2 5" xfId="12179" xr:uid="{C0697A31-2707-4BF2-9F1A-B48B4B6FD283}"/>
    <cellStyle name="40% - Accent2 2 2 5 3" xfId="5802" xr:uid="{00000000-0005-0000-0000-000083040000}"/>
    <cellStyle name="40% - Accent2 2 2 5 3 2" xfId="31134" xr:uid="{6182C5E8-0263-443E-9BC3-C349C9F6F97D}"/>
    <cellStyle name="40% - Accent2 2 2 5 3 3" xfId="22693" xr:uid="{CCC09E9E-BFB3-4B84-BB2C-D17F996FE31B}"/>
    <cellStyle name="40% - Accent2 2 2 5 3 4" xfId="14252" xr:uid="{17C700E6-0337-4F49-B3AF-898F5B12D3F2}"/>
    <cellStyle name="40% - Accent2 2 2 5 4" xfId="26916" xr:uid="{300EB894-A3A8-4991-B51B-D75251965C87}"/>
    <cellStyle name="40% - Accent2 2 2 5 5" xfId="18475" xr:uid="{23CDE368-73EB-42E1-8021-C3F26A5047C7}"/>
    <cellStyle name="40% - Accent2 2 2 5 6" xfId="10034" xr:uid="{7459E537-73B9-4275-A63C-D2059352AA4E}"/>
    <cellStyle name="40% - Accent2 2 2 6" xfId="1909" xr:uid="{00000000-0005-0000-0000-000084040000}"/>
    <cellStyle name="40% - Accent2 2 2 6 2" xfId="4138" xr:uid="{00000000-0005-0000-0000-000085040000}"/>
    <cellStyle name="40% - Accent2 2 2 6 2 2" xfId="8360" xr:uid="{00000000-0005-0000-0000-000086040000}"/>
    <cellStyle name="40% - Accent2 2 2 6 2 2 2" xfId="33692" xr:uid="{65DE8C85-FE89-49FC-989B-90EFE210BE6B}"/>
    <cellStyle name="40% - Accent2 2 2 6 2 2 3" xfId="25251" xr:uid="{1BFC8352-4B85-4FB4-BA97-0F13E6EEE354}"/>
    <cellStyle name="40% - Accent2 2 2 6 2 2 4" xfId="16810" xr:uid="{576D3488-E33B-43F8-B7EE-63BD0EA2CF05}"/>
    <cellStyle name="40% - Accent2 2 2 6 2 3" xfId="29474" xr:uid="{4732B8DA-DA74-4DF1-BFB0-873936261F17}"/>
    <cellStyle name="40% - Accent2 2 2 6 2 4" xfId="21033" xr:uid="{246CF4F9-B804-488C-9DC9-151E75EB7F52}"/>
    <cellStyle name="40% - Accent2 2 2 6 2 5" xfId="12592" xr:uid="{30E71D6E-885E-4A71-8E31-5ECA1008746B}"/>
    <cellStyle name="40% - Accent2 2 2 6 3" xfId="6215" xr:uid="{00000000-0005-0000-0000-000087040000}"/>
    <cellStyle name="40% - Accent2 2 2 6 3 2" xfId="31547" xr:uid="{73E13153-F122-4053-A4FC-43C709C696A3}"/>
    <cellStyle name="40% - Accent2 2 2 6 3 3" xfId="23106" xr:uid="{24B38F9D-9542-4EE8-AE17-27A6C2EEAD79}"/>
    <cellStyle name="40% - Accent2 2 2 6 3 4" xfId="14665" xr:uid="{C3082F6A-50EB-4591-B0B1-3D86C93FD7AF}"/>
    <cellStyle name="40% - Accent2 2 2 6 4" xfId="27329" xr:uid="{0CAD4346-E5A1-481B-8E7B-CBE14DE986B2}"/>
    <cellStyle name="40% - Accent2 2 2 6 5" xfId="18888" xr:uid="{1B89DF61-1217-443F-8C5C-51EAD00E0DFB}"/>
    <cellStyle name="40% - Accent2 2 2 6 6" xfId="10447" xr:uid="{6A6E28A5-6106-465A-98F6-4660386ABB42}"/>
    <cellStyle name="40% - Accent2 2 2 7" xfId="2322" xr:uid="{00000000-0005-0000-0000-000088040000}"/>
    <cellStyle name="40% - Accent2 2 2 7 2" xfId="6628" xr:uid="{00000000-0005-0000-0000-000089040000}"/>
    <cellStyle name="40% - Accent2 2 2 7 2 2" xfId="31960" xr:uid="{D8E2C90D-65F2-4CF1-9C46-0C43073577EB}"/>
    <cellStyle name="40% - Accent2 2 2 7 2 3" xfId="23519" xr:uid="{126F733F-7DDA-4907-A766-24CCD8BD36AD}"/>
    <cellStyle name="40% - Accent2 2 2 7 2 4" xfId="15078" xr:uid="{365BA801-2888-4248-A33C-D2ACFCA07088}"/>
    <cellStyle name="40% - Accent2 2 2 7 3" xfId="27742" xr:uid="{8A7C59A2-A9F5-4CBD-85D8-4FB0BF8B5396}"/>
    <cellStyle name="40% - Accent2 2 2 7 4" xfId="19301" xr:uid="{D6DFAB8D-4174-4F7C-B308-454317301788}"/>
    <cellStyle name="40% - Accent2 2 2 7 5" xfId="10860" xr:uid="{0DDDBB8B-7FAE-4E1F-970D-0B7427355BBF}"/>
    <cellStyle name="40% - Accent2 2 2 8" xfId="4562" xr:uid="{00000000-0005-0000-0000-00008A040000}"/>
    <cellStyle name="40% - Accent2 2 2 8 2" xfId="29894" xr:uid="{DD45AA20-C25D-4E65-99F9-87F79BC511D6}"/>
    <cellStyle name="40% - Accent2 2 2 8 3" xfId="21453" xr:uid="{012854CF-B370-4A5A-8B9E-54F015CEA9EB}"/>
    <cellStyle name="40% - Accent2 2 2 8 4" xfId="13012" xr:uid="{F52EEAFF-B598-40A7-994C-4D7CF5626614}"/>
    <cellStyle name="40% - Accent2 2 2 9" xfId="25676" xr:uid="{C9ACB7C1-71EE-4080-8833-77A0BB10EDA0}"/>
    <cellStyle name="40% - Accent2 2 3" xfId="61" xr:uid="{00000000-0005-0000-0000-00008B040000}"/>
    <cellStyle name="40% - Accent2 2 3 10" xfId="8796" xr:uid="{17AB29AA-5D62-455A-9277-692A6E2D0F7A}"/>
    <cellStyle name="40% - Accent2 2 3 2" xfId="630" xr:uid="{00000000-0005-0000-0000-00008C040000}"/>
    <cellStyle name="40% - Accent2 2 3 2 2" xfId="2901" xr:uid="{00000000-0005-0000-0000-00008D040000}"/>
    <cellStyle name="40% - Accent2 2 3 2 2 2" xfId="7123" xr:uid="{00000000-0005-0000-0000-00008E040000}"/>
    <cellStyle name="40% - Accent2 2 3 2 2 2 2" xfId="32455" xr:uid="{7BA060F4-D638-4109-AC7F-416882CEE993}"/>
    <cellStyle name="40% - Accent2 2 3 2 2 2 3" xfId="24014" xr:uid="{154544FE-A11E-4FDB-9911-0D730CA8A44C}"/>
    <cellStyle name="40% - Accent2 2 3 2 2 2 4" xfId="15573" xr:uid="{D8B2C89D-AA02-46D0-A172-308A90F45E5C}"/>
    <cellStyle name="40% - Accent2 2 3 2 2 3" xfId="28237" xr:uid="{47E9CFBB-39F2-4404-858D-CA87A961687F}"/>
    <cellStyle name="40% - Accent2 2 3 2 2 4" xfId="19796" xr:uid="{08728830-E8B4-4C6B-90C7-4D0F803E1760}"/>
    <cellStyle name="40% - Accent2 2 3 2 2 5" xfId="11355" xr:uid="{D9463040-191E-404A-8566-1341AB472718}"/>
    <cellStyle name="40% - Accent2 2 3 2 3" xfId="4978" xr:uid="{00000000-0005-0000-0000-00008F040000}"/>
    <cellStyle name="40% - Accent2 2 3 2 3 2" xfId="30310" xr:uid="{6DC9F3E5-5E2D-424B-B56C-B1F118FB6737}"/>
    <cellStyle name="40% - Accent2 2 3 2 3 3" xfId="21869" xr:uid="{04B730C0-F98E-44F4-9A49-B43A3B704381}"/>
    <cellStyle name="40% - Accent2 2 3 2 3 4" xfId="13428" xr:uid="{8475EF80-B7B1-4D13-8B52-0875A98DAC98}"/>
    <cellStyle name="40% - Accent2 2 3 2 4" xfId="26092" xr:uid="{6ADC6851-19C6-48FB-9EDE-86E032783B84}"/>
    <cellStyle name="40% - Accent2 2 3 2 5" xfId="17651" xr:uid="{CD20CD48-C980-4DC5-B280-2003FD1AF775}"/>
    <cellStyle name="40% - Accent2 2 3 2 6" xfId="9210" xr:uid="{22513609-DBC0-4F97-8753-740602331EE2}"/>
    <cellStyle name="40% - Accent2 2 3 3" xfId="1083" xr:uid="{00000000-0005-0000-0000-000090040000}"/>
    <cellStyle name="40% - Accent2 2 3 3 2" xfId="3314" xr:uid="{00000000-0005-0000-0000-000091040000}"/>
    <cellStyle name="40% - Accent2 2 3 3 2 2" xfId="7536" xr:uid="{00000000-0005-0000-0000-000092040000}"/>
    <cellStyle name="40% - Accent2 2 3 3 2 2 2" xfId="32868" xr:uid="{DC04F1BD-6E81-4BCF-982F-7CA1FC5204DA}"/>
    <cellStyle name="40% - Accent2 2 3 3 2 2 3" xfId="24427" xr:uid="{1756A3E0-5E7C-423E-AF5D-B472590C4C33}"/>
    <cellStyle name="40% - Accent2 2 3 3 2 2 4" xfId="15986" xr:uid="{9F45C682-8FAA-4D9D-89C9-2141F076FFCD}"/>
    <cellStyle name="40% - Accent2 2 3 3 2 3" xfId="28650" xr:uid="{25FF5DB9-6115-41B6-A815-E8C2E01D8E58}"/>
    <cellStyle name="40% - Accent2 2 3 3 2 4" xfId="20209" xr:uid="{D202AFCF-9665-4109-9154-31DF52A8D057}"/>
    <cellStyle name="40% - Accent2 2 3 3 2 5" xfId="11768" xr:uid="{EE1A839F-4597-429E-9321-29B30012103A}"/>
    <cellStyle name="40% - Accent2 2 3 3 3" xfId="5391" xr:uid="{00000000-0005-0000-0000-000093040000}"/>
    <cellStyle name="40% - Accent2 2 3 3 3 2" xfId="30723" xr:uid="{42D9F921-8C24-4E88-9869-CAD386B6B6EA}"/>
    <cellStyle name="40% - Accent2 2 3 3 3 3" xfId="22282" xr:uid="{D5B80CBA-E4D0-4A0E-8E21-56F041DE5E8C}"/>
    <cellStyle name="40% - Accent2 2 3 3 3 4" xfId="13841" xr:uid="{6B013EDF-26C9-44F1-B9C9-9D58AD4EB4AE}"/>
    <cellStyle name="40% - Accent2 2 3 3 4" xfId="26505" xr:uid="{CC540191-28B8-4DA7-A4AE-83E0071F6D81}"/>
    <cellStyle name="40% - Accent2 2 3 3 5" xfId="18064" xr:uid="{7D4CAE38-D97D-441F-8CC0-4B16DBA273D8}"/>
    <cellStyle name="40% - Accent2 2 3 3 6" xfId="9623" xr:uid="{9B3600CD-17B2-4261-8EDB-ECEE9005FF09}"/>
    <cellStyle name="40% - Accent2 2 3 4" xfId="1497" xr:uid="{00000000-0005-0000-0000-000094040000}"/>
    <cellStyle name="40% - Accent2 2 3 4 2" xfId="3727" xr:uid="{00000000-0005-0000-0000-000095040000}"/>
    <cellStyle name="40% - Accent2 2 3 4 2 2" xfId="7949" xr:uid="{00000000-0005-0000-0000-000096040000}"/>
    <cellStyle name="40% - Accent2 2 3 4 2 2 2" xfId="33281" xr:uid="{01494590-183C-428C-B67C-E39B8415E915}"/>
    <cellStyle name="40% - Accent2 2 3 4 2 2 3" xfId="24840" xr:uid="{9269DCCB-DEE7-410E-B05D-1ADB8100C61B}"/>
    <cellStyle name="40% - Accent2 2 3 4 2 2 4" xfId="16399" xr:uid="{30247C77-CEA5-48C2-BD62-047132F68F98}"/>
    <cellStyle name="40% - Accent2 2 3 4 2 3" xfId="29063" xr:uid="{4670068F-220C-4AE0-B415-A6101DE8912E}"/>
    <cellStyle name="40% - Accent2 2 3 4 2 4" xfId="20622" xr:uid="{D92B07D2-6BE8-4E91-B6E1-3397BE8F1EDE}"/>
    <cellStyle name="40% - Accent2 2 3 4 2 5" xfId="12181" xr:uid="{25BD3E89-9785-4DF4-8CC3-6EDA6E18753F}"/>
    <cellStyle name="40% - Accent2 2 3 4 3" xfId="5804" xr:uid="{00000000-0005-0000-0000-000097040000}"/>
    <cellStyle name="40% - Accent2 2 3 4 3 2" xfId="31136" xr:uid="{A257D259-35A4-4981-85A0-B8015A168AA4}"/>
    <cellStyle name="40% - Accent2 2 3 4 3 3" xfId="22695" xr:uid="{9FF5157C-57BA-4960-B713-03D49693BEF0}"/>
    <cellStyle name="40% - Accent2 2 3 4 3 4" xfId="14254" xr:uid="{AE252461-50A7-46B7-B9CC-7DDB69F95039}"/>
    <cellStyle name="40% - Accent2 2 3 4 4" xfId="26918" xr:uid="{4DEDB1DA-1ED1-4DEB-9B4D-B7934722F691}"/>
    <cellStyle name="40% - Accent2 2 3 4 5" xfId="18477" xr:uid="{BB678006-F3A9-4FBE-9BE1-4A705F2A58C6}"/>
    <cellStyle name="40% - Accent2 2 3 4 6" xfId="10036" xr:uid="{1B063C86-522A-4348-B96B-E490743BB2C3}"/>
    <cellStyle name="40% - Accent2 2 3 5" xfId="1911" xr:uid="{00000000-0005-0000-0000-000098040000}"/>
    <cellStyle name="40% - Accent2 2 3 5 2" xfId="4140" xr:uid="{00000000-0005-0000-0000-000099040000}"/>
    <cellStyle name="40% - Accent2 2 3 5 2 2" xfId="8362" xr:uid="{00000000-0005-0000-0000-00009A040000}"/>
    <cellStyle name="40% - Accent2 2 3 5 2 2 2" xfId="33694" xr:uid="{8D08A8E0-7B73-4D53-8EEA-9B5DF6EA1C1E}"/>
    <cellStyle name="40% - Accent2 2 3 5 2 2 3" xfId="25253" xr:uid="{E1779023-C7B9-4445-9535-6F07945CCA7A}"/>
    <cellStyle name="40% - Accent2 2 3 5 2 2 4" xfId="16812" xr:uid="{A58BF325-B1F0-48F7-9EB0-B36F18AA6642}"/>
    <cellStyle name="40% - Accent2 2 3 5 2 3" xfId="29476" xr:uid="{C5CED7C5-E8E0-4F1B-ADBC-1A21E181C01E}"/>
    <cellStyle name="40% - Accent2 2 3 5 2 4" xfId="21035" xr:uid="{D4144984-E320-413C-9D47-070E21DC07AF}"/>
    <cellStyle name="40% - Accent2 2 3 5 2 5" xfId="12594" xr:uid="{81BE9651-2297-41F9-BFDD-FF717AF1EEE6}"/>
    <cellStyle name="40% - Accent2 2 3 5 3" xfId="6217" xr:uid="{00000000-0005-0000-0000-00009B040000}"/>
    <cellStyle name="40% - Accent2 2 3 5 3 2" xfId="31549" xr:uid="{D59BD008-4B74-45BF-82D7-5BE02105E103}"/>
    <cellStyle name="40% - Accent2 2 3 5 3 3" xfId="23108" xr:uid="{54B8AB32-8354-4769-A367-FE868B36AF20}"/>
    <cellStyle name="40% - Accent2 2 3 5 3 4" xfId="14667" xr:uid="{D372D76D-AF43-4792-90D3-8E502321FE8B}"/>
    <cellStyle name="40% - Accent2 2 3 5 4" xfId="27331" xr:uid="{0319E998-7F73-4A42-A885-33DE770C16F4}"/>
    <cellStyle name="40% - Accent2 2 3 5 5" xfId="18890" xr:uid="{A125D77C-8861-455A-B7F9-1DE1A73930D1}"/>
    <cellStyle name="40% - Accent2 2 3 5 6" xfId="10449" xr:uid="{C74A2A82-B16D-47BA-B6E7-51CF631A1B35}"/>
    <cellStyle name="40% - Accent2 2 3 6" xfId="2324" xr:uid="{00000000-0005-0000-0000-00009C040000}"/>
    <cellStyle name="40% - Accent2 2 3 6 2" xfId="6630" xr:uid="{00000000-0005-0000-0000-00009D040000}"/>
    <cellStyle name="40% - Accent2 2 3 6 2 2" xfId="31962" xr:uid="{8F43EE3A-DE7F-4CFA-8690-E72E63F01B5C}"/>
    <cellStyle name="40% - Accent2 2 3 6 2 3" xfId="23521" xr:uid="{593B0205-1718-4962-8ABA-CF5198315578}"/>
    <cellStyle name="40% - Accent2 2 3 6 2 4" xfId="15080" xr:uid="{1EDC7D70-CAB3-4B5F-8907-94888C6BB816}"/>
    <cellStyle name="40% - Accent2 2 3 6 3" xfId="27744" xr:uid="{21BB9C12-1785-4B21-80A2-C9BF3F29D817}"/>
    <cellStyle name="40% - Accent2 2 3 6 4" xfId="19303" xr:uid="{B8C3436E-E195-46BB-AE02-D2B4C9E633A2}"/>
    <cellStyle name="40% - Accent2 2 3 6 5" xfId="10862" xr:uid="{C975EF4C-8B00-46A8-A805-384F43964A4E}"/>
    <cellStyle name="40% - Accent2 2 3 7" xfId="4564" xr:uid="{00000000-0005-0000-0000-00009E040000}"/>
    <cellStyle name="40% - Accent2 2 3 7 2" xfId="29896" xr:uid="{80FA4FB8-2F77-43D0-8DA4-28C559832585}"/>
    <cellStyle name="40% - Accent2 2 3 7 3" xfId="21455" xr:uid="{BE3651DD-0AD9-40C4-A9BB-A043BAC22CEF}"/>
    <cellStyle name="40% - Accent2 2 3 7 4" xfId="13014" xr:uid="{CEB88030-3488-4011-BFA7-D72A872556D8}"/>
    <cellStyle name="40% - Accent2 2 3 8" xfId="25678" xr:uid="{0E599EA8-3D22-4E93-9094-6D3C89DA7C61}"/>
    <cellStyle name="40% - Accent2 2 3 9" xfId="17237" xr:uid="{971C908E-B5CC-4263-A927-9EF143543399}"/>
    <cellStyle name="40% - Accent2 2 4" xfId="627" xr:uid="{00000000-0005-0000-0000-00009F040000}"/>
    <cellStyle name="40% - Accent2 2 4 2" xfId="2898" xr:uid="{00000000-0005-0000-0000-0000A0040000}"/>
    <cellStyle name="40% - Accent2 2 4 2 2" xfId="7120" xr:uid="{00000000-0005-0000-0000-0000A1040000}"/>
    <cellStyle name="40% - Accent2 2 4 2 2 2" xfId="32452" xr:uid="{642DA832-EF39-4594-9F49-B21593946342}"/>
    <cellStyle name="40% - Accent2 2 4 2 2 3" xfId="24011" xr:uid="{E779B5FF-34D2-416C-8AD8-DCECEA50C923}"/>
    <cellStyle name="40% - Accent2 2 4 2 2 4" xfId="15570" xr:uid="{7C783040-E445-425F-8FE9-9786F1C373F2}"/>
    <cellStyle name="40% - Accent2 2 4 2 3" xfId="28234" xr:uid="{50D71A39-810C-48DA-997A-793DC166A75F}"/>
    <cellStyle name="40% - Accent2 2 4 2 4" xfId="19793" xr:uid="{65EDE0AC-665C-4BCF-B1DA-C6B3F1963FE0}"/>
    <cellStyle name="40% - Accent2 2 4 2 5" xfId="11352" xr:uid="{73CEA39C-A112-4E29-958E-12F59936F146}"/>
    <cellStyle name="40% - Accent2 2 4 3" xfId="4975" xr:uid="{00000000-0005-0000-0000-0000A2040000}"/>
    <cellStyle name="40% - Accent2 2 4 3 2" xfId="30307" xr:uid="{5F09B215-3169-46F0-93AE-B544963D3A13}"/>
    <cellStyle name="40% - Accent2 2 4 3 3" xfId="21866" xr:uid="{25D6A149-DA3C-4E56-84C7-C44A17075ECB}"/>
    <cellStyle name="40% - Accent2 2 4 3 4" xfId="13425" xr:uid="{3FC6B622-CC47-4083-9FBF-ACEA4484CE98}"/>
    <cellStyle name="40% - Accent2 2 4 4" xfId="26089" xr:uid="{B5FF3562-C551-43AA-A922-61B9C6D71F0A}"/>
    <cellStyle name="40% - Accent2 2 4 5" xfId="17648" xr:uid="{C09BC900-1EA6-4617-AB41-1C3CB7C11533}"/>
    <cellStyle name="40% - Accent2 2 4 6" xfId="9207" xr:uid="{EFE76097-66E6-4EDC-B19E-E79F20C80A39}"/>
    <cellStyle name="40% - Accent2 2 5" xfId="1080" xr:uid="{00000000-0005-0000-0000-0000A3040000}"/>
    <cellStyle name="40% - Accent2 2 5 2" xfId="3311" xr:uid="{00000000-0005-0000-0000-0000A4040000}"/>
    <cellStyle name="40% - Accent2 2 5 2 2" xfId="7533" xr:uid="{00000000-0005-0000-0000-0000A5040000}"/>
    <cellStyle name="40% - Accent2 2 5 2 2 2" xfId="32865" xr:uid="{91503DD2-8E55-471C-8E8F-2F74063F8A27}"/>
    <cellStyle name="40% - Accent2 2 5 2 2 3" xfId="24424" xr:uid="{A049F472-252A-4E74-97D1-B87D45A2B129}"/>
    <cellStyle name="40% - Accent2 2 5 2 2 4" xfId="15983" xr:uid="{0A31DEBB-75B6-423D-9021-23299F5880ED}"/>
    <cellStyle name="40% - Accent2 2 5 2 3" xfId="28647" xr:uid="{722EA53E-C9C0-4F5E-8104-C035C63B5E6C}"/>
    <cellStyle name="40% - Accent2 2 5 2 4" xfId="20206" xr:uid="{1BC20BCF-A410-4E0B-A32E-548FB2E4973E}"/>
    <cellStyle name="40% - Accent2 2 5 2 5" xfId="11765" xr:uid="{BE092A9A-742B-4CB1-A925-EAA28E4F262B}"/>
    <cellStyle name="40% - Accent2 2 5 3" xfId="5388" xr:uid="{00000000-0005-0000-0000-0000A6040000}"/>
    <cellStyle name="40% - Accent2 2 5 3 2" xfId="30720" xr:uid="{6C6C9F9C-A11D-4FA9-B521-6FC561E5C9CA}"/>
    <cellStyle name="40% - Accent2 2 5 3 3" xfId="22279" xr:uid="{210D0584-7C15-4AFC-93BB-E7C4DBA9E06F}"/>
    <cellStyle name="40% - Accent2 2 5 3 4" xfId="13838" xr:uid="{E4DDE774-C65E-41E0-A74B-62B5521FC5B7}"/>
    <cellStyle name="40% - Accent2 2 5 4" xfId="26502" xr:uid="{06C51A6C-C7AD-4B95-80B3-202C6DE736F9}"/>
    <cellStyle name="40% - Accent2 2 5 5" xfId="18061" xr:uid="{C9F92B50-6285-4DF8-835A-F6B151F17D3B}"/>
    <cellStyle name="40% - Accent2 2 5 6" xfId="9620" xr:uid="{852261D3-DF2B-457B-838C-50C1D1318BB9}"/>
    <cellStyle name="40% - Accent2 2 6" xfId="1494" xr:uid="{00000000-0005-0000-0000-0000A7040000}"/>
    <cellStyle name="40% - Accent2 2 6 2" xfId="3724" xr:uid="{00000000-0005-0000-0000-0000A8040000}"/>
    <cellStyle name="40% - Accent2 2 6 2 2" xfId="7946" xr:uid="{00000000-0005-0000-0000-0000A9040000}"/>
    <cellStyle name="40% - Accent2 2 6 2 2 2" xfId="33278" xr:uid="{43A2D8E4-3E3F-4A34-9BA3-D8DDD31AFC07}"/>
    <cellStyle name="40% - Accent2 2 6 2 2 3" xfId="24837" xr:uid="{45F31DA2-C056-4C88-938B-D660681881F2}"/>
    <cellStyle name="40% - Accent2 2 6 2 2 4" xfId="16396" xr:uid="{72EAA91B-3F3B-4B27-A06F-18391C748D0A}"/>
    <cellStyle name="40% - Accent2 2 6 2 3" xfId="29060" xr:uid="{92211768-E54A-4452-9344-ED97F9CA8880}"/>
    <cellStyle name="40% - Accent2 2 6 2 4" xfId="20619" xr:uid="{611B0C19-091D-460A-9A3D-B5D33B1AF87D}"/>
    <cellStyle name="40% - Accent2 2 6 2 5" xfId="12178" xr:uid="{0A777762-4D4C-4517-B8E8-92C51071A880}"/>
    <cellStyle name="40% - Accent2 2 6 3" xfId="5801" xr:uid="{00000000-0005-0000-0000-0000AA040000}"/>
    <cellStyle name="40% - Accent2 2 6 3 2" xfId="31133" xr:uid="{FE3B445F-0912-44B0-AB01-CBBBA9454BA7}"/>
    <cellStyle name="40% - Accent2 2 6 3 3" xfId="22692" xr:uid="{2AF2E086-9B0A-46AB-924E-1E5C6600FADA}"/>
    <cellStyle name="40% - Accent2 2 6 3 4" xfId="14251" xr:uid="{479A9EA8-03C0-46D2-9982-B612877EC12B}"/>
    <cellStyle name="40% - Accent2 2 6 4" xfId="26915" xr:uid="{8C44C2DA-1F69-467C-BD0B-4E08D1889138}"/>
    <cellStyle name="40% - Accent2 2 6 5" xfId="18474" xr:uid="{C1EA0EE8-DEED-4B4A-80BD-A4718287F3E3}"/>
    <cellStyle name="40% - Accent2 2 6 6" xfId="10033" xr:uid="{1E794DD6-01A8-4B73-B19A-AAA26DFC09FD}"/>
    <cellStyle name="40% - Accent2 2 7" xfId="1908" xr:uid="{00000000-0005-0000-0000-0000AB040000}"/>
    <cellStyle name="40% - Accent2 2 7 2" xfId="4137" xr:uid="{00000000-0005-0000-0000-0000AC040000}"/>
    <cellStyle name="40% - Accent2 2 7 2 2" xfId="8359" xr:uid="{00000000-0005-0000-0000-0000AD040000}"/>
    <cellStyle name="40% - Accent2 2 7 2 2 2" xfId="33691" xr:uid="{A6581EF6-60FA-4920-91C2-4AF16A773811}"/>
    <cellStyle name="40% - Accent2 2 7 2 2 3" xfId="25250" xr:uid="{632D5244-ECA1-49F7-88EC-D715F4683A2A}"/>
    <cellStyle name="40% - Accent2 2 7 2 2 4" xfId="16809" xr:uid="{40572855-520D-4878-A34B-F2C92E248A23}"/>
    <cellStyle name="40% - Accent2 2 7 2 3" xfId="29473" xr:uid="{B1B84F67-6A2F-49D2-94A9-90427A137EAE}"/>
    <cellStyle name="40% - Accent2 2 7 2 4" xfId="21032" xr:uid="{2D74337C-4104-472B-9ED0-6901B4744E39}"/>
    <cellStyle name="40% - Accent2 2 7 2 5" xfId="12591" xr:uid="{F43A6066-E1FA-422F-BACA-488CE0F07BA7}"/>
    <cellStyle name="40% - Accent2 2 7 3" xfId="6214" xr:uid="{00000000-0005-0000-0000-0000AE040000}"/>
    <cellStyle name="40% - Accent2 2 7 3 2" xfId="31546" xr:uid="{24F9FD3B-0FC1-4DCA-8486-A5B8AB9C854E}"/>
    <cellStyle name="40% - Accent2 2 7 3 3" xfId="23105" xr:uid="{B0F90BB8-A358-4306-85AF-1CBDC9D5E363}"/>
    <cellStyle name="40% - Accent2 2 7 3 4" xfId="14664" xr:uid="{7F6C0401-0A13-4AE3-9673-24997C99A738}"/>
    <cellStyle name="40% - Accent2 2 7 4" xfId="27328" xr:uid="{057AD125-933D-4587-9B9C-8DC555011F40}"/>
    <cellStyle name="40% - Accent2 2 7 5" xfId="18887" xr:uid="{57A7A14A-AAF0-4CAB-9CE8-07A43B9D3BDC}"/>
    <cellStyle name="40% - Accent2 2 7 6" xfId="10446" xr:uid="{92A05C73-D15C-448A-BFB8-61963343481F}"/>
    <cellStyle name="40% - Accent2 2 8" xfId="2321" xr:uid="{00000000-0005-0000-0000-0000AF040000}"/>
    <cellStyle name="40% - Accent2 2 8 2" xfId="6627" xr:uid="{00000000-0005-0000-0000-0000B0040000}"/>
    <cellStyle name="40% - Accent2 2 8 2 2" xfId="31959" xr:uid="{1CB8F470-E9CC-431A-B680-7FAD5CCDFC38}"/>
    <cellStyle name="40% - Accent2 2 8 2 3" xfId="23518" xr:uid="{9B307ABC-A556-49FE-ABBA-4279D6091500}"/>
    <cellStyle name="40% - Accent2 2 8 2 4" xfId="15077" xr:uid="{2AE65A9C-2EC5-4AA3-88BA-E08186756C8A}"/>
    <cellStyle name="40% - Accent2 2 8 3" xfId="27741" xr:uid="{483827CA-A33B-4B46-9871-09E02F0A843C}"/>
    <cellStyle name="40% - Accent2 2 8 4" xfId="19300" xr:uid="{FF49F547-D11D-4BBB-9DAB-43BA575B10D4}"/>
    <cellStyle name="40% - Accent2 2 8 5" xfId="10859" xr:uid="{0BA57C03-BF73-4EDD-8059-F914A5EDDAF6}"/>
    <cellStyle name="40% - Accent2 2 9" xfId="4561" xr:uid="{00000000-0005-0000-0000-0000B1040000}"/>
    <cellStyle name="40% - Accent2 2 9 2" xfId="29893" xr:uid="{F45D2B2A-5626-4DC0-ACEF-91AE981FC11C}"/>
    <cellStyle name="40% - Accent2 2 9 3" xfId="21452" xr:uid="{E821075C-33FB-448E-9357-9860C0A493AC}"/>
    <cellStyle name="40% - Accent2 2 9 4" xfId="13011" xr:uid="{4D41B72D-08D3-4B2B-8BEC-5C0822656A7C}"/>
    <cellStyle name="40% - Accent2 3" xfId="62" xr:uid="{00000000-0005-0000-0000-0000B2040000}"/>
    <cellStyle name="40% - Accent2 3 10" xfId="17238" xr:uid="{2AD8F8FA-F426-43D9-827D-1AFB0F202B8C}"/>
    <cellStyle name="40% - Accent2 3 11" xfId="8797" xr:uid="{C6416D5E-5513-4E72-83A3-0BA569D18FEE}"/>
    <cellStyle name="40% - Accent2 3 2" xfId="63" xr:uid="{00000000-0005-0000-0000-0000B3040000}"/>
    <cellStyle name="40% - Accent2 3 2 10" xfId="8798" xr:uid="{1C6BB016-FB00-4B78-BC2B-FC8F06C0EE0F}"/>
    <cellStyle name="40% - Accent2 3 2 2" xfId="632" xr:uid="{00000000-0005-0000-0000-0000B4040000}"/>
    <cellStyle name="40% - Accent2 3 2 2 2" xfId="2903" xr:uid="{00000000-0005-0000-0000-0000B5040000}"/>
    <cellStyle name="40% - Accent2 3 2 2 2 2" xfId="7125" xr:uid="{00000000-0005-0000-0000-0000B6040000}"/>
    <cellStyle name="40% - Accent2 3 2 2 2 2 2" xfId="32457" xr:uid="{259D5B5B-D78A-4C30-B35C-79957F748B9F}"/>
    <cellStyle name="40% - Accent2 3 2 2 2 2 3" xfId="24016" xr:uid="{E89BBF2A-3D87-4871-AF30-8C98C3ACF784}"/>
    <cellStyle name="40% - Accent2 3 2 2 2 2 4" xfId="15575" xr:uid="{4404152F-12AB-46C5-920A-125E6616459E}"/>
    <cellStyle name="40% - Accent2 3 2 2 2 3" xfId="28239" xr:uid="{9E8E7114-5BC7-46DC-8081-EA861F219C3F}"/>
    <cellStyle name="40% - Accent2 3 2 2 2 4" xfId="19798" xr:uid="{7E0A832C-46BA-4578-A8F8-83614D11DD37}"/>
    <cellStyle name="40% - Accent2 3 2 2 2 5" xfId="11357" xr:uid="{473C034A-DB48-41AB-8AFA-9ECDC7C0CB11}"/>
    <cellStyle name="40% - Accent2 3 2 2 3" xfId="4980" xr:uid="{00000000-0005-0000-0000-0000B7040000}"/>
    <cellStyle name="40% - Accent2 3 2 2 3 2" xfId="30312" xr:uid="{1362B910-2DF6-4397-9722-1A101905FA09}"/>
    <cellStyle name="40% - Accent2 3 2 2 3 3" xfId="21871" xr:uid="{DDB42F92-C6C7-4D93-A273-EDF8BC58468A}"/>
    <cellStyle name="40% - Accent2 3 2 2 3 4" xfId="13430" xr:uid="{C38DE7DA-AB2B-468D-BC9A-14E243BCF227}"/>
    <cellStyle name="40% - Accent2 3 2 2 4" xfId="26094" xr:uid="{D8B231AB-1343-4D19-BA60-17C762661BCD}"/>
    <cellStyle name="40% - Accent2 3 2 2 5" xfId="17653" xr:uid="{9E397AC3-EF36-418C-8870-E451E7A1A6D9}"/>
    <cellStyle name="40% - Accent2 3 2 2 6" xfId="9212" xr:uid="{D505ACD8-3E68-49AB-810E-3D05934E5C2D}"/>
    <cellStyle name="40% - Accent2 3 2 3" xfId="1085" xr:uid="{00000000-0005-0000-0000-0000B8040000}"/>
    <cellStyle name="40% - Accent2 3 2 3 2" xfId="3316" xr:uid="{00000000-0005-0000-0000-0000B9040000}"/>
    <cellStyle name="40% - Accent2 3 2 3 2 2" xfId="7538" xr:uid="{00000000-0005-0000-0000-0000BA040000}"/>
    <cellStyle name="40% - Accent2 3 2 3 2 2 2" xfId="32870" xr:uid="{E3A71752-C15E-4759-8460-33AD62AF7924}"/>
    <cellStyle name="40% - Accent2 3 2 3 2 2 3" xfId="24429" xr:uid="{2C252761-D988-4B34-9771-A930C249A81B}"/>
    <cellStyle name="40% - Accent2 3 2 3 2 2 4" xfId="15988" xr:uid="{39F0916F-5E90-49AD-BF1F-4EACF11F00E9}"/>
    <cellStyle name="40% - Accent2 3 2 3 2 3" xfId="28652" xr:uid="{519E0DF8-B63D-400C-8C9E-048C3E780928}"/>
    <cellStyle name="40% - Accent2 3 2 3 2 4" xfId="20211" xr:uid="{53E2B7C8-4F72-43D2-A4B5-68E045C0330E}"/>
    <cellStyle name="40% - Accent2 3 2 3 2 5" xfId="11770" xr:uid="{684DC851-F4D6-4D38-BCE3-12DA846E432A}"/>
    <cellStyle name="40% - Accent2 3 2 3 3" xfId="5393" xr:uid="{00000000-0005-0000-0000-0000BB040000}"/>
    <cellStyle name="40% - Accent2 3 2 3 3 2" xfId="30725" xr:uid="{CF010EA3-824D-461C-9245-3F08B2C648C6}"/>
    <cellStyle name="40% - Accent2 3 2 3 3 3" xfId="22284" xr:uid="{51CA5332-12F3-4520-859A-578D66A4B7E8}"/>
    <cellStyle name="40% - Accent2 3 2 3 3 4" xfId="13843" xr:uid="{7C890302-CDDE-43B1-814D-F78CE8E0B224}"/>
    <cellStyle name="40% - Accent2 3 2 3 4" xfId="26507" xr:uid="{86EEFB88-1CAB-41B5-843F-EBEC61AA3860}"/>
    <cellStyle name="40% - Accent2 3 2 3 5" xfId="18066" xr:uid="{C3662B1D-11C7-4CA4-86A6-8285D912E4B6}"/>
    <cellStyle name="40% - Accent2 3 2 3 6" xfId="9625" xr:uid="{2F035310-1ABF-4660-9F21-B531F1DA17B9}"/>
    <cellStyle name="40% - Accent2 3 2 4" xfId="1499" xr:uid="{00000000-0005-0000-0000-0000BC040000}"/>
    <cellStyle name="40% - Accent2 3 2 4 2" xfId="3729" xr:uid="{00000000-0005-0000-0000-0000BD040000}"/>
    <cellStyle name="40% - Accent2 3 2 4 2 2" xfId="7951" xr:uid="{00000000-0005-0000-0000-0000BE040000}"/>
    <cellStyle name="40% - Accent2 3 2 4 2 2 2" xfId="33283" xr:uid="{74D31DEE-150C-4DC0-9070-C2940194D2B1}"/>
    <cellStyle name="40% - Accent2 3 2 4 2 2 3" xfId="24842" xr:uid="{0D4A21DB-41B4-4845-A570-3DE8ECF409D2}"/>
    <cellStyle name="40% - Accent2 3 2 4 2 2 4" xfId="16401" xr:uid="{0B71F5A2-42A8-4326-A20F-9187975E1A4F}"/>
    <cellStyle name="40% - Accent2 3 2 4 2 3" xfId="29065" xr:uid="{0EA9F8D8-E8DC-484C-BE80-E814CFD68C75}"/>
    <cellStyle name="40% - Accent2 3 2 4 2 4" xfId="20624" xr:uid="{C4A3AF6B-41CF-4165-B3E6-B7AC452069B8}"/>
    <cellStyle name="40% - Accent2 3 2 4 2 5" xfId="12183" xr:uid="{126F5430-B11A-45D6-9411-D5D0F3D4D2A6}"/>
    <cellStyle name="40% - Accent2 3 2 4 3" xfId="5806" xr:uid="{00000000-0005-0000-0000-0000BF040000}"/>
    <cellStyle name="40% - Accent2 3 2 4 3 2" xfId="31138" xr:uid="{50948602-EAF2-46D7-94BB-50BD1E6C52DA}"/>
    <cellStyle name="40% - Accent2 3 2 4 3 3" xfId="22697" xr:uid="{8921E365-81BE-4A77-8BE9-925E894EE04D}"/>
    <cellStyle name="40% - Accent2 3 2 4 3 4" xfId="14256" xr:uid="{422DA4CF-59CE-49E5-8C69-3902FE0710B9}"/>
    <cellStyle name="40% - Accent2 3 2 4 4" xfId="26920" xr:uid="{E9276622-5287-4CB6-9738-4132C525C7C8}"/>
    <cellStyle name="40% - Accent2 3 2 4 5" xfId="18479" xr:uid="{02A0E913-85A1-4DE3-A65F-CA1ED69B10F0}"/>
    <cellStyle name="40% - Accent2 3 2 4 6" xfId="10038" xr:uid="{B36AB582-4B2C-4721-9F3E-FE7B527B7172}"/>
    <cellStyle name="40% - Accent2 3 2 5" xfId="1913" xr:uid="{00000000-0005-0000-0000-0000C0040000}"/>
    <cellStyle name="40% - Accent2 3 2 5 2" xfId="4142" xr:uid="{00000000-0005-0000-0000-0000C1040000}"/>
    <cellStyle name="40% - Accent2 3 2 5 2 2" xfId="8364" xr:uid="{00000000-0005-0000-0000-0000C2040000}"/>
    <cellStyle name="40% - Accent2 3 2 5 2 2 2" xfId="33696" xr:uid="{1A915C99-4BB1-4100-9BCE-BDB550BA8DC9}"/>
    <cellStyle name="40% - Accent2 3 2 5 2 2 3" xfId="25255" xr:uid="{1818DE74-375A-4EB7-9524-7CBF4F035EC3}"/>
    <cellStyle name="40% - Accent2 3 2 5 2 2 4" xfId="16814" xr:uid="{6CB2AEC1-BD32-4F35-912A-B5D1B12FECA2}"/>
    <cellStyle name="40% - Accent2 3 2 5 2 3" xfId="29478" xr:uid="{E7E16264-9939-4956-A6AB-B2C1E9A88252}"/>
    <cellStyle name="40% - Accent2 3 2 5 2 4" xfId="21037" xr:uid="{62274C7D-2932-4E18-82DD-F54DC8F56FF8}"/>
    <cellStyle name="40% - Accent2 3 2 5 2 5" xfId="12596" xr:uid="{554307A6-9072-43B1-8450-653DCF67B649}"/>
    <cellStyle name="40% - Accent2 3 2 5 3" xfId="6219" xr:uid="{00000000-0005-0000-0000-0000C3040000}"/>
    <cellStyle name="40% - Accent2 3 2 5 3 2" xfId="31551" xr:uid="{92D8154F-4333-483F-9408-A145B398CC41}"/>
    <cellStyle name="40% - Accent2 3 2 5 3 3" xfId="23110" xr:uid="{6E5F1E6D-2C6E-4CF5-9A57-7D8567F3A413}"/>
    <cellStyle name="40% - Accent2 3 2 5 3 4" xfId="14669" xr:uid="{497E62BE-0078-4EE6-9D28-053D99396CCA}"/>
    <cellStyle name="40% - Accent2 3 2 5 4" xfId="27333" xr:uid="{1427ECEE-0C88-48A9-B060-A2B2AA98282F}"/>
    <cellStyle name="40% - Accent2 3 2 5 5" xfId="18892" xr:uid="{028399D2-0D13-4355-AC15-6E684305AE3B}"/>
    <cellStyle name="40% - Accent2 3 2 5 6" xfId="10451" xr:uid="{7B890F37-5DD1-448A-9F23-8FBEC1F28DEE}"/>
    <cellStyle name="40% - Accent2 3 2 6" xfId="2326" xr:uid="{00000000-0005-0000-0000-0000C4040000}"/>
    <cellStyle name="40% - Accent2 3 2 6 2" xfId="6632" xr:uid="{00000000-0005-0000-0000-0000C5040000}"/>
    <cellStyle name="40% - Accent2 3 2 6 2 2" xfId="31964" xr:uid="{8E454EEB-0A95-47D3-96ED-616B5DDE3515}"/>
    <cellStyle name="40% - Accent2 3 2 6 2 3" xfId="23523" xr:uid="{064994AB-BFD7-4645-933A-48A6F8DE1275}"/>
    <cellStyle name="40% - Accent2 3 2 6 2 4" xfId="15082" xr:uid="{A54E06A6-7CB3-470D-9E0E-6E9C0FC88AF6}"/>
    <cellStyle name="40% - Accent2 3 2 6 3" xfId="27746" xr:uid="{C8EA5EDB-54E9-4EE9-9880-1AEC54F11F6D}"/>
    <cellStyle name="40% - Accent2 3 2 6 4" xfId="19305" xr:uid="{70453568-1CD8-48AD-A66C-EDF93B437429}"/>
    <cellStyle name="40% - Accent2 3 2 6 5" xfId="10864" xr:uid="{60DA5E6E-D05D-4B02-BD91-1D216E0A8540}"/>
    <cellStyle name="40% - Accent2 3 2 7" xfId="4566" xr:uid="{00000000-0005-0000-0000-0000C6040000}"/>
    <cellStyle name="40% - Accent2 3 2 7 2" xfId="29898" xr:uid="{C45E9F1A-9A6F-449B-A3AC-E7C01F848F76}"/>
    <cellStyle name="40% - Accent2 3 2 7 3" xfId="21457" xr:uid="{54F23AF9-E2D2-4A0F-ACB9-7B0E292AD577}"/>
    <cellStyle name="40% - Accent2 3 2 7 4" xfId="13016" xr:uid="{917478F5-E687-4CB2-8D9D-D4E3397375E6}"/>
    <cellStyle name="40% - Accent2 3 2 8" xfId="25680" xr:uid="{3568943D-AE53-4101-82CC-E3653BFC9E36}"/>
    <cellStyle name="40% - Accent2 3 2 9" xfId="17239" xr:uid="{82A3BA77-779A-492B-8941-3A4D54394CEE}"/>
    <cellStyle name="40% - Accent2 3 3" xfId="631" xr:uid="{00000000-0005-0000-0000-0000C7040000}"/>
    <cellStyle name="40% - Accent2 3 3 2" xfId="2902" xr:uid="{00000000-0005-0000-0000-0000C8040000}"/>
    <cellStyle name="40% - Accent2 3 3 2 2" xfId="7124" xr:uid="{00000000-0005-0000-0000-0000C9040000}"/>
    <cellStyle name="40% - Accent2 3 3 2 2 2" xfId="32456" xr:uid="{CEA5507D-7AA3-4E84-BEB8-A45BA6A584FF}"/>
    <cellStyle name="40% - Accent2 3 3 2 2 3" xfId="24015" xr:uid="{22B819D4-EDF1-4DF2-9349-4C6A7D38FF4C}"/>
    <cellStyle name="40% - Accent2 3 3 2 2 4" xfId="15574" xr:uid="{3A644B69-9930-4E95-933C-7C16FFB5CE7C}"/>
    <cellStyle name="40% - Accent2 3 3 2 3" xfId="28238" xr:uid="{761FD13D-47B0-4E86-95A7-3177CCC12747}"/>
    <cellStyle name="40% - Accent2 3 3 2 4" xfId="19797" xr:uid="{E4ADB441-B967-444A-868A-75AC35D9A987}"/>
    <cellStyle name="40% - Accent2 3 3 2 5" xfId="11356" xr:uid="{7BACA2E8-3C53-4A68-9973-42135615D280}"/>
    <cellStyle name="40% - Accent2 3 3 3" xfId="4979" xr:uid="{00000000-0005-0000-0000-0000CA040000}"/>
    <cellStyle name="40% - Accent2 3 3 3 2" xfId="30311" xr:uid="{3FD93E29-7D16-4A3A-A061-5ADCE8D1A4FE}"/>
    <cellStyle name="40% - Accent2 3 3 3 3" xfId="21870" xr:uid="{E8FBC067-404E-456B-A003-21C4B931DC46}"/>
    <cellStyle name="40% - Accent2 3 3 3 4" xfId="13429" xr:uid="{D483C2B5-14D1-4842-AE2F-1EC41512B37C}"/>
    <cellStyle name="40% - Accent2 3 3 4" xfId="26093" xr:uid="{E4EB0DD7-C419-4B70-AB32-DFA406D5CB81}"/>
    <cellStyle name="40% - Accent2 3 3 5" xfId="17652" xr:uid="{A39FEDF0-64FE-4260-9FBB-B746A0C4885F}"/>
    <cellStyle name="40% - Accent2 3 3 6" xfId="9211" xr:uid="{E823ACB1-9A18-43EA-A714-9ECC168D1202}"/>
    <cellStyle name="40% - Accent2 3 4" xfId="1084" xr:uid="{00000000-0005-0000-0000-0000CB040000}"/>
    <cellStyle name="40% - Accent2 3 4 2" xfId="3315" xr:uid="{00000000-0005-0000-0000-0000CC040000}"/>
    <cellStyle name="40% - Accent2 3 4 2 2" xfId="7537" xr:uid="{00000000-0005-0000-0000-0000CD040000}"/>
    <cellStyle name="40% - Accent2 3 4 2 2 2" xfId="32869" xr:uid="{3FBF3894-1B68-4FFC-BF0E-8181AD31C654}"/>
    <cellStyle name="40% - Accent2 3 4 2 2 3" xfId="24428" xr:uid="{F67F4FE1-F3EB-4271-92D8-0C4DDBA6512D}"/>
    <cellStyle name="40% - Accent2 3 4 2 2 4" xfId="15987" xr:uid="{03BAA4E6-1999-4448-A919-0A04CC507E6F}"/>
    <cellStyle name="40% - Accent2 3 4 2 3" xfId="28651" xr:uid="{4C7FB1CF-6CC4-4930-BE9C-B8352EFDF109}"/>
    <cellStyle name="40% - Accent2 3 4 2 4" xfId="20210" xr:uid="{E6DD37BE-DB05-48DD-81FE-3411569B428C}"/>
    <cellStyle name="40% - Accent2 3 4 2 5" xfId="11769" xr:uid="{88D054E8-E88B-4F29-B270-5745225DEBE4}"/>
    <cellStyle name="40% - Accent2 3 4 3" xfId="5392" xr:uid="{00000000-0005-0000-0000-0000CE040000}"/>
    <cellStyle name="40% - Accent2 3 4 3 2" xfId="30724" xr:uid="{DCA5B865-52BD-4725-9440-7D2C9D2F35E1}"/>
    <cellStyle name="40% - Accent2 3 4 3 3" xfId="22283" xr:uid="{E94035FF-3AAA-4829-8904-3DBCEA9880A7}"/>
    <cellStyle name="40% - Accent2 3 4 3 4" xfId="13842" xr:uid="{DCEED3D9-00CA-450E-AA40-D935CAC0B689}"/>
    <cellStyle name="40% - Accent2 3 4 4" xfId="26506" xr:uid="{892D127B-8935-4903-A4BF-97D78DFAD53C}"/>
    <cellStyle name="40% - Accent2 3 4 5" xfId="18065" xr:uid="{12DDB528-0D32-4F05-BC26-1AC245046DF2}"/>
    <cellStyle name="40% - Accent2 3 4 6" xfId="9624" xr:uid="{9C142F1E-8D28-4575-BC75-9543E2BEFBAA}"/>
    <cellStyle name="40% - Accent2 3 5" xfId="1498" xr:uid="{00000000-0005-0000-0000-0000CF040000}"/>
    <cellStyle name="40% - Accent2 3 5 2" xfId="3728" xr:uid="{00000000-0005-0000-0000-0000D0040000}"/>
    <cellStyle name="40% - Accent2 3 5 2 2" xfId="7950" xr:uid="{00000000-0005-0000-0000-0000D1040000}"/>
    <cellStyle name="40% - Accent2 3 5 2 2 2" xfId="33282" xr:uid="{2793840C-E630-4937-95DE-D2C07FD13601}"/>
    <cellStyle name="40% - Accent2 3 5 2 2 3" xfId="24841" xr:uid="{82B027B1-119E-419B-9294-316DEF0698B5}"/>
    <cellStyle name="40% - Accent2 3 5 2 2 4" xfId="16400" xr:uid="{DE058473-08E3-43EA-AC2F-E35C95B7DE08}"/>
    <cellStyle name="40% - Accent2 3 5 2 3" xfId="29064" xr:uid="{2585C2AC-37BA-478C-92B4-D071F3C8EEE4}"/>
    <cellStyle name="40% - Accent2 3 5 2 4" xfId="20623" xr:uid="{1799ECDA-3C10-46AA-B78A-BEC0949B432D}"/>
    <cellStyle name="40% - Accent2 3 5 2 5" xfId="12182" xr:uid="{CA1F5FE5-4C24-49FC-8C91-FA970FD70C11}"/>
    <cellStyle name="40% - Accent2 3 5 3" xfId="5805" xr:uid="{00000000-0005-0000-0000-0000D2040000}"/>
    <cellStyle name="40% - Accent2 3 5 3 2" xfId="31137" xr:uid="{21B3B279-2CF5-4E5F-AA70-D98498DC7A3C}"/>
    <cellStyle name="40% - Accent2 3 5 3 3" xfId="22696" xr:uid="{1BA5CFC6-3BB8-42DC-B12D-2B479E654BFE}"/>
    <cellStyle name="40% - Accent2 3 5 3 4" xfId="14255" xr:uid="{1EA89DA3-F3E3-4BD5-8B5A-CB5BD6355FA0}"/>
    <cellStyle name="40% - Accent2 3 5 4" xfId="26919" xr:uid="{2C16DFA1-5CFF-41B4-9FEC-07781137B5AD}"/>
    <cellStyle name="40% - Accent2 3 5 5" xfId="18478" xr:uid="{CEA31EA5-F939-4C7C-9F57-D0DFAFDCEFEF}"/>
    <cellStyle name="40% - Accent2 3 5 6" xfId="10037" xr:uid="{60563E47-4EFC-4CBA-9296-9B3BE23C4816}"/>
    <cellStyle name="40% - Accent2 3 6" xfId="1912" xr:uid="{00000000-0005-0000-0000-0000D3040000}"/>
    <cellStyle name="40% - Accent2 3 6 2" xfId="4141" xr:uid="{00000000-0005-0000-0000-0000D4040000}"/>
    <cellStyle name="40% - Accent2 3 6 2 2" xfId="8363" xr:uid="{00000000-0005-0000-0000-0000D5040000}"/>
    <cellStyle name="40% - Accent2 3 6 2 2 2" xfId="33695" xr:uid="{566D3BF3-ADBC-49FA-B4B5-4F82D20C1D01}"/>
    <cellStyle name="40% - Accent2 3 6 2 2 3" xfId="25254" xr:uid="{37989BBA-D37E-4F9D-9930-31255F4CABE5}"/>
    <cellStyle name="40% - Accent2 3 6 2 2 4" xfId="16813" xr:uid="{36442593-211E-47BB-93BB-BCCB50B4F0DB}"/>
    <cellStyle name="40% - Accent2 3 6 2 3" xfId="29477" xr:uid="{42E4EB60-1784-4A76-8B56-9E0A9BD75339}"/>
    <cellStyle name="40% - Accent2 3 6 2 4" xfId="21036" xr:uid="{799007C1-9F4F-42C5-8ED6-63D177E91F5E}"/>
    <cellStyle name="40% - Accent2 3 6 2 5" xfId="12595" xr:uid="{4D8D2A7F-074B-4FA7-9B9E-180747A5C0AD}"/>
    <cellStyle name="40% - Accent2 3 6 3" xfId="6218" xr:uid="{00000000-0005-0000-0000-0000D6040000}"/>
    <cellStyle name="40% - Accent2 3 6 3 2" xfId="31550" xr:uid="{D4B41A23-4141-4C3D-B647-058804D0984A}"/>
    <cellStyle name="40% - Accent2 3 6 3 3" xfId="23109" xr:uid="{E628CF44-966A-41AA-93F7-BDE22956139D}"/>
    <cellStyle name="40% - Accent2 3 6 3 4" xfId="14668" xr:uid="{DD70C8AF-318D-4061-9E2D-F3A980F4668A}"/>
    <cellStyle name="40% - Accent2 3 6 4" xfId="27332" xr:uid="{1AE1F680-826C-4577-A33B-1A82DDE3C801}"/>
    <cellStyle name="40% - Accent2 3 6 5" xfId="18891" xr:uid="{CE5DDBBC-69DE-49B3-8647-8D770A071A39}"/>
    <cellStyle name="40% - Accent2 3 6 6" xfId="10450" xr:uid="{AC080C45-1CD4-4B81-8E79-4B180F71E20E}"/>
    <cellStyle name="40% - Accent2 3 7" xfId="2325" xr:uid="{00000000-0005-0000-0000-0000D7040000}"/>
    <cellStyle name="40% - Accent2 3 7 2" xfId="6631" xr:uid="{00000000-0005-0000-0000-0000D8040000}"/>
    <cellStyle name="40% - Accent2 3 7 2 2" xfId="31963" xr:uid="{2F5479DE-F3BB-4F77-A214-7D413983924D}"/>
    <cellStyle name="40% - Accent2 3 7 2 3" xfId="23522" xr:uid="{D1776E61-798D-44BB-A136-A19E257E913B}"/>
    <cellStyle name="40% - Accent2 3 7 2 4" xfId="15081" xr:uid="{61053F0B-B6AF-498F-9CDB-D9FBE5A04C1F}"/>
    <cellStyle name="40% - Accent2 3 7 3" xfId="27745" xr:uid="{1E96976D-383B-4827-B3AB-6826F8851D7D}"/>
    <cellStyle name="40% - Accent2 3 7 4" xfId="19304" xr:uid="{D18C1493-A108-4D67-A736-E7E4BA317F33}"/>
    <cellStyle name="40% - Accent2 3 7 5" xfId="10863" xr:uid="{6C78A097-349B-46D8-BFC5-BDA823B59F54}"/>
    <cellStyle name="40% - Accent2 3 8" xfId="4565" xr:uid="{00000000-0005-0000-0000-0000D9040000}"/>
    <cellStyle name="40% - Accent2 3 8 2" xfId="29897" xr:uid="{238D0E28-66E0-4217-991E-D5A9A06B659B}"/>
    <cellStyle name="40% - Accent2 3 8 3" xfId="21456" xr:uid="{A1A5BB46-10FC-4658-9540-DEFC4713DA4E}"/>
    <cellStyle name="40% - Accent2 3 8 4" xfId="13015" xr:uid="{2CAD486B-1302-4E6D-B954-99800A78AF4B}"/>
    <cellStyle name="40% - Accent2 3 9" xfId="25679" xr:uid="{D07D5D8F-A048-4F70-82B0-959658D31E3C}"/>
    <cellStyle name="40% - Accent2 4" xfId="64" xr:uid="{00000000-0005-0000-0000-0000DA040000}"/>
    <cellStyle name="40% - Accent2 4 10" xfId="8799" xr:uid="{52EC1BE1-B5C8-494A-B153-0B9B7851C761}"/>
    <cellStyle name="40% - Accent2 4 2" xfId="633" xr:uid="{00000000-0005-0000-0000-0000DB040000}"/>
    <cellStyle name="40% - Accent2 4 2 2" xfId="2904" xr:uid="{00000000-0005-0000-0000-0000DC040000}"/>
    <cellStyle name="40% - Accent2 4 2 2 2" xfId="7126" xr:uid="{00000000-0005-0000-0000-0000DD040000}"/>
    <cellStyle name="40% - Accent2 4 2 2 2 2" xfId="32458" xr:uid="{0A43A203-0E56-4E4A-AA21-8B34FBA56B6C}"/>
    <cellStyle name="40% - Accent2 4 2 2 2 3" xfId="24017" xr:uid="{C0578B38-23D9-4F22-ADA4-8896C52C4893}"/>
    <cellStyle name="40% - Accent2 4 2 2 2 4" xfId="15576" xr:uid="{25210586-2E44-4A01-B379-ADDDAD15DA0B}"/>
    <cellStyle name="40% - Accent2 4 2 2 3" xfId="28240" xr:uid="{90F102C9-6848-4ED1-B7EB-837F8C9BE95C}"/>
    <cellStyle name="40% - Accent2 4 2 2 4" xfId="19799" xr:uid="{8BE0F90B-B83B-4BED-B28D-D4718DCC1F91}"/>
    <cellStyle name="40% - Accent2 4 2 2 5" xfId="11358" xr:uid="{750C0DD7-114B-467A-95F5-3A113A6F6D37}"/>
    <cellStyle name="40% - Accent2 4 2 3" xfId="4981" xr:uid="{00000000-0005-0000-0000-0000DE040000}"/>
    <cellStyle name="40% - Accent2 4 2 3 2" xfId="30313" xr:uid="{77FA2E85-69F0-4D80-A1FB-1A3EF8F71D95}"/>
    <cellStyle name="40% - Accent2 4 2 3 3" xfId="21872" xr:uid="{999302C9-C771-4CBF-B9D3-CF2EB8F2688B}"/>
    <cellStyle name="40% - Accent2 4 2 3 4" xfId="13431" xr:uid="{115174CA-B877-4C67-813F-8A1B92F50A08}"/>
    <cellStyle name="40% - Accent2 4 2 4" xfId="26095" xr:uid="{A6FBC70A-0B2F-4659-B9F2-B4F2C609A487}"/>
    <cellStyle name="40% - Accent2 4 2 5" xfId="17654" xr:uid="{705D9B63-A1EE-4D32-ACA0-D36FFFD01659}"/>
    <cellStyle name="40% - Accent2 4 2 6" xfId="9213" xr:uid="{B760D4A0-F962-4CAD-9BAC-042455AC4CAD}"/>
    <cellStyle name="40% - Accent2 4 3" xfId="1086" xr:uid="{00000000-0005-0000-0000-0000DF040000}"/>
    <cellStyle name="40% - Accent2 4 3 2" xfId="3317" xr:uid="{00000000-0005-0000-0000-0000E0040000}"/>
    <cellStyle name="40% - Accent2 4 3 2 2" xfId="7539" xr:uid="{00000000-0005-0000-0000-0000E1040000}"/>
    <cellStyle name="40% - Accent2 4 3 2 2 2" xfId="32871" xr:uid="{F01E6EB9-73F1-47FD-B3A0-46BA2734FEE0}"/>
    <cellStyle name="40% - Accent2 4 3 2 2 3" xfId="24430" xr:uid="{6DAEE7A0-B986-4F7A-9B82-B4C1C3A34131}"/>
    <cellStyle name="40% - Accent2 4 3 2 2 4" xfId="15989" xr:uid="{636121E7-98BC-438E-BCD7-29614BA5EB64}"/>
    <cellStyle name="40% - Accent2 4 3 2 3" xfId="28653" xr:uid="{1BF18810-00B2-4300-8B51-0E32365EF525}"/>
    <cellStyle name="40% - Accent2 4 3 2 4" xfId="20212" xr:uid="{07C30377-D31F-4961-900E-EB83DF9595E9}"/>
    <cellStyle name="40% - Accent2 4 3 2 5" xfId="11771" xr:uid="{AAF69F83-6885-4FCE-8BCD-4F74BF660052}"/>
    <cellStyle name="40% - Accent2 4 3 3" xfId="5394" xr:uid="{00000000-0005-0000-0000-0000E2040000}"/>
    <cellStyle name="40% - Accent2 4 3 3 2" xfId="30726" xr:uid="{9CA16AA1-2347-4150-B53A-142BDED5D438}"/>
    <cellStyle name="40% - Accent2 4 3 3 3" xfId="22285" xr:uid="{33AE0925-D58D-4CCF-99D8-3CD6822EC556}"/>
    <cellStyle name="40% - Accent2 4 3 3 4" xfId="13844" xr:uid="{3CCE5604-0EDA-43E4-AD29-6FD80DF22718}"/>
    <cellStyle name="40% - Accent2 4 3 4" xfId="26508" xr:uid="{458454D5-9C29-44A1-A596-60BB26EB7B85}"/>
    <cellStyle name="40% - Accent2 4 3 5" xfId="18067" xr:uid="{0A89FFBD-9FAE-4C3C-9D54-48CA69F25357}"/>
    <cellStyle name="40% - Accent2 4 3 6" xfId="9626" xr:uid="{93443499-0010-4D17-8EF0-7ED07A26E9BB}"/>
    <cellStyle name="40% - Accent2 4 4" xfId="1500" xr:uid="{00000000-0005-0000-0000-0000E3040000}"/>
    <cellStyle name="40% - Accent2 4 4 2" xfId="3730" xr:uid="{00000000-0005-0000-0000-0000E4040000}"/>
    <cellStyle name="40% - Accent2 4 4 2 2" xfId="7952" xr:uid="{00000000-0005-0000-0000-0000E5040000}"/>
    <cellStyle name="40% - Accent2 4 4 2 2 2" xfId="33284" xr:uid="{9F37CD0F-E39E-4F52-AAB2-F0A6D63E705F}"/>
    <cellStyle name="40% - Accent2 4 4 2 2 3" xfId="24843" xr:uid="{BEC10626-7408-4CF5-92B3-BA2C03EC6C30}"/>
    <cellStyle name="40% - Accent2 4 4 2 2 4" xfId="16402" xr:uid="{17EEA1B2-391B-4F85-9DBE-D4CF4DF3BC43}"/>
    <cellStyle name="40% - Accent2 4 4 2 3" xfId="29066" xr:uid="{1AF5C9BB-CD69-4259-9294-8EDCEF0513A9}"/>
    <cellStyle name="40% - Accent2 4 4 2 4" xfId="20625" xr:uid="{DD0542D8-4454-4E60-854B-34EFC52D2A29}"/>
    <cellStyle name="40% - Accent2 4 4 2 5" xfId="12184" xr:uid="{FD567CC9-5339-449B-BCEC-D6A1B6CC86E9}"/>
    <cellStyle name="40% - Accent2 4 4 3" xfId="5807" xr:uid="{00000000-0005-0000-0000-0000E6040000}"/>
    <cellStyle name="40% - Accent2 4 4 3 2" xfId="31139" xr:uid="{5D7FB90F-3BB8-41B4-AEE5-E2D992749C3C}"/>
    <cellStyle name="40% - Accent2 4 4 3 3" xfId="22698" xr:uid="{70733C8D-4832-40B9-9551-DA060127493E}"/>
    <cellStyle name="40% - Accent2 4 4 3 4" xfId="14257" xr:uid="{1D590301-F5EF-4FDA-8F0F-DB8D4E2C04AB}"/>
    <cellStyle name="40% - Accent2 4 4 4" xfId="26921" xr:uid="{233F6581-379B-41C8-88A5-F94BA7E1FBAD}"/>
    <cellStyle name="40% - Accent2 4 4 5" xfId="18480" xr:uid="{914FB69D-F711-46A0-A44D-93AC4B746FF7}"/>
    <cellStyle name="40% - Accent2 4 4 6" xfId="10039" xr:uid="{B48223C6-BCFD-4CE1-9BD6-83D6400C3248}"/>
    <cellStyle name="40% - Accent2 4 5" xfId="1914" xr:uid="{00000000-0005-0000-0000-0000E7040000}"/>
    <cellStyle name="40% - Accent2 4 5 2" xfId="4143" xr:uid="{00000000-0005-0000-0000-0000E8040000}"/>
    <cellStyle name="40% - Accent2 4 5 2 2" xfId="8365" xr:uid="{00000000-0005-0000-0000-0000E9040000}"/>
    <cellStyle name="40% - Accent2 4 5 2 2 2" xfId="33697" xr:uid="{F2C399A6-D225-48D1-98E7-1B7468174E8E}"/>
    <cellStyle name="40% - Accent2 4 5 2 2 3" xfId="25256" xr:uid="{CBA965D7-14A3-4FA8-9AFC-696D084F8532}"/>
    <cellStyle name="40% - Accent2 4 5 2 2 4" xfId="16815" xr:uid="{7DB3DA04-D526-4513-BE16-96461F960348}"/>
    <cellStyle name="40% - Accent2 4 5 2 3" xfId="29479" xr:uid="{0801539D-D2FF-45C6-9098-05774AB43631}"/>
    <cellStyle name="40% - Accent2 4 5 2 4" xfId="21038" xr:uid="{7AE53DA8-8526-41AE-AF98-29B0B4962254}"/>
    <cellStyle name="40% - Accent2 4 5 2 5" xfId="12597" xr:uid="{94F174B9-E50A-413C-95FC-C0F0DDA158B4}"/>
    <cellStyle name="40% - Accent2 4 5 3" xfId="6220" xr:uid="{00000000-0005-0000-0000-0000EA040000}"/>
    <cellStyle name="40% - Accent2 4 5 3 2" xfId="31552" xr:uid="{ACAC2499-1A88-4210-B314-744DA96F7672}"/>
    <cellStyle name="40% - Accent2 4 5 3 3" xfId="23111" xr:uid="{F8267897-2AF7-461A-A019-CBD030FBBA89}"/>
    <cellStyle name="40% - Accent2 4 5 3 4" xfId="14670" xr:uid="{0B52A7C7-4707-46CB-BA01-13F7811F4C50}"/>
    <cellStyle name="40% - Accent2 4 5 4" xfId="27334" xr:uid="{629D0BE9-4D18-4429-9EF8-6938E977DDB2}"/>
    <cellStyle name="40% - Accent2 4 5 5" xfId="18893" xr:uid="{835EE3A1-FAA0-426A-A19E-1BF56BE01FBC}"/>
    <cellStyle name="40% - Accent2 4 5 6" xfId="10452" xr:uid="{49228E08-68CD-46D0-924B-AE8E1332F84B}"/>
    <cellStyle name="40% - Accent2 4 6" xfId="2327" xr:uid="{00000000-0005-0000-0000-0000EB040000}"/>
    <cellStyle name="40% - Accent2 4 6 2" xfId="6633" xr:uid="{00000000-0005-0000-0000-0000EC040000}"/>
    <cellStyle name="40% - Accent2 4 6 2 2" xfId="31965" xr:uid="{CEF0DC7E-278E-41E3-870A-D945189263FF}"/>
    <cellStyle name="40% - Accent2 4 6 2 3" xfId="23524" xr:uid="{DA991B5E-5B5B-4C2C-BFE3-82A1BD09E53F}"/>
    <cellStyle name="40% - Accent2 4 6 2 4" xfId="15083" xr:uid="{AF1A11B1-A0DE-4840-B5A6-1B35B9ADBDC9}"/>
    <cellStyle name="40% - Accent2 4 6 3" xfId="27747" xr:uid="{22CD1CF6-CC6B-4E36-8F04-EF31050076F2}"/>
    <cellStyle name="40% - Accent2 4 6 4" xfId="19306" xr:uid="{1B8A18EB-A534-4E80-9A02-7C0EBCDCABC4}"/>
    <cellStyle name="40% - Accent2 4 6 5" xfId="10865" xr:uid="{A111CD46-5CE9-4C4F-A753-224729C3331E}"/>
    <cellStyle name="40% - Accent2 4 7" xfId="4567" xr:uid="{00000000-0005-0000-0000-0000ED040000}"/>
    <cellStyle name="40% - Accent2 4 7 2" xfId="29899" xr:uid="{8F69D29A-0173-4C03-A7C1-0DD52BF50BB9}"/>
    <cellStyle name="40% - Accent2 4 7 3" xfId="21458" xr:uid="{86DE749A-DF37-45A8-8A9E-80AD765DCDBA}"/>
    <cellStyle name="40% - Accent2 4 7 4" xfId="13017" xr:uid="{FC744394-C723-44A7-8C18-E962E1D1ABA5}"/>
    <cellStyle name="40% - Accent2 4 8" xfId="25681" xr:uid="{F1A55E95-D4D3-43E7-A673-EB050EF46C51}"/>
    <cellStyle name="40% - Accent2 4 9" xfId="17240" xr:uid="{5428724B-3B02-4FE2-B589-D3F1C1DC5BAC}"/>
    <cellStyle name="40% - Accent2 5" xfId="626" xr:uid="{00000000-0005-0000-0000-0000EE040000}"/>
    <cellStyle name="40% - Accent2 5 2" xfId="2897" xr:uid="{00000000-0005-0000-0000-0000EF040000}"/>
    <cellStyle name="40% - Accent2 5 2 2" xfId="7119" xr:uid="{00000000-0005-0000-0000-0000F0040000}"/>
    <cellStyle name="40% - Accent2 5 2 2 2" xfId="32451" xr:uid="{628BFE80-F33F-4078-BF38-C82D31F7ACC1}"/>
    <cellStyle name="40% - Accent2 5 2 2 3" xfId="24010" xr:uid="{C84BA372-F8A4-4196-A845-65BCA48F2344}"/>
    <cellStyle name="40% - Accent2 5 2 2 4" xfId="15569" xr:uid="{596BF53F-738C-4D9F-98B2-8C3806B0B2D5}"/>
    <cellStyle name="40% - Accent2 5 2 3" xfId="28233" xr:uid="{D58B0C76-FACE-4C59-AF5E-A50A7BE93FAA}"/>
    <cellStyle name="40% - Accent2 5 2 4" xfId="19792" xr:uid="{69FC958B-8E7B-4D79-B076-7413709FF138}"/>
    <cellStyle name="40% - Accent2 5 2 5" xfId="11351" xr:uid="{461198CA-489C-4ADC-94F8-FCEB6876B6E4}"/>
    <cellStyle name="40% - Accent2 5 3" xfId="4974" xr:uid="{00000000-0005-0000-0000-0000F1040000}"/>
    <cellStyle name="40% - Accent2 5 3 2" xfId="30306" xr:uid="{C22A13E9-8B3F-4F54-B091-982595034F06}"/>
    <cellStyle name="40% - Accent2 5 3 3" xfId="21865" xr:uid="{42EC5CE3-110A-485F-880D-D8A3E978778B}"/>
    <cellStyle name="40% - Accent2 5 3 4" xfId="13424" xr:uid="{09609C8A-6C3B-425B-98AB-F264AB56BBB4}"/>
    <cellStyle name="40% - Accent2 5 4" xfId="26088" xr:uid="{FB93431A-F2AD-4006-99DF-CDA12A2704A6}"/>
    <cellStyle name="40% - Accent2 5 5" xfId="17647" xr:uid="{9223C724-984C-4426-AFB8-96D426134DD3}"/>
    <cellStyle name="40% - Accent2 5 6" xfId="9206" xr:uid="{78E9E294-B2D0-4F58-9959-2119C391F43A}"/>
    <cellStyle name="40% - Accent2 6" xfId="1079" xr:uid="{00000000-0005-0000-0000-0000F2040000}"/>
    <cellStyle name="40% - Accent2 6 2" xfId="3310" xr:uid="{00000000-0005-0000-0000-0000F3040000}"/>
    <cellStyle name="40% - Accent2 6 2 2" xfId="7532" xr:uid="{00000000-0005-0000-0000-0000F4040000}"/>
    <cellStyle name="40% - Accent2 6 2 2 2" xfId="32864" xr:uid="{DFFF87EC-EAE4-46CD-89FF-0936CC172A82}"/>
    <cellStyle name="40% - Accent2 6 2 2 3" xfId="24423" xr:uid="{75803020-E017-49F3-B545-8103C810ACE9}"/>
    <cellStyle name="40% - Accent2 6 2 2 4" xfId="15982" xr:uid="{DE89C618-31F4-4850-BDBE-37BDEF513F48}"/>
    <cellStyle name="40% - Accent2 6 2 3" xfId="28646" xr:uid="{3C4B85B1-E1A5-42FC-A9AC-75B8D317B432}"/>
    <cellStyle name="40% - Accent2 6 2 4" xfId="20205" xr:uid="{D3E35ED1-23F4-4426-9229-923842AAA3A5}"/>
    <cellStyle name="40% - Accent2 6 2 5" xfId="11764" xr:uid="{134A5F9C-3D67-4633-B0D4-D9ECA169EB5B}"/>
    <cellStyle name="40% - Accent2 6 3" xfId="5387" xr:uid="{00000000-0005-0000-0000-0000F5040000}"/>
    <cellStyle name="40% - Accent2 6 3 2" xfId="30719" xr:uid="{CE699CDC-7124-4CF8-92FF-243E8F3B662B}"/>
    <cellStyle name="40% - Accent2 6 3 3" xfId="22278" xr:uid="{9374385B-EB2E-4595-A8A3-0ABE7D88FD32}"/>
    <cellStyle name="40% - Accent2 6 3 4" xfId="13837" xr:uid="{BDBA49C0-3B0A-4AAF-9F5E-3A611665DE9A}"/>
    <cellStyle name="40% - Accent2 6 4" xfId="26501" xr:uid="{2ABBF82F-41FF-4303-8B5F-73D7AC35C793}"/>
    <cellStyle name="40% - Accent2 6 5" xfId="18060" xr:uid="{CFCB86B6-079F-4CF7-A523-8A1D721B7589}"/>
    <cellStyle name="40% - Accent2 6 6" xfId="9619" xr:uid="{21137EED-A352-45C9-A176-869E7783497F}"/>
    <cellStyle name="40% - Accent2 7" xfId="1493" xr:uid="{00000000-0005-0000-0000-0000F6040000}"/>
    <cellStyle name="40% - Accent2 7 2" xfId="3723" xr:uid="{00000000-0005-0000-0000-0000F7040000}"/>
    <cellStyle name="40% - Accent2 7 2 2" xfId="7945" xr:uid="{00000000-0005-0000-0000-0000F8040000}"/>
    <cellStyle name="40% - Accent2 7 2 2 2" xfId="33277" xr:uid="{ED80A966-0C1C-499B-9545-81C79DCF61CB}"/>
    <cellStyle name="40% - Accent2 7 2 2 3" xfId="24836" xr:uid="{37EBBDDE-49B2-4D48-8E7F-D3EA1363FF04}"/>
    <cellStyle name="40% - Accent2 7 2 2 4" xfId="16395" xr:uid="{18C69B0E-510D-4FF2-AE69-B3514E91A3DE}"/>
    <cellStyle name="40% - Accent2 7 2 3" xfId="29059" xr:uid="{7E0A9824-D364-4C21-A013-3AE366AD4AC7}"/>
    <cellStyle name="40% - Accent2 7 2 4" xfId="20618" xr:uid="{F3D2B249-87DF-4B23-9768-CF8F7361D3E1}"/>
    <cellStyle name="40% - Accent2 7 2 5" xfId="12177" xr:uid="{25DE90C0-374A-4C49-8605-BC4B8C0E256E}"/>
    <cellStyle name="40% - Accent2 7 3" xfId="5800" xr:uid="{00000000-0005-0000-0000-0000F9040000}"/>
    <cellStyle name="40% - Accent2 7 3 2" xfId="31132" xr:uid="{B78C0B83-F82C-45FC-9286-517009578021}"/>
    <cellStyle name="40% - Accent2 7 3 3" xfId="22691" xr:uid="{F38311F1-8443-4913-ABC9-79F220002FC2}"/>
    <cellStyle name="40% - Accent2 7 3 4" xfId="14250" xr:uid="{CD04AC05-FEB0-4DAD-9322-82CE749604E0}"/>
    <cellStyle name="40% - Accent2 7 4" xfId="26914" xr:uid="{F37EB97E-F14F-4EE6-AEB6-E981C516055F}"/>
    <cellStyle name="40% - Accent2 7 5" xfId="18473" xr:uid="{0A5B4B13-E615-4B28-9840-A09F03DE5002}"/>
    <cellStyle name="40% - Accent2 7 6" xfId="10032" xr:uid="{9D1A914F-2AD4-427E-91E7-76AC79D788D8}"/>
    <cellStyle name="40% - Accent2 8" xfId="1907" xr:uid="{00000000-0005-0000-0000-0000FA040000}"/>
    <cellStyle name="40% - Accent2 8 2" xfId="4136" xr:uid="{00000000-0005-0000-0000-0000FB040000}"/>
    <cellStyle name="40% - Accent2 8 2 2" xfId="8358" xr:uid="{00000000-0005-0000-0000-0000FC040000}"/>
    <cellStyle name="40% - Accent2 8 2 2 2" xfId="33690" xr:uid="{54018B82-5BF3-4564-BC48-CD4AD5C72F51}"/>
    <cellStyle name="40% - Accent2 8 2 2 3" xfId="25249" xr:uid="{D35FCFE5-7FA4-439B-B5BA-786911C47C03}"/>
    <cellStyle name="40% - Accent2 8 2 2 4" xfId="16808" xr:uid="{9F526726-4D41-4BA4-935F-DDEE7DE38268}"/>
    <cellStyle name="40% - Accent2 8 2 3" xfId="29472" xr:uid="{7474BA05-F55C-42C3-BFC1-F2780C7E5104}"/>
    <cellStyle name="40% - Accent2 8 2 4" xfId="21031" xr:uid="{E3DA363E-DFB0-4379-9CB8-F0E49D8A835F}"/>
    <cellStyle name="40% - Accent2 8 2 5" xfId="12590" xr:uid="{A3E15C11-B759-4F9D-8A4E-56EA2BF0BBD2}"/>
    <cellStyle name="40% - Accent2 8 3" xfId="6213" xr:uid="{00000000-0005-0000-0000-0000FD040000}"/>
    <cellStyle name="40% - Accent2 8 3 2" xfId="31545" xr:uid="{93F4BFB2-B26F-44CD-9401-DA6B402FC112}"/>
    <cellStyle name="40% - Accent2 8 3 3" xfId="23104" xr:uid="{61885C54-6AB4-4A64-9F4C-BD9BCC098D36}"/>
    <cellStyle name="40% - Accent2 8 3 4" xfId="14663" xr:uid="{173963B1-7FBF-4FC4-B2A9-D373E99407EF}"/>
    <cellStyle name="40% - Accent2 8 4" xfId="27327" xr:uid="{77B1BF3F-F9A3-489B-A07B-2D407F7A8676}"/>
    <cellStyle name="40% - Accent2 8 5" xfId="18886" xr:uid="{427D5C12-A76D-4AB3-951D-A6D4B5FBFC3E}"/>
    <cellStyle name="40% - Accent2 8 6" xfId="10445" xr:uid="{D197BF7A-5C0B-4048-BD2D-7D8D15FACB9E}"/>
    <cellStyle name="40% - Accent2 9" xfId="2320" xr:uid="{00000000-0005-0000-0000-0000FE040000}"/>
    <cellStyle name="40% - Accent2 9 2" xfId="6626" xr:uid="{00000000-0005-0000-0000-0000FF040000}"/>
    <cellStyle name="40% - Accent2 9 2 2" xfId="31958" xr:uid="{AEAA6A2F-3C3C-44D3-86F3-8132B8723564}"/>
    <cellStyle name="40% - Accent2 9 2 3" xfId="23517" xr:uid="{9A7D3F70-D185-4C4C-9285-E87009D08148}"/>
    <cellStyle name="40% - Accent2 9 2 4" xfId="15076" xr:uid="{21B0A300-DDB4-4EA8-B28D-DF99974DFFD6}"/>
    <cellStyle name="40% - Accent2 9 3" xfId="27740" xr:uid="{4F8C8638-C75F-4447-BFF3-A8CF8E1D3A77}"/>
    <cellStyle name="40% - Accent2 9 4" xfId="19299" xr:uid="{2AC0C2B7-8D4A-431C-9235-71C3193C47F3}"/>
    <cellStyle name="40% - Accent2 9 5" xfId="10858" xr:uid="{15B00322-83ED-40C2-8C12-10B6FDB2C113}"/>
    <cellStyle name="40% - Accent3" xfId="65" builtinId="39" customBuiltin="1"/>
    <cellStyle name="40% - Accent3 10" xfId="4568" xr:uid="{00000000-0005-0000-0000-000001050000}"/>
    <cellStyle name="40% - Accent3 10 2" xfId="29900" xr:uid="{6CDC6A46-DB9F-4B9C-B67C-E866F126B55C}"/>
    <cellStyle name="40% - Accent3 10 3" xfId="21459" xr:uid="{CCE283C5-D5D2-4226-8053-C5988B15C0ED}"/>
    <cellStyle name="40% - Accent3 10 4" xfId="13018" xr:uid="{E8B339BF-4DA4-4BB2-B53D-BB538564A8A2}"/>
    <cellStyle name="40% - Accent3 11" xfId="25682" xr:uid="{CE9C39D1-E5B0-4CAB-952C-F4E1DE983D95}"/>
    <cellStyle name="40% - Accent3 12" xfId="17241" xr:uid="{078713D4-6855-4BF9-A89B-226E8FE82D40}"/>
    <cellStyle name="40% - Accent3 13" xfId="8800" xr:uid="{6600CF19-A0CB-4F17-B066-28C420B8DE40}"/>
    <cellStyle name="40% - Accent3 2" xfId="66" xr:uid="{00000000-0005-0000-0000-000002050000}"/>
    <cellStyle name="40% - Accent3 2 10" xfId="25683" xr:uid="{FEEECE61-336E-49E7-A758-89AF93F16040}"/>
    <cellStyle name="40% - Accent3 2 11" xfId="17242" xr:uid="{54C6269D-6389-4702-9525-8F7511780D0A}"/>
    <cellStyle name="40% - Accent3 2 12" xfId="8801" xr:uid="{11AD8426-361D-45CD-BB28-C54D8466C29E}"/>
    <cellStyle name="40% - Accent3 2 2" xfId="67" xr:uid="{00000000-0005-0000-0000-000003050000}"/>
    <cellStyle name="40% - Accent3 2 2 10" xfId="17243" xr:uid="{34FAD9CB-1C58-4791-8D3A-87CC9DF494DE}"/>
    <cellStyle name="40% - Accent3 2 2 11" xfId="8802" xr:uid="{D70ECCE1-2BA8-4E96-B210-B7A774C5ED42}"/>
    <cellStyle name="40% - Accent3 2 2 2" xfId="68" xr:uid="{00000000-0005-0000-0000-000004050000}"/>
    <cellStyle name="40% - Accent3 2 2 2 10" xfId="8803" xr:uid="{12AD6708-E40E-4EB8-A6FC-0CD2CD571377}"/>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2 2 2" xfId="32462" xr:uid="{66F0F43E-08FE-449D-8970-571766311759}"/>
    <cellStyle name="40% - Accent3 2 2 2 2 2 2 3" xfId="24021" xr:uid="{909CE0E0-1F80-4310-83B5-1767358A5D47}"/>
    <cellStyle name="40% - Accent3 2 2 2 2 2 2 4" xfId="15580" xr:uid="{3D18EE95-CA9F-4A8E-BE05-4348191078A2}"/>
    <cellStyle name="40% - Accent3 2 2 2 2 2 3" xfId="28244" xr:uid="{ED491BDF-234B-4BF3-8CB5-10D4BD3B3D92}"/>
    <cellStyle name="40% - Accent3 2 2 2 2 2 4" xfId="19803" xr:uid="{6F8A39E3-79ED-4DEF-8671-662F15DE49F4}"/>
    <cellStyle name="40% - Accent3 2 2 2 2 2 5" xfId="11362" xr:uid="{6F8DD595-8F9A-4216-84E5-1B57B3CCECF2}"/>
    <cellStyle name="40% - Accent3 2 2 2 2 3" xfId="4985" xr:uid="{00000000-0005-0000-0000-000008050000}"/>
    <cellStyle name="40% - Accent3 2 2 2 2 3 2" xfId="30317" xr:uid="{455FA833-849C-4FDB-BA48-941E555F4D02}"/>
    <cellStyle name="40% - Accent3 2 2 2 2 3 3" xfId="21876" xr:uid="{61F7107F-C1B1-4954-8008-71FF6E7329CD}"/>
    <cellStyle name="40% - Accent3 2 2 2 2 3 4" xfId="13435" xr:uid="{B0B24E6F-E960-494F-9FAE-4E02AA4EBA11}"/>
    <cellStyle name="40% - Accent3 2 2 2 2 4" xfId="26099" xr:uid="{416F2A62-090E-4327-A8CC-CBA1595B96C8}"/>
    <cellStyle name="40% - Accent3 2 2 2 2 5" xfId="17658" xr:uid="{178C779F-3544-4BEF-9421-EFA22CA5DFF2}"/>
    <cellStyle name="40% - Accent3 2 2 2 2 6" xfId="9217" xr:uid="{74CE81BE-5C59-4E67-A615-AA5E1170D0E9}"/>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2 2 2" xfId="32875" xr:uid="{F971C61C-5334-4B6A-8922-9E1CBFF30D33}"/>
    <cellStyle name="40% - Accent3 2 2 2 3 2 2 3" xfId="24434" xr:uid="{78820818-900C-4E14-AA65-61CA3CB842D1}"/>
    <cellStyle name="40% - Accent3 2 2 2 3 2 2 4" xfId="15993" xr:uid="{CD4C07BA-54C1-4726-A4A1-33C701BF8506}"/>
    <cellStyle name="40% - Accent3 2 2 2 3 2 3" xfId="28657" xr:uid="{C5F2C0BF-3108-4255-BC6B-BB40EB4BA10A}"/>
    <cellStyle name="40% - Accent3 2 2 2 3 2 4" xfId="20216" xr:uid="{38351FE2-1962-440D-8A2B-07C1ACA04162}"/>
    <cellStyle name="40% - Accent3 2 2 2 3 2 5" xfId="11775" xr:uid="{1A55BDB1-E41C-4C59-9E7A-A90D8618B9A1}"/>
    <cellStyle name="40% - Accent3 2 2 2 3 3" xfId="5398" xr:uid="{00000000-0005-0000-0000-00000C050000}"/>
    <cellStyle name="40% - Accent3 2 2 2 3 3 2" xfId="30730" xr:uid="{002801CC-88D6-4CE3-B01C-26C2DCFA555D}"/>
    <cellStyle name="40% - Accent3 2 2 2 3 3 3" xfId="22289" xr:uid="{AA83EDA1-4F2A-46D0-A1F6-96626ED4F197}"/>
    <cellStyle name="40% - Accent3 2 2 2 3 3 4" xfId="13848" xr:uid="{4736CA3B-7772-4303-9AE0-FD1B21A2659B}"/>
    <cellStyle name="40% - Accent3 2 2 2 3 4" xfId="26512" xr:uid="{B6E4BB6B-2DD1-4BD1-ABB2-C9E421FF0ACE}"/>
    <cellStyle name="40% - Accent3 2 2 2 3 5" xfId="18071" xr:uid="{B3795C7D-D615-4492-963B-7CCFEC7E5107}"/>
    <cellStyle name="40% - Accent3 2 2 2 3 6" xfId="9630" xr:uid="{EFD07E2C-0CED-496C-994F-382AFF870D81}"/>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2 2 2" xfId="33288" xr:uid="{58A17ED5-E1BE-4A2F-A28F-FA91EAF14048}"/>
    <cellStyle name="40% - Accent3 2 2 2 4 2 2 3" xfId="24847" xr:uid="{CF42D8E6-65F4-4ABC-B488-171A335CF413}"/>
    <cellStyle name="40% - Accent3 2 2 2 4 2 2 4" xfId="16406" xr:uid="{033D0275-9F45-49D8-9CB7-2C4909DC919B}"/>
    <cellStyle name="40% - Accent3 2 2 2 4 2 3" xfId="29070" xr:uid="{2D2BE582-CABF-4021-A461-988A4F8B2C2D}"/>
    <cellStyle name="40% - Accent3 2 2 2 4 2 4" xfId="20629" xr:uid="{57708661-2880-46EE-8A55-EFA94F6E404A}"/>
    <cellStyle name="40% - Accent3 2 2 2 4 2 5" xfId="12188" xr:uid="{3F80F500-ADB9-4C9F-AD56-330C1F94252B}"/>
    <cellStyle name="40% - Accent3 2 2 2 4 3" xfId="5811" xr:uid="{00000000-0005-0000-0000-000010050000}"/>
    <cellStyle name="40% - Accent3 2 2 2 4 3 2" xfId="31143" xr:uid="{81F7D0A5-077E-45BB-9EB8-92F09E1C45C4}"/>
    <cellStyle name="40% - Accent3 2 2 2 4 3 3" xfId="22702" xr:uid="{0EC7C760-460E-4E73-8AE2-593A5E22F456}"/>
    <cellStyle name="40% - Accent3 2 2 2 4 3 4" xfId="14261" xr:uid="{D5BBFFB3-E430-44CE-85D0-003B64F3B039}"/>
    <cellStyle name="40% - Accent3 2 2 2 4 4" xfId="26925" xr:uid="{C7031706-C869-4860-B540-99E44F12203F}"/>
    <cellStyle name="40% - Accent3 2 2 2 4 5" xfId="18484" xr:uid="{9F5FD19C-AEFF-435E-BBE3-E0F1E5737B6C}"/>
    <cellStyle name="40% - Accent3 2 2 2 4 6" xfId="10043" xr:uid="{D3C8A68B-A058-4CAB-A722-35CF68FB139F}"/>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2 2 2" xfId="33701" xr:uid="{E2976CFC-862C-4D8C-B78F-4391C0787C8D}"/>
    <cellStyle name="40% - Accent3 2 2 2 5 2 2 3" xfId="25260" xr:uid="{BB9D5415-BE59-43C0-8DCA-05603509690C}"/>
    <cellStyle name="40% - Accent3 2 2 2 5 2 2 4" xfId="16819" xr:uid="{9C218793-1E0D-4A98-8D6D-52831FFDE92C}"/>
    <cellStyle name="40% - Accent3 2 2 2 5 2 3" xfId="29483" xr:uid="{6BEB7B3E-8D0A-43A9-B3CB-A82BCE9BD9AE}"/>
    <cellStyle name="40% - Accent3 2 2 2 5 2 4" xfId="21042" xr:uid="{EC1D3051-2EC0-4221-8E01-B69BE6D20EF5}"/>
    <cellStyle name="40% - Accent3 2 2 2 5 2 5" xfId="12601" xr:uid="{FD1058E2-5F36-49A0-8543-0DD54B8B2154}"/>
    <cellStyle name="40% - Accent3 2 2 2 5 3" xfId="6224" xr:uid="{00000000-0005-0000-0000-000014050000}"/>
    <cellStyle name="40% - Accent3 2 2 2 5 3 2" xfId="31556" xr:uid="{60D45ADD-2A95-4947-8F80-6EC7E06D0115}"/>
    <cellStyle name="40% - Accent3 2 2 2 5 3 3" xfId="23115" xr:uid="{0BA63B99-F722-4FA8-916D-8D2A34B4AB97}"/>
    <cellStyle name="40% - Accent3 2 2 2 5 3 4" xfId="14674" xr:uid="{6954F567-6D99-45E1-937D-C15D08297216}"/>
    <cellStyle name="40% - Accent3 2 2 2 5 4" xfId="27338" xr:uid="{7E6A6E05-3FA8-4965-B64E-7F065FD5C937}"/>
    <cellStyle name="40% - Accent3 2 2 2 5 5" xfId="18897" xr:uid="{EA0DE75C-258C-481D-A7DD-722389572EAF}"/>
    <cellStyle name="40% - Accent3 2 2 2 5 6" xfId="10456" xr:uid="{87C216CB-D141-4CCF-A993-568501B4AFB8}"/>
    <cellStyle name="40% - Accent3 2 2 2 6" xfId="2331" xr:uid="{00000000-0005-0000-0000-000015050000}"/>
    <cellStyle name="40% - Accent3 2 2 2 6 2" xfId="6637" xr:uid="{00000000-0005-0000-0000-000016050000}"/>
    <cellStyle name="40% - Accent3 2 2 2 6 2 2" xfId="31969" xr:uid="{89D34A3A-7C8E-4086-8FF0-362B18D51738}"/>
    <cellStyle name="40% - Accent3 2 2 2 6 2 3" xfId="23528" xr:uid="{2FF7574A-E3A3-48F3-A543-0854FE2BB121}"/>
    <cellStyle name="40% - Accent3 2 2 2 6 2 4" xfId="15087" xr:uid="{6418A4D2-2E2F-49C7-A3B2-0B75F9A34D31}"/>
    <cellStyle name="40% - Accent3 2 2 2 6 3" xfId="27751" xr:uid="{78EF06FB-499F-4108-A64E-36BFAFC6F85E}"/>
    <cellStyle name="40% - Accent3 2 2 2 6 4" xfId="19310" xr:uid="{8B7FC480-5F65-47D0-9368-A641D0B83FFC}"/>
    <cellStyle name="40% - Accent3 2 2 2 6 5" xfId="10869" xr:uid="{B50790B0-94A9-4092-916F-A442ED882C5B}"/>
    <cellStyle name="40% - Accent3 2 2 2 7" xfId="4571" xr:uid="{00000000-0005-0000-0000-000017050000}"/>
    <cellStyle name="40% - Accent3 2 2 2 7 2" xfId="29903" xr:uid="{46695915-2D33-41E2-A1BC-FAEBF823D64C}"/>
    <cellStyle name="40% - Accent3 2 2 2 7 3" xfId="21462" xr:uid="{7A27F603-2A22-4E46-B43C-45CEE162EB50}"/>
    <cellStyle name="40% - Accent3 2 2 2 7 4" xfId="13021" xr:uid="{18D44093-D5D2-4F0E-8301-5F2D7A3DDB57}"/>
    <cellStyle name="40% - Accent3 2 2 2 8" xfId="25685" xr:uid="{73221F60-2BFA-4EEF-A5C7-5E39D1FA4E2C}"/>
    <cellStyle name="40% - Accent3 2 2 2 9" xfId="17244" xr:uid="{D1E233DE-7B11-4075-AAA9-559811B2B29A}"/>
    <cellStyle name="40% - Accent3 2 2 3" xfId="636" xr:uid="{00000000-0005-0000-0000-000018050000}"/>
    <cellStyle name="40% - Accent3 2 2 3 2" xfId="2907" xr:uid="{00000000-0005-0000-0000-000019050000}"/>
    <cellStyle name="40% - Accent3 2 2 3 2 2" xfId="7129" xr:uid="{00000000-0005-0000-0000-00001A050000}"/>
    <cellStyle name="40% - Accent3 2 2 3 2 2 2" xfId="32461" xr:uid="{FC0C54E1-464D-4EAB-8E14-F6D0A207F0EB}"/>
    <cellStyle name="40% - Accent3 2 2 3 2 2 3" xfId="24020" xr:uid="{815FBA28-9E7F-439F-B325-0DAE72EFD7CC}"/>
    <cellStyle name="40% - Accent3 2 2 3 2 2 4" xfId="15579" xr:uid="{94F23047-98FC-44F8-AC56-45DC61C3AA06}"/>
    <cellStyle name="40% - Accent3 2 2 3 2 3" xfId="28243" xr:uid="{81B4B48C-2549-4964-919F-62A7800795AE}"/>
    <cellStyle name="40% - Accent3 2 2 3 2 4" xfId="19802" xr:uid="{3EC7EA4E-A3E4-47D9-854A-877C328632AC}"/>
    <cellStyle name="40% - Accent3 2 2 3 2 5" xfId="11361" xr:uid="{9B5F4FE1-3B9E-4114-99B7-FC8155E70868}"/>
    <cellStyle name="40% - Accent3 2 2 3 3" xfId="4984" xr:uid="{00000000-0005-0000-0000-00001B050000}"/>
    <cellStyle name="40% - Accent3 2 2 3 3 2" xfId="30316" xr:uid="{A77FE5B8-98C3-454F-A445-9E965E27645A}"/>
    <cellStyle name="40% - Accent3 2 2 3 3 3" xfId="21875" xr:uid="{994BA8F8-B9D8-4FB5-9EDE-C1E87F17659B}"/>
    <cellStyle name="40% - Accent3 2 2 3 3 4" xfId="13434" xr:uid="{5B9683D1-88EF-4552-BF1E-046BB550928A}"/>
    <cellStyle name="40% - Accent3 2 2 3 4" xfId="26098" xr:uid="{F509E25C-4118-4C36-A8B8-C39A42A9B504}"/>
    <cellStyle name="40% - Accent3 2 2 3 5" xfId="17657" xr:uid="{38163797-A1FC-4F85-8156-29163EAE4236}"/>
    <cellStyle name="40% - Accent3 2 2 3 6" xfId="9216" xr:uid="{FDD61CDA-50E8-4431-8B64-4F5E6C17AF04}"/>
    <cellStyle name="40% - Accent3 2 2 4" xfId="1089" xr:uid="{00000000-0005-0000-0000-00001C050000}"/>
    <cellStyle name="40% - Accent3 2 2 4 2" xfId="3320" xr:uid="{00000000-0005-0000-0000-00001D050000}"/>
    <cellStyle name="40% - Accent3 2 2 4 2 2" xfId="7542" xr:uid="{00000000-0005-0000-0000-00001E050000}"/>
    <cellStyle name="40% - Accent3 2 2 4 2 2 2" xfId="32874" xr:uid="{F837533E-2195-49BE-B79C-5213D2708EC3}"/>
    <cellStyle name="40% - Accent3 2 2 4 2 2 3" xfId="24433" xr:uid="{4C0123FF-9737-4857-B41E-86C61B6E1179}"/>
    <cellStyle name="40% - Accent3 2 2 4 2 2 4" xfId="15992" xr:uid="{33AF1FCC-AB6D-4B83-8AF0-C6B86B673C15}"/>
    <cellStyle name="40% - Accent3 2 2 4 2 3" xfId="28656" xr:uid="{70A752B0-E6E1-4CC7-8379-462A6FDDCBCF}"/>
    <cellStyle name="40% - Accent3 2 2 4 2 4" xfId="20215" xr:uid="{8E75A427-EA40-4523-92FB-0EB0C907AA05}"/>
    <cellStyle name="40% - Accent3 2 2 4 2 5" xfId="11774" xr:uid="{52AFB8D7-807B-4F88-B5F2-475397B66E93}"/>
    <cellStyle name="40% - Accent3 2 2 4 3" xfId="5397" xr:uid="{00000000-0005-0000-0000-00001F050000}"/>
    <cellStyle name="40% - Accent3 2 2 4 3 2" xfId="30729" xr:uid="{B5EBDAB4-FBEF-4C66-962D-A0BFA3C7D883}"/>
    <cellStyle name="40% - Accent3 2 2 4 3 3" xfId="22288" xr:uid="{9250BFD6-AB57-4431-BB47-6B0AB3F1040F}"/>
    <cellStyle name="40% - Accent3 2 2 4 3 4" xfId="13847" xr:uid="{0318A931-685A-430A-B74B-8E45C5EEDA86}"/>
    <cellStyle name="40% - Accent3 2 2 4 4" xfId="26511" xr:uid="{E9370E19-5265-406D-B836-2947A4E34F2D}"/>
    <cellStyle name="40% - Accent3 2 2 4 5" xfId="18070" xr:uid="{89416136-8F06-4A6D-8AE8-A66D7F400C74}"/>
    <cellStyle name="40% - Accent3 2 2 4 6" xfId="9629" xr:uid="{59163D90-013B-440B-813A-FD4032E261E2}"/>
    <cellStyle name="40% - Accent3 2 2 5" xfId="1503" xr:uid="{00000000-0005-0000-0000-000020050000}"/>
    <cellStyle name="40% - Accent3 2 2 5 2" xfId="3733" xr:uid="{00000000-0005-0000-0000-000021050000}"/>
    <cellStyle name="40% - Accent3 2 2 5 2 2" xfId="7955" xr:uid="{00000000-0005-0000-0000-000022050000}"/>
    <cellStyle name="40% - Accent3 2 2 5 2 2 2" xfId="33287" xr:uid="{C64A1D91-976E-412A-A03D-97B1A11AA196}"/>
    <cellStyle name="40% - Accent3 2 2 5 2 2 3" xfId="24846" xr:uid="{7DD91228-D1FE-419E-916A-A1DB393766B1}"/>
    <cellStyle name="40% - Accent3 2 2 5 2 2 4" xfId="16405" xr:uid="{30BAFD0B-C3B4-4C24-BAD1-30B382D37A78}"/>
    <cellStyle name="40% - Accent3 2 2 5 2 3" xfId="29069" xr:uid="{0F282135-C68D-4B7D-9FA2-F6D5A048F363}"/>
    <cellStyle name="40% - Accent3 2 2 5 2 4" xfId="20628" xr:uid="{B7B14933-CA0F-494B-BD5D-E32C0F108367}"/>
    <cellStyle name="40% - Accent3 2 2 5 2 5" xfId="12187" xr:uid="{9F018E83-436B-474C-9F1B-75D7D8F3F854}"/>
    <cellStyle name="40% - Accent3 2 2 5 3" xfId="5810" xr:uid="{00000000-0005-0000-0000-000023050000}"/>
    <cellStyle name="40% - Accent3 2 2 5 3 2" xfId="31142" xr:uid="{99C2537D-B31E-47D7-8F4C-915E24151371}"/>
    <cellStyle name="40% - Accent3 2 2 5 3 3" xfId="22701" xr:uid="{2C435CFA-8037-4075-BE6A-6704A0A2C041}"/>
    <cellStyle name="40% - Accent3 2 2 5 3 4" xfId="14260" xr:uid="{372BF3EC-9921-4B11-BB06-6BD899066EFD}"/>
    <cellStyle name="40% - Accent3 2 2 5 4" xfId="26924" xr:uid="{5185BE9D-D66A-4BD1-832B-F6463FA30325}"/>
    <cellStyle name="40% - Accent3 2 2 5 5" xfId="18483" xr:uid="{C90C5504-D5CE-4D2B-ACA2-2AACA88EBBD2}"/>
    <cellStyle name="40% - Accent3 2 2 5 6" xfId="10042" xr:uid="{CF4D2948-4BC8-4A0A-A771-03F5A7E6D6ED}"/>
    <cellStyle name="40% - Accent3 2 2 6" xfId="1917" xr:uid="{00000000-0005-0000-0000-000024050000}"/>
    <cellStyle name="40% - Accent3 2 2 6 2" xfId="4146" xr:uid="{00000000-0005-0000-0000-000025050000}"/>
    <cellStyle name="40% - Accent3 2 2 6 2 2" xfId="8368" xr:uid="{00000000-0005-0000-0000-000026050000}"/>
    <cellStyle name="40% - Accent3 2 2 6 2 2 2" xfId="33700" xr:uid="{619350C6-52F1-4BB3-8027-5D99E9B4FC70}"/>
    <cellStyle name="40% - Accent3 2 2 6 2 2 3" xfId="25259" xr:uid="{32054EE4-3D5F-48F3-B2FD-75F39BBAEE20}"/>
    <cellStyle name="40% - Accent3 2 2 6 2 2 4" xfId="16818" xr:uid="{37CA950A-4C03-44AA-B073-D39F85CF266A}"/>
    <cellStyle name="40% - Accent3 2 2 6 2 3" xfId="29482" xr:uid="{A6059725-A611-4844-9E73-8D67F4955A69}"/>
    <cellStyle name="40% - Accent3 2 2 6 2 4" xfId="21041" xr:uid="{0A8AE498-D60D-4FC8-AD89-00E36D186C3D}"/>
    <cellStyle name="40% - Accent3 2 2 6 2 5" xfId="12600" xr:uid="{C15860A1-814D-47E0-BCC4-9C9E8F802EB8}"/>
    <cellStyle name="40% - Accent3 2 2 6 3" xfId="6223" xr:uid="{00000000-0005-0000-0000-000027050000}"/>
    <cellStyle name="40% - Accent3 2 2 6 3 2" xfId="31555" xr:uid="{AC8ABFB9-B645-4E4E-9FC5-4B052550E72E}"/>
    <cellStyle name="40% - Accent3 2 2 6 3 3" xfId="23114" xr:uid="{966555A6-CA31-4E2E-8190-031808102F52}"/>
    <cellStyle name="40% - Accent3 2 2 6 3 4" xfId="14673" xr:uid="{B4ABF6FD-DEBC-47C3-B79B-84C26568D8B3}"/>
    <cellStyle name="40% - Accent3 2 2 6 4" xfId="27337" xr:uid="{D7250FCB-40C0-402B-8855-A9451AD29875}"/>
    <cellStyle name="40% - Accent3 2 2 6 5" xfId="18896" xr:uid="{B09D7648-96AB-4ED2-85E5-7E54097D274F}"/>
    <cellStyle name="40% - Accent3 2 2 6 6" xfId="10455" xr:uid="{8178DD78-11F9-480E-82AA-000C9F034B9A}"/>
    <cellStyle name="40% - Accent3 2 2 7" xfId="2330" xr:uid="{00000000-0005-0000-0000-000028050000}"/>
    <cellStyle name="40% - Accent3 2 2 7 2" xfId="6636" xr:uid="{00000000-0005-0000-0000-000029050000}"/>
    <cellStyle name="40% - Accent3 2 2 7 2 2" xfId="31968" xr:uid="{FE6E31D7-2621-454A-BDCA-565A1687B2C3}"/>
    <cellStyle name="40% - Accent3 2 2 7 2 3" xfId="23527" xr:uid="{C122477A-3262-4D04-9601-151FA23BB42D}"/>
    <cellStyle name="40% - Accent3 2 2 7 2 4" xfId="15086" xr:uid="{C270DCE8-93E8-4E0B-96CD-BC8EC7D19AB2}"/>
    <cellStyle name="40% - Accent3 2 2 7 3" xfId="27750" xr:uid="{FFB678DF-49FB-4E1D-96C8-FEBF295AD65E}"/>
    <cellStyle name="40% - Accent3 2 2 7 4" xfId="19309" xr:uid="{67C29E0E-B016-4645-8907-A08F23AF3319}"/>
    <cellStyle name="40% - Accent3 2 2 7 5" xfId="10868" xr:uid="{4A6E5824-DA45-4576-99DF-2E8CA312CF90}"/>
    <cellStyle name="40% - Accent3 2 2 8" xfId="4570" xr:uid="{00000000-0005-0000-0000-00002A050000}"/>
    <cellStyle name="40% - Accent3 2 2 8 2" xfId="29902" xr:uid="{C019657E-9282-4A3C-AD19-C0A797EB5E9F}"/>
    <cellStyle name="40% - Accent3 2 2 8 3" xfId="21461" xr:uid="{3E1822D6-37F7-4269-BEEE-55DE9962B5B2}"/>
    <cellStyle name="40% - Accent3 2 2 8 4" xfId="13020" xr:uid="{023ED17F-8368-492C-BBE4-7E475713E3DA}"/>
    <cellStyle name="40% - Accent3 2 2 9" xfId="25684" xr:uid="{FCF9048A-143C-4BCE-A744-0C8FEC6556E7}"/>
    <cellStyle name="40% - Accent3 2 3" xfId="69" xr:uid="{00000000-0005-0000-0000-00002B050000}"/>
    <cellStyle name="40% - Accent3 2 3 10" xfId="8804" xr:uid="{4CCDB9B5-5525-49EC-99A9-586346A7F47A}"/>
    <cellStyle name="40% - Accent3 2 3 2" xfId="638" xr:uid="{00000000-0005-0000-0000-00002C050000}"/>
    <cellStyle name="40% - Accent3 2 3 2 2" xfId="2909" xr:uid="{00000000-0005-0000-0000-00002D050000}"/>
    <cellStyle name="40% - Accent3 2 3 2 2 2" xfId="7131" xr:uid="{00000000-0005-0000-0000-00002E050000}"/>
    <cellStyle name="40% - Accent3 2 3 2 2 2 2" xfId="32463" xr:uid="{3DC1B25E-18EA-431C-9C90-AE4D1DC913D7}"/>
    <cellStyle name="40% - Accent3 2 3 2 2 2 3" xfId="24022" xr:uid="{060166F6-3F0A-47F2-BFC0-D904EF96FFA6}"/>
    <cellStyle name="40% - Accent3 2 3 2 2 2 4" xfId="15581" xr:uid="{BC45A673-ACE6-47DF-A1E7-4D077679C7FF}"/>
    <cellStyle name="40% - Accent3 2 3 2 2 3" xfId="28245" xr:uid="{9B05DE3A-5477-4921-8605-69311EF5B411}"/>
    <cellStyle name="40% - Accent3 2 3 2 2 4" xfId="19804" xr:uid="{25A27F4A-774C-4E9F-8806-996C5B35AD45}"/>
    <cellStyle name="40% - Accent3 2 3 2 2 5" xfId="11363" xr:uid="{4D30EF2E-2322-4E82-81E9-59A89835629F}"/>
    <cellStyle name="40% - Accent3 2 3 2 3" xfId="4986" xr:uid="{00000000-0005-0000-0000-00002F050000}"/>
    <cellStyle name="40% - Accent3 2 3 2 3 2" xfId="30318" xr:uid="{2CA06A59-C85F-4FF6-BA1D-91210E05A68E}"/>
    <cellStyle name="40% - Accent3 2 3 2 3 3" xfId="21877" xr:uid="{30540D3C-DB44-44B3-A757-585FC416B5E0}"/>
    <cellStyle name="40% - Accent3 2 3 2 3 4" xfId="13436" xr:uid="{42442CD7-347D-4469-A24D-06474C415973}"/>
    <cellStyle name="40% - Accent3 2 3 2 4" xfId="26100" xr:uid="{7A40C359-8971-4FC7-B944-5AA5433E93D4}"/>
    <cellStyle name="40% - Accent3 2 3 2 5" xfId="17659" xr:uid="{F777A94B-5A41-4AAA-BB52-5D2D5C462D63}"/>
    <cellStyle name="40% - Accent3 2 3 2 6" xfId="9218" xr:uid="{6AF615EA-BDE2-4A56-AADD-9F05E28E641F}"/>
    <cellStyle name="40% - Accent3 2 3 3" xfId="1091" xr:uid="{00000000-0005-0000-0000-000030050000}"/>
    <cellStyle name="40% - Accent3 2 3 3 2" xfId="3322" xr:uid="{00000000-0005-0000-0000-000031050000}"/>
    <cellStyle name="40% - Accent3 2 3 3 2 2" xfId="7544" xr:uid="{00000000-0005-0000-0000-000032050000}"/>
    <cellStyle name="40% - Accent3 2 3 3 2 2 2" xfId="32876" xr:uid="{4FF881C3-DBAF-40BF-A156-E283B5EE52A4}"/>
    <cellStyle name="40% - Accent3 2 3 3 2 2 3" xfId="24435" xr:uid="{FFBF2D2E-A2A9-4E03-B362-3C3468D32952}"/>
    <cellStyle name="40% - Accent3 2 3 3 2 2 4" xfId="15994" xr:uid="{D9ED825B-FD7F-4607-BDAA-C687F90E6CFD}"/>
    <cellStyle name="40% - Accent3 2 3 3 2 3" xfId="28658" xr:uid="{7B5EBA8F-A31E-4652-AC5F-417737F944A8}"/>
    <cellStyle name="40% - Accent3 2 3 3 2 4" xfId="20217" xr:uid="{8E62E4AE-C010-46AB-826F-6AC6E84A4FC8}"/>
    <cellStyle name="40% - Accent3 2 3 3 2 5" xfId="11776" xr:uid="{2D5151A3-B9A9-4177-8C85-159E2A722023}"/>
    <cellStyle name="40% - Accent3 2 3 3 3" xfId="5399" xr:uid="{00000000-0005-0000-0000-000033050000}"/>
    <cellStyle name="40% - Accent3 2 3 3 3 2" xfId="30731" xr:uid="{91E27911-59EE-4F27-9973-579A1FF82CBA}"/>
    <cellStyle name="40% - Accent3 2 3 3 3 3" xfId="22290" xr:uid="{74210DBD-F333-4D14-B80E-4B1C811289F3}"/>
    <cellStyle name="40% - Accent3 2 3 3 3 4" xfId="13849" xr:uid="{425DFD29-A93A-48DD-A79F-A55747EBA078}"/>
    <cellStyle name="40% - Accent3 2 3 3 4" xfId="26513" xr:uid="{87245830-AF35-49B8-96B1-4AFFA8DED038}"/>
    <cellStyle name="40% - Accent3 2 3 3 5" xfId="18072" xr:uid="{1A9E3AAC-D17F-4DA2-8CBE-E7FCD4585FD4}"/>
    <cellStyle name="40% - Accent3 2 3 3 6" xfId="9631" xr:uid="{4A18CB1E-35C3-4785-AD14-D3D1EBA2757A}"/>
    <cellStyle name="40% - Accent3 2 3 4" xfId="1505" xr:uid="{00000000-0005-0000-0000-000034050000}"/>
    <cellStyle name="40% - Accent3 2 3 4 2" xfId="3735" xr:uid="{00000000-0005-0000-0000-000035050000}"/>
    <cellStyle name="40% - Accent3 2 3 4 2 2" xfId="7957" xr:uid="{00000000-0005-0000-0000-000036050000}"/>
    <cellStyle name="40% - Accent3 2 3 4 2 2 2" xfId="33289" xr:uid="{81BC1C43-905B-4751-B320-099E8AC08174}"/>
    <cellStyle name="40% - Accent3 2 3 4 2 2 3" xfId="24848" xr:uid="{E4DA7051-F76F-4B4B-8C91-CFAA0C1E8268}"/>
    <cellStyle name="40% - Accent3 2 3 4 2 2 4" xfId="16407" xr:uid="{A6E62F89-9035-4430-AB17-98B404744255}"/>
    <cellStyle name="40% - Accent3 2 3 4 2 3" xfId="29071" xr:uid="{EEF440A4-B4AE-4759-BF59-52DAADE59140}"/>
    <cellStyle name="40% - Accent3 2 3 4 2 4" xfId="20630" xr:uid="{E11885EF-C3B2-4BD7-82EB-D743B5D612C6}"/>
    <cellStyle name="40% - Accent3 2 3 4 2 5" xfId="12189" xr:uid="{81FC9EA8-7BFD-4173-84C8-9A7F7EA04E89}"/>
    <cellStyle name="40% - Accent3 2 3 4 3" xfId="5812" xr:uid="{00000000-0005-0000-0000-000037050000}"/>
    <cellStyle name="40% - Accent3 2 3 4 3 2" xfId="31144" xr:uid="{03AF275A-6794-4F02-8337-CE8283AB6D54}"/>
    <cellStyle name="40% - Accent3 2 3 4 3 3" xfId="22703" xr:uid="{616AE9A4-B8D1-4041-8152-0F3E71638676}"/>
    <cellStyle name="40% - Accent3 2 3 4 3 4" xfId="14262" xr:uid="{9F6E87FA-6596-4680-B00A-B0ABCAF2843B}"/>
    <cellStyle name="40% - Accent3 2 3 4 4" xfId="26926" xr:uid="{30CD62C8-2F8C-4B98-98D4-8BFEA649C2D5}"/>
    <cellStyle name="40% - Accent3 2 3 4 5" xfId="18485" xr:uid="{B41C48F7-91F3-47AD-B22D-C7403CA225D0}"/>
    <cellStyle name="40% - Accent3 2 3 4 6" xfId="10044" xr:uid="{4FED5F68-FE65-49ED-9643-ACA9DE84FDE4}"/>
    <cellStyle name="40% - Accent3 2 3 5" xfId="1919" xr:uid="{00000000-0005-0000-0000-000038050000}"/>
    <cellStyle name="40% - Accent3 2 3 5 2" xfId="4148" xr:uid="{00000000-0005-0000-0000-000039050000}"/>
    <cellStyle name="40% - Accent3 2 3 5 2 2" xfId="8370" xr:uid="{00000000-0005-0000-0000-00003A050000}"/>
    <cellStyle name="40% - Accent3 2 3 5 2 2 2" xfId="33702" xr:uid="{292ECC8A-05D4-4B0A-BC62-44A38D99AEFA}"/>
    <cellStyle name="40% - Accent3 2 3 5 2 2 3" xfId="25261" xr:uid="{04422A81-048D-402F-90A9-BF2661CA4B65}"/>
    <cellStyle name="40% - Accent3 2 3 5 2 2 4" xfId="16820" xr:uid="{6025E54D-7BE8-4393-88AC-E8145A3EC667}"/>
    <cellStyle name="40% - Accent3 2 3 5 2 3" xfId="29484" xr:uid="{70787C24-0B26-4CF9-A272-74C9EC0D4632}"/>
    <cellStyle name="40% - Accent3 2 3 5 2 4" xfId="21043" xr:uid="{1361A328-EA71-4CD1-8A1E-9A3258CF9C37}"/>
    <cellStyle name="40% - Accent3 2 3 5 2 5" xfId="12602" xr:uid="{8CE54FFA-CE63-4135-8E9B-520667B7CE9A}"/>
    <cellStyle name="40% - Accent3 2 3 5 3" xfId="6225" xr:uid="{00000000-0005-0000-0000-00003B050000}"/>
    <cellStyle name="40% - Accent3 2 3 5 3 2" xfId="31557" xr:uid="{04A3DB31-604C-40CF-A5F0-D5BAC6995F97}"/>
    <cellStyle name="40% - Accent3 2 3 5 3 3" xfId="23116" xr:uid="{1A0B713E-85A4-433F-B59A-5B61B3852860}"/>
    <cellStyle name="40% - Accent3 2 3 5 3 4" xfId="14675" xr:uid="{CC80184C-21E8-43FE-8123-DF54AFE1DA1C}"/>
    <cellStyle name="40% - Accent3 2 3 5 4" xfId="27339" xr:uid="{6782E11D-09D9-4E66-8680-499C8D8F17F6}"/>
    <cellStyle name="40% - Accent3 2 3 5 5" xfId="18898" xr:uid="{5F1DEAB0-9B2D-4DCB-B29B-899ED53A64BF}"/>
    <cellStyle name="40% - Accent3 2 3 5 6" xfId="10457" xr:uid="{2EEA36FB-71D6-4835-9B5F-927B57E13215}"/>
    <cellStyle name="40% - Accent3 2 3 6" xfId="2332" xr:uid="{00000000-0005-0000-0000-00003C050000}"/>
    <cellStyle name="40% - Accent3 2 3 6 2" xfId="6638" xr:uid="{00000000-0005-0000-0000-00003D050000}"/>
    <cellStyle name="40% - Accent3 2 3 6 2 2" xfId="31970" xr:uid="{29A5ED76-449C-4D1D-B202-2CCDCD157E4E}"/>
    <cellStyle name="40% - Accent3 2 3 6 2 3" xfId="23529" xr:uid="{2D9F41E0-07E8-4330-A68A-83C001BF15FF}"/>
    <cellStyle name="40% - Accent3 2 3 6 2 4" xfId="15088" xr:uid="{7CF1D843-68A7-41AD-AD1F-6672C5CB1D76}"/>
    <cellStyle name="40% - Accent3 2 3 6 3" xfId="27752" xr:uid="{5DAD4D7D-4C4C-4D7E-8BE9-06012158A59C}"/>
    <cellStyle name="40% - Accent3 2 3 6 4" xfId="19311" xr:uid="{B024860F-3A5E-4434-8A37-F4E931D8E6E1}"/>
    <cellStyle name="40% - Accent3 2 3 6 5" xfId="10870" xr:uid="{17DB9EB8-0223-4CBF-8B56-1127AC2E6D1D}"/>
    <cellStyle name="40% - Accent3 2 3 7" xfId="4572" xr:uid="{00000000-0005-0000-0000-00003E050000}"/>
    <cellStyle name="40% - Accent3 2 3 7 2" xfId="29904" xr:uid="{36AE73AD-2AA5-483F-BE66-2AE5B469F42F}"/>
    <cellStyle name="40% - Accent3 2 3 7 3" xfId="21463" xr:uid="{785D6758-0F30-42EE-8F4D-D4A1FA68C593}"/>
    <cellStyle name="40% - Accent3 2 3 7 4" xfId="13022" xr:uid="{0CB538DB-73E5-464E-95DB-90CC396F9843}"/>
    <cellStyle name="40% - Accent3 2 3 8" xfId="25686" xr:uid="{90329E0A-1411-4331-A3B6-5F473044B0D3}"/>
    <cellStyle name="40% - Accent3 2 3 9" xfId="17245" xr:uid="{078B24D3-84A2-4526-8A13-CFB10CDF63C0}"/>
    <cellStyle name="40% - Accent3 2 4" xfId="635" xr:uid="{00000000-0005-0000-0000-00003F050000}"/>
    <cellStyle name="40% - Accent3 2 4 2" xfId="2906" xr:uid="{00000000-0005-0000-0000-000040050000}"/>
    <cellStyle name="40% - Accent3 2 4 2 2" xfId="7128" xr:uid="{00000000-0005-0000-0000-000041050000}"/>
    <cellStyle name="40% - Accent3 2 4 2 2 2" xfId="32460" xr:uid="{193502DA-0CE8-4AFD-85E9-D07A98A6C2FF}"/>
    <cellStyle name="40% - Accent3 2 4 2 2 3" xfId="24019" xr:uid="{5043E9FE-E68A-4685-B137-85DC08EE6501}"/>
    <cellStyle name="40% - Accent3 2 4 2 2 4" xfId="15578" xr:uid="{592181F2-B81E-4050-B15A-7520C7AEC638}"/>
    <cellStyle name="40% - Accent3 2 4 2 3" xfId="28242" xr:uid="{B2411710-12DD-4823-AA23-B3C0676ABF3E}"/>
    <cellStyle name="40% - Accent3 2 4 2 4" xfId="19801" xr:uid="{A985C54C-8FD3-4730-87AB-0BA05454E402}"/>
    <cellStyle name="40% - Accent3 2 4 2 5" xfId="11360" xr:uid="{6D4DECFE-3D48-49CF-ADA0-82906623EADE}"/>
    <cellStyle name="40% - Accent3 2 4 3" xfId="4983" xr:uid="{00000000-0005-0000-0000-000042050000}"/>
    <cellStyle name="40% - Accent3 2 4 3 2" xfId="30315" xr:uid="{AF4A847C-BA61-4BB7-9219-F7FD1237B289}"/>
    <cellStyle name="40% - Accent3 2 4 3 3" xfId="21874" xr:uid="{37024EBF-5A5F-425B-AF06-735208909B41}"/>
    <cellStyle name="40% - Accent3 2 4 3 4" xfId="13433" xr:uid="{34ADF6EB-EC79-47FF-BBC1-7497D34CCC0F}"/>
    <cellStyle name="40% - Accent3 2 4 4" xfId="26097" xr:uid="{BCB14703-E786-4BBE-8835-7277BEFD8F5E}"/>
    <cellStyle name="40% - Accent3 2 4 5" xfId="17656" xr:uid="{AEF49514-A203-4EAB-88B2-AE3EEC09E677}"/>
    <cellStyle name="40% - Accent3 2 4 6" xfId="9215" xr:uid="{212155DB-E6A5-49D6-85E7-A7B16082DD71}"/>
    <cellStyle name="40% - Accent3 2 5" xfId="1088" xr:uid="{00000000-0005-0000-0000-000043050000}"/>
    <cellStyle name="40% - Accent3 2 5 2" xfId="3319" xr:uid="{00000000-0005-0000-0000-000044050000}"/>
    <cellStyle name="40% - Accent3 2 5 2 2" xfId="7541" xr:uid="{00000000-0005-0000-0000-000045050000}"/>
    <cellStyle name="40% - Accent3 2 5 2 2 2" xfId="32873" xr:uid="{BD1E909D-4394-4723-9AE3-4312509D3DAD}"/>
    <cellStyle name="40% - Accent3 2 5 2 2 3" xfId="24432" xr:uid="{B2ED7973-1F5E-4093-B8A8-D5DE58278B66}"/>
    <cellStyle name="40% - Accent3 2 5 2 2 4" xfId="15991" xr:uid="{ADFC4B67-2539-4E6E-9293-DD2E0832C349}"/>
    <cellStyle name="40% - Accent3 2 5 2 3" xfId="28655" xr:uid="{AA451821-D7B0-4E51-8F5A-F3B4AEACDAA8}"/>
    <cellStyle name="40% - Accent3 2 5 2 4" xfId="20214" xr:uid="{D2F6D88E-AFC0-4EB9-AD60-F7DBDE05807E}"/>
    <cellStyle name="40% - Accent3 2 5 2 5" xfId="11773" xr:uid="{8686DA5C-BF76-40BF-9F57-981A864BFB31}"/>
    <cellStyle name="40% - Accent3 2 5 3" xfId="5396" xr:uid="{00000000-0005-0000-0000-000046050000}"/>
    <cellStyle name="40% - Accent3 2 5 3 2" xfId="30728" xr:uid="{41A4ADEE-CB9C-422B-BA4D-26380D080276}"/>
    <cellStyle name="40% - Accent3 2 5 3 3" xfId="22287" xr:uid="{E70BC42D-ABBD-437E-A444-2AD305FC3D0E}"/>
    <cellStyle name="40% - Accent3 2 5 3 4" xfId="13846" xr:uid="{DD787EB8-2AC5-44BC-B073-01DC9FC5EFFB}"/>
    <cellStyle name="40% - Accent3 2 5 4" xfId="26510" xr:uid="{85C35E2A-685C-47C6-9C5B-7D5106B146AF}"/>
    <cellStyle name="40% - Accent3 2 5 5" xfId="18069" xr:uid="{8685213D-7DA0-433D-862A-5FDDF814C63B}"/>
    <cellStyle name="40% - Accent3 2 5 6" xfId="9628" xr:uid="{D4CB1418-E2ED-49AE-9FF6-2C699BC13110}"/>
    <cellStyle name="40% - Accent3 2 6" xfId="1502" xr:uid="{00000000-0005-0000-0000-000047050000}"/>
    <cellStyle name="40% - Accent3 2 6 2" xfId="3732" xr:uid="{00000000-0005-0000-0000-000048050000}"/>
    <cellStyle name="40% - Accent3 2 6 2 2" xfId="7954" xr:uid="{00000000-0005-0000-0000-000049050000}"/>
    <cellStyle name="40% - Accent3 2 6 2 2 2" xfId="33286" xr:uid="{6B227D8F-8D61-4420-9071-AC241B05D0C8}"/>
    <cellStyle name="40% - Accent3 2 6 2 2 3" xfId="24845" xr:uid="{A2AB8E0B-226A-45D6-9BA7-9B5D60BBE2D0}"/>
    <cellStyle name="40% - Accent3 2 6 2 2 4" xfId="16404" xr:uid="{637A0700-ABCC-4A06-B770-74CBFE946677}"/>
    <cellStyle name="40% - Accent3 2 6 2 3" xfId="29068" xr:uid="{331AA431-AB78-43F2-A99D-9F5E744D025F}"/>
    <cellStyle name="40% - Accent3 2 6 2 4" xfId="20627" xr:uid="{B78F69BD-31E8-4285-96C4-1FB868A35F28}"/>
    <cellStyle name="40% - Accent3 2 6 2 5" xfId="12186" xr:uid="{6A9FBEDE-782E-4F3E-9F4B-20F87ACB0C36}"/>
    <cellStyle name="40% - Accent3 2 6 3" xfId="5809" xr:uid="{00000000-0005-0000-0000-00004A050000}"/>
    <cellStyle name="40% - Accent3 2 6 3 2" xfId="31141" xr:uid="{9329A925-3645-4B18-A894-72189BD8186C}"/>
    <cellStyle name="40% - Accent3 2 6 3 3" xfId="22700" xr:uid="{E8C64744-F9B0-44B6-A5FE-D4B15BADDE76}"/>
    <cellStyle name="40% - Accent3 2 6 3 4" xfId="14259" xr:uid="{CAA727D2-3B4E-418C-94B9-A4FE6B958915}"/>
    <cellStyle name="40% - Accent3 2 6 4" xfId="26923" xr:uid="{86B22764-63A3-45CE-9FE6-C655F3EA56EF}"/>
    <cellStyle name="40% - Accent3 2 6 5" xfId="18482" xr:uid="{9A2E5FB3-E3A2-454E-8E26-2BCF72CA7679}"/>
    <cellStyle name="40% - Accent3 2 6 6" xfId="10041" xr:uid="{CD2FC5C9-E564-4463-8605-6CF5A62579B0}"/>
    <cellStyle name="40% - Accent3 2 7" xfId="1916" xr:uid="{00000000-0005-0000-0000-00004B050000}"/>
    <cellStyle name="40% - Accent3 2 7 2" xfId="4145" xr:uid="{00000000-0005-0000-0000-00004C050000}"/>
    <cellStyle name="40% - Accent3 2 7 2 2" xfId="8367" xr:uid="{00000000-0005-0000-0000-00004D050000}"/>
    <cellStyle name="40% - Accent3 2 7 2 2 2" xfId="33699" xr:uid="{DC812E00-E5B5-465D-A0ED-ECF04B442D80}"/>
    <cellStyle name="40% - Accent3 2 7 2 2 3" xfId="25258" xr:uid="{62AA18FA-091A-433D-BB23-83052B7379F3}"/>
    <cellStyle name="40% - Accent3 2 7 2 2 4" xfId="16817" xr:uid="{E971BD2C-B8AC-4CC8-834A-B1A91031FC4D}"/>
    <cellStyle name="40% - Accent3 2 7 2 3" xfId="29481" xr:uid="{D7DB1643-9A61-4B60-B6F4-99AC0B0DF76E}"/>
    <cellStyle name="40% - Accent3 2 7 2 4" xfId="21040" xr:uid="{9841E831-786D-4864-8D1B-7972316A6BED}"/>
    <cellStyle name="40% - Accent3 2 7 2 5" xfId="12599" xr:uid="{4F9DEA1B-A228-4AD5-8F46-FD3B7FA69C43}"/>
    <cellStyle name="40% - Accent3 2 7 3" xfId="6222" xr:uid="{00000000-0005-0000-0000-00004E050000}"/>
    <cellStyle name="40% - Accent3 2 7 3 2" xfId="31554" xr:uid="{D90A0DC0-EF4F-4470-A310-4623D9789082}"/>
    <cellStyle name="40% - Accent3 2 7 3 3" xfId="23113" xr:uid="{20F885AB-D345-4F9E-80C7-4849B3EEF321}"/>
    <cellStyle name="40% - Accent3 2 7 3 4" xfId="14672" xr:uid="{4272A928-506D-4B70-93A9-2FD0EB7D2E1D}"/>
    <cellStyle name="40% - Accent3 2 7 4" xfId="27336" xr:uid="{522B0364-E50B-457B-8A28-2DF4C84EE78A}"/>
    <cellStyle name="40% - Accent3 2 7 5" xfId="18895" xr:uid="{16869C3D-1B78-451C-A33F-06387DCE97B8}"/>
    <cellStyle name="40% - Accent3 2 7 6" xfId="10454" xr:uid="{BF05F327-69F4-4D0A-A8BF-0E503139722A}"/>
    <cellStyle name="40% - Accent3 2 8" xfId="2329" xr:uid="{00000000-0005-0000-0000-00004F050000}"/>
    <cellStyle name="40% - Accent3 2 8 2" xfId="6635" xr:uid="{00000000-0005-0000-0000-000050050000}"/>
    <cellStyle name="40% - Accent3 2 8 2 2" xfId="31967" xr:uid="{15EB50EE-0ACB-4BCE-B389-EBF893FA0034}"/>
    <cellStyle name="40% - Accent3 2 8 2 3" xfId="23526" xr:uid="{4D01BD29-DB48-4121-8C46-4B30A2386974}"/>
    <cellStyle name="40% - Accent3 2 8 2 4" xfId="15085" xr:uid="{3CDD675F-EFA2-435E-848B-28DB13B9524D}"/>
    <cellStyle name="40% - Accent3 2 8 3" xfId="27749" xr:uid="{2FBB913D-DD8E-4F68-A525-46E4902BCC98}"/>
    <cellStyle name="40% - Accent3 2 8 4" xfId="19308" xr:uid="{32DEE0F4-A7FF-416F-A38C-E7B297ADAEC8}"/>
    <cellStyle name="40% - Accent3 2 8 5" xfId="10867" xr:uid="{7EFE8526-A590-450C-ACD7-11E22F6C22C7}"/>
    <cellStyle name="40% - Accent3 2 9" xfId="4569" xr:uid="{00000000-0005-0000-0000-000051050000}"/>
    <cellStyle name="40% - Accent3 2 9 2" xfId="29901" xr:uid="{9E1BF543-0FD4-40E8-9B87-28AD1D264BF4}"/>
    <cellStyle name="40% - Accent3 2 9 3" xfId="21460" xr:uid="{9652F34E-5853-4CF6-89CF-B312C4D3CD24}"/>
    <cellStyle name="40% - Accent3 2 9 4" xfId="13019" xr:uid="{6F01DB5E-59D5-450C-9705-BEB396CAB7EC}"/>
    <cellStyle name="40% - Accent3 3" xfId="70" xr:uid="{00000000-0005-0000-0000-000052050000}"/>
    <cellStyle name="40% - Accent3 3 10" xfId="17246" xr:uid="{4C948955-1E51-44ED-B232-BEE382BB15AF}"/>
    <cellStyle name="40% - Accent3 3 11" xfId="8805" xr:uid="{63BF0AE9-B322-4447-8382-B4F1E4230550}"/>
    <cellStyle name="40% - Accent3 3 2" xfId="71" xr:uid="{00000000-0005-0000-0000-000053050000}"/>
    <cellStyle name="40% - Accent3 3 2 10" xfId="8806" xr:uid="{87626CB3-6D26-448E-B671-C94A6685B374}"/>
    <cellStyle name="40% - Accent3 3 2 2" xfId="640" xr:uid="{00000000-0005-0000-0000-000054050000}"/>
    <cellStyle name="40% - Accent3 3 2 2 2" xfId="2911" xr:uid="{00000000-0005-0000-0000-000055050000}"/>
    <cellStyle name="40% - Accent3 3 2 2 2 2" xfId="7133" xr:uid="{00000000-0005-0000-0000-000056050000}"/>
    <cellStyle name="40% - Accent3 3 2 2 2 2 2" xfId="32465" xr:uid="{A793E573-06B2-4021-ABD9-6A87BB88494E}"/>
    <cellStyle name="40% - Accent3 3 2 2 2 2 3" xfId="24024" xr:uid="{124B94D2-5513-4E34-8C13-36F10FEBFFFE}"/>
    <cellStyle name="40% - Accent3 3 2 2 2 2 4" xfId="15583" xr:uid="{EA702A82-59B3-40FD-A951-40FD0BFDB2F6}"/>
    <cellStyle name="40% - Accent3 3 2 2 2 3" xfId="28247" xr:uid="{C0105099-16E3-43BB-87A7-3B3951170798}"/>
    <cellStyle name="40% - Accent3 3 2 2 2 4" xfId="19806" xr:uid="{AC11EC16-7A24-4244-9B62-E50FBB04239C}"/>
    <cellStyle name="40% - Accent3 3 2 2 2 5" xfId="11365" xr:uid="{D9CB0962-807C-44F8-8B6B-7A60793B229B}"/>
    <cellStyle name="40% - Accent3 3 2 2 3" xfId="4988" xr:uid="{00000000-0005-0000-0000-000057050000}"/>
    <cellStyle name="40% - Accent3 3 2 2 3 2" xfId="30320" xr:uid="{0B8246A3-C6DD-4217-9456-62C47A712144}"/>
    <cellStyle name="40% - Accent3 3 2 2 3 3" xfId="21879" xr:uid="{4A15571C-D019-4556-B14A-78AE6C956388}"/>
    <cellStyle name="40% - Accent3 3 2 2 3 4" xfId="13438" xr:uid="{B2328893-32BF-407E-B450-F348D248A49A}"/>
    <cellStyle name="40% - Accent3 3 2 2 4" xfId="26102" xr:uid="{563FD696-C176-45B3-9964-10F42C6D8CCE}"/>
    <cellStyle name="40% - Accent3 3 2 2 5" xfId="17661" xr:uid="{07775AA2-D231-49C0-BF88-A90303CCD6CA}"/>
    <cellStyle name="40% - Accent3 3 2 2 6" xfId="9220" xr:uid="{3F358863-A05F-4C28-A8FE-D7DC627EFD8B}"/>
    <cellStyle name="40% - Accent3 3 2 3" xfId="1093" xr:uid="{00000000-0005-0000-0000-000058050000}"/>
    <cellStyle name="40% - Accent3 3 2 3 2" xfId="3324" xr:uid="{00000000-0005-0000-0000-000059050000}"/>
    <cellStyle name="40% - Accent3 3 2 3 2 2" xfId="7546" xr:uid="{00000000-0005-0000-0000-00005A050000}"/>
    <cellStyle name="40% - Accent3 3 2 3 2 2 2" xfId="32878" xr:uid="{D1492E1D-0388-4F80-AC5F-91435D3EC33E}"/>
    <cellStyle name="40% - Accent3 3 2 3 2 2 3" xfId="24437" xr:uid="{86877D0E-6E81-4ACC-97A5-529387081FA9}"/>
    <cellStyle name="40% - Accent3 3 2 3 2 2 4" xfId="15996" xr:uid="{B2CB0D33-323F-4E63-86B1-EF6E56D74502}"/>
    <cellStyle name="40% - Accent3 3 2 3 2 3" xfId="28660" xr:uid="{6EB999A8-85B1-4D91-B67E-706C9B3F75CB}"/>
    <cellStyle name="40% - Accent3 3 2 3 2 4" xfId="20219" xr:uid="{0FDF40E8-3D27-41D2-9080-7BF3718CFD6D}"/>
    <cellStyle name="40% - Accent3 3 2 3 2 5" xfId="11778" xr:uid="{A8B32A3A-904F-49A5-809A-0130A2253E92}"/>
    <cellStyle name="40% - Accent3 3 2 3 3" xfId="5401" xr:uid="{00000000-0005-0000-0000-00005B050000}"/>
    <cellStyle name="40% - Accent3 3 2 3 3 2" xfId="30733" xr:uid="{281EE6CC-BFC8-4A6F-B344-5CCDFF28AC03}"/>
    <cellStyle name="40% - Accent3 3 2 3 3 3" xfId="22292" xr:uid="{01A9E657-B30C-4073-8B72-3F9A392D4367}"/>
    <cellStyle name="40% - Accent3 3 2 3 3 4" xfId="13851" xr:uid="{DB692A20-035F-4A12-940F-771DBF08A5F5}"/>
    <cellStyle name="40% - Accent3 3 2 3 4" xfId="26515" xr:uid="{7054E421-17EE-4470-89AC-2053E07316DD}"/>
    <cellStyle name="40% - Accent3 3 2 3 5" xfId="18074" xr:uid="{288DEC9C-E04C-408F-9F0A-7B353109125F}"/>
    <cellStyle name="40% - Accent3 3 2 3 6" xfId="9633" xr:uid="{7B1E9735-F1CD-49FB-B97B-5952827741ED}"/>
    <cellStyle name="40% - Accent3 3 2 4" xfId="1507" xr:uid="{00000000-0005-0000-0000-00005C050000}"/>
    <cellStyle name="40% - Accent3 3 2 4 2" xfId="3737" xr:uid="{00000000-0005-0000-0000-00005D050000}"/>
    <cellStyle name="40% - Accent3 3 2 4 2 2" xfId="7959" xr:uid="{00000000-0005-0000-0000-00005E050000}"/>
    <cellStyle name="40% - Accent3 3 2 4 2 2 2" xfId="33291" xr:uid="{9EC7EF04-A57E-4A72-8DAE-F78547FE30CF}"/>
    <cellStyle name="40% - Accent3 3 2 4 2 2 3" xfId="24850" xr:uid="{0986A165-5977-477A-AAAD-FEA0BFD40AF2}"/>
    <cellStyle name="40% - Accent3 3 2 4 2 2 4" xfId="16409" xr:uid="{FBEDB9E4-849D-496D-849F-CCE4F4653EAC}"/>
    <cellStyle name="40% - Accent3 3 2 4 2 3" xfId="29073" xr:uid="{E278EBD7-0018-440D-BC05-7EF28E8A0C12}"/>
    <cellStyle name="40% - Accent3 3 2 4 2 4" xfId="20632" xr:uid="{ECBC0655-4797-4203-8A41-AA3F45F84296}"/>
    <cellStyle name="40% - Accent3 3 2 4 2 5" xfId="12191" xr:uid="{00464DAC-7A2E-4D51-B9CE-98A2963A5BE5}"/>
    <cellStyle name="40% - Accent3 3 2 4 3" xfId="5814" xr:uid="{00000000-0005-0000-0000-00005F050000}"/>
    <cellStyle name="40% - Accent3 3 2 4 3 2" xfId="31146" xr:uid="{53CBFBC2-858D-4C7F-82DB-5C9B871CEF39}"/>
    <cellStyle name="40% - Accent3 3 2 4 3 3" xfId="22705" xr:uid="{79DF6C25-0648-4337-8D38-B9614F9F55BF}"/>
    <cellStyle name="40% - Accent3 3 2 4 3 4" xfId="14264" xr:uid="{8FC64706-19E7-4716-9F43-278DADCD0EDC}"/>
    <cellStyle name="40% - Accent3 3 2 4 4" xfId="26928" xr:uid="{5472FC5B-ED5B-4CD8-9BEA-773055EEA653}"/>
    <cellStyle name="40% - Accent3 3 2 4 5" xfId="18487" xr:uid="{E3E68F47-8AA1-4496-93FA-16C337BEE02F}"/>
    <cellStyle name="40% - Accent3 3 2 4 6" xfId="10046" xr:uid="{09B2BAC3-DB10-4350-A566-981724BDD613}"/>
    <cellStyle name="40% - Accent3 3 2 5" xfId="1921" xr:uid="{00000000-0005-0000-0000-000060050000}"/>
    <cellStyle name="40% - Accent3 3 2 5 2" xfId="4150" xr:uid="{00000000-0005-0000-0000-000061050000}"/>
    <cellStyle name="40% - Accent3 3 2 5 2 2" xfId="8372" xr:uid="{00000000-0005-0000-0000-000062050000}"/>
    <cellStyle name="40% - Accent3 3 2 5 2 2 2" xfId="33704" xr:uid="{E21A6C4E-881E-4DFC-B896-29FB1C58975E}"/>
    <cellStyle name="40% - Accent3 3 2 5 2 2 3" xfId="25263" xr:uid="{A70560C5-478B-4041-A630-876665920216}"/>
    <cellStyle name="40% - Accent3 3 2 5 2 2 4" xfId="16822" xr:uid="{892FFA7A-0F00-4474-AA22-15C99A7B3DE2}"/>
    <cellStyle name="40% - Accent3 3 2 5 2 3" xfId="29486" xr:uid="{7E3EDF79-45BE-4255-9A37-268376752096}"/>
    <cellStyle name="40% - Accent3 3 2 5 2 4" xfId="21045" xr:uid="{0DBA4F35-5C3C-4835-AC53-F81ABFF683F8}"/>
    <cellStyle name="40% - Accent3 3 2 5 2 5" xfId="12604" xr:uid="{8ABC4B8F-9958-41B5-A475-E22D4D3D8451}"/>
    <cellStyle name="40% - Accent3 3 2 5 3" xfId="6227" xr:uid="{00000000-0005-0000-0000-000063050000}"/>
    <cellStyle name="40% - Accent3 3 2 5 3 2" xfId="31559" xr:uid="{56964EAF-C9F0-4FEB-A5C8-813F47A7A535}"/>
    <cellStyle name="40% - Accent3 3 2 5 3 3" xfId="23118" xr:uid="{C81E2A43-4074-4AFB-A4B6-EA6FF7216C37}"/>
    <cellStyle name="40% - Accent3 3 2 5 3 4" xfId="14677" xr:uid="{6EEF1237-6651-4171-84AA-387156D0AC86}"/>
    <cellStyle name="40% - Accent3 3 2 5 4" xfId="27341" xr:uid="{FEF3E65E-0CB0-41AA-9986-613C5ECE74CB}"/>
    <cellStyle name="40% - Accent3 3 2 5 5" xfId="18900" xr:uid="{5A4991DB-0E39-4B5A-8C3A-9DC5C6014121}"/>
    <cellStyle name="40% - Accent3 3 2 5 6" xfId="10459" xr:uid="{7ED81CA8-BE49-4D99-9A77-899AB6E9CB0C}"/>
    <cellStyle name="40% - Accent3 3 2 6" xfId="2334" xr:uid="{00000000-0005-0000-0000-000064050000}"/>
    <cellStyle name="40% - Accent3 3 2 6 2" xfId="6640" xr:uid="{00000000-0005-0000-0000-000065050000}"/>
    <cellStyle name="40% - Accent3 3 2 6 2 2" xfId="31972" xr:uid="{7ED21734-84BF-4C66-BD78-A1A442CBFA41}"/>
    <cellStyle name="40% - Accent3 3 2 6 2 3" xfId="23531" xr:uid="{6315B268-F7BE-4844-BF37-53724B4BF1F3}"/>
    <cellStyle name="40% - Accent3 3 2 6 2 4" xfId="15090" xr:uid="{901E4F44-B0BA-4188-A801-5173D3B82DD4}"/>
    <cellStyle name="40% - Accent3 3 2 6 3" xfId="27754" xr:uid="{54E279B8-732A-40F4-950F-F8F78B7A1AD6}"/>
    <cellStyle name="40% - Accent3 3 2 6 4" xfId="19313" xr:uid="{C9E117F1-724B-4818-9181-5BC060DC7614}"/>
    <cellStyle name="40% - Accent3 3 2 6 5" xfId="10872" xr:uid="{D21B7E67-3AFE-4C03-B398-6478454F1C5F}"/>
    <cellStyle name="40% - Accent3 3 2 7" xfId="4574" xr:uid="{00000000-0005-0000-0000-000066050000}"/>
    <cellStyle name="40% - Accent3 3 2 7 2" xfId="29906" xr:uid="{EC9E62BC-A3F0-460B-9915-8F4E8536F45E}"/>
    <cellStyle name="40% - Accent3 3 2 7 3" xfId="21465" xr:uid="{2D6CE6D3-D19A-4C29-9464-F8F6BA29C470}"/>
    <cellStyle name="40% - Accent3 3 2 7 4" xfId="13024" xr:uid="{3D304A5B-389C-43A0-AE5E-FA3BB9B5EE23}"/>
    <cellStyle name="40% - Accent3 3 2 8" xfId="25688" xr:uid="{648076F4-27A1-4864-AFFD-9551E213DD13}"/>
    <cellStyle name="40% - Accent3 3 2 9" xfId="17247" xr:uid="{4943AE3F-0770-42C8-B705-C59CE7114D38}"/>
    <cellStyle name="40% - Accent3 3 3" xfId="639" xr:uid="{00000000-0005-0000-0000-000067050000}"/>
    <cellStyle name="40% - Accent3 3 3 2" xfId="2910" xr:uid="{00000000-0005-0000-0000-000068050000}"/>
    <cellStyle name="40% - Accent3 3 3 2 2" xfId="7132" xr:uid="{00000000-0005-0000-0000-000069050000}"/>
    <cellStyle name="40% - Accent3 3 3 2 2 2" xfId="32464" xr:uid="{119A0880-D29A-4A92-ACE8-053B666DD647}"/>
    <cellStyle name="40% - Accent3 3 3 2 2 3" xfId="24023" xr:uid="{F5D17A93-3E3A-404A-9518-E4ABC1EA6711}"/>
    <cellStyle name="40% - Accent3 3 3 2 2 4" xfId="15582" xr:uid="{61235C52-E2A1-4C86-BC40-1A0220C2119E}"/>
    <cellStyle name="40% - Accent3 3 3 2 3" xfId="28246" xr:uid="{491C8308-4AD0-437A-BE66-2EC6F8BDFCE3}"/>
    <cellStyle name="40% - Accent3 3 3 2 4" xfId="19805" xr:uid="{63A0DBD9-DEA8-4FB5-ABF3-81060191DF61}"/>
    <cellStyle name="40% - Accent3 3 3 2 5" xfId="11364" xr:uid="{DFFAC085-30FC-403C-B37C-7580AA3531FD}"/>
    <cellStyle name="40% - Accent3 3 3 3" xfId="4987" xr:uid="{00000000-0005-0000-0000-00006A050000}"/>
    <cellStyle name="40% - Accent3 3 3 3 2" xfId="30319" xr:uid="{7E87CBA7-98A5-44CD-B21B-A1A7E75C4A07}"/>
    <cellStyle name="40% - Accent3 3 3 3 3" xfId="21878" xr:uid="{9112B76C-AEFE-4B8C-9A16-5B060D222E19}"/>
    <cellStyle name="40% - Accent3 3 3 3 4" xfId="13437" xr:uid="{D59D5CA9-741B-4E2E-8BF8-79B4F002BA07}"/>
    <cellStyle name="40% - Accent3 3 3 4" xfId="26101" xr:uid="{66DD53A4-B0AA-4174-A9A8-9D846F5AF414}"/>
    <cellStyle name="40% - Accent3 3 3 5" xfId="17660" xr:uid="{91FB779A-F757-4932-9A9D-9F8F351BCA8A}"/>
    <cellStyle name="40% - Accent3 3 3 6" xfId="9219" xr:uid="{E69E578F-67B2-4738-B94E-42630B28820C}"/>
    <cellStyle name="40% - Accent3 3 4" xfId="1092" xr:uid="{00000000-0005-0000-0000-00006B050000}"/>
    <cellStyle name="40% - Accent3 3 4 2" xfId="3323" xr:uid="{00000000-0005-0000-0000-00006C050000}"/>
    <cellStyle name="40% - Accent3 3 4 2 2" xfId="7545" xr:uid="{00000000-0005-0000-0000-00006D050000}"/>
    <cellStyle name="40% - Accent3 3 4 2 2 2" xfId="32877" xr:uid="{BC36D92B-ABF5-49A9-97D9-769D8F13857C}"/>
    <cellStyle name="40% - Accent3 3 4 2 2 3" xfId="24436" xr:uid="{3121DFFA-9514-4E7C-A42D-E6028F68AC55}"/>
    <cellStyle name="40% - Accent3 3 4 2 2 4" xfId="15995" xr:uid="{C302A4E3-A71E-40F4-B9EE-0F4D8C9EE7A4}"/>
    <cellStyle name="40% - Accent3 3 4 2 3" xfId="28659" xr:uid="{7E5A0E38-A3D5-446E-B3C9-ADFA66EC5F37}"/>
    <cellStyle name="40% - Accent3 3 4 2 4" xfId="20218" xr:uid="{B8AC78AA-8F84-427B-9407-6F4D71958BFC}"/>
    <cellStyle name="40% - Accent3 3 4 2 5" xfId="11777" xr:uid="{8C478652-C2AE-487E-B264-7142D7749B41}"/>
    <cellStyle name="40% - Accent3 3 4 3" xfId="5400" xr:uid="{00000000-0005-0000-0000-00006E050000}"/>
    <cellStyle name="40% - Accent3 3 4 3 2" xfId="30732" xr:uid="{F9E5BB25-2778-4B90-AB8C-2DAB6BC6B82C}"/>
    <cellStyle name="40% - Accent3 3 4 3 3" xfId="22291" xr:uid="{47080BFE-4F4C-404F-815A-351CD1D4BC98}"/>
    <cellStyle name="40% - Accent3 3 4 3 4" xfId="13850" xr:uid="{D6211096-6293-4BBC-994D-0F430E519CE8}"/>
    <cellStyle name="40% - Accent3 3 4 4" xfId="26514" xr:uid="{D3DD69AE-7C2D-4B6A-B08F-68F227845231}"/>
    <cellStyle name="40% - Accent3 3 4 5" xfId="18073" xr:uid="{64D01841-6D27-4C4E-B43C-8CEE85222C61}"/>
    <cellStyle name="40% - Accent3 3 4 6" xfId="9632" xr:uid="{FF736A31-EBB0-4F3F-A551-C133889481FF}"/>
    <cellStyle name="40% - Accent3 3 5" xfId="1506" xr:uid="{00000000-0005-0000-0000-00006F050000}"/>
    <cellStyle name="40% - Accent3 3 5 2" xfId="3736" xr:uid="{00000000-0005-0000-0000-000070050000}"/>
    <cellStyle name="40% - Accent3 3 5 2 2" xfId="7958" xr:uid="{00000000-0005-0000-0000-000071050000}"/>
    <cellStyle name="40% - Accent3 3 5 2 2 2" xfId="33290" xr:uid="{DD4E2351-6E72-4263-B573-8C3A35358C21}"/>
    <cellStyle name="40% - Accent3 3 5 2 2 3" xfId="24849" xr:uid="{6F8277ED-ED3B-4913-981E-776E474D37C8}"/>
    <cellStyle name="40% - Accent3 3 5 2 2 4" xfId="16408" xr:uid="{71C598AB-F154-46FC-8C70-A672F9EBA1E8}"/>
    <cellStyle name="40% - Accent3 3 5 2 3" xfId="29072" xr:uid="{14460633-8B8D-4EA0-895F-928A69721A88}"/>
    <cellStyle name="40% - Accent3 3 5 2 4" xfId="20631" xr:uid="{30C987ED-8737-455A-B12A-1D0233C5E571}"/>
    <cellStyle name="40% - Accent3 3 5 2 5" xfId="12190" xr:uid="{8136785E-D31B-4EC5-A1E4-8BC92507E068}"/>
    <cellStyle name="40% - Accent3 3 5 3" xfId="5813" xr:uid="{00000000-0005-0000-0000-000072050000}"/>
    <cellStyle name="40% - Accent3 3 5 3 2" xfId="31145" xr:uid="{EA81ED3F-D08C-456B-ADB2-B8DEC5B61A15}"/>
    <cellStyle name="40% - Accent3 3 5 3 3" xfId="22704" xr:uid="{C8EE95EA-AD8D-49A1-A111-777EDA4485AF}"/>
    <cellStyle name="40% - Accent3 3 5 3 4" xfId="14263" xr:uid="{D35E5791-B868-4CC2-8A4F-C4C766205A17}"/>
    <cellStyle name="40% - Accent3 3 5 4" xfId="26927" xr:uid="{7A6C5F71-2332-4539-923B-ECB7CB6F1D7A}"/>
    <cellStyle name="40% - Accent3 3 5 5" xfId="18486" xr:uid="{1C3D1BA6-49C4-45B9-AF43-D6341B13767B}"/>
    <cellStyle name="40% - Accent3 3 5 6" xfId="10045" xr:uid="{EC08AA14-CD82-40A4-9EAF-BD08BE3298C9}"/>
    <cellStyle name="40% - Accent3 3 6" xfId="1920" xr:uid="{00000000-0005-0000-0000-000073050000}"/>
    <cellStyle name="40% - Accent3 3 6 2" xfId="4149" xr:uid="{00000000-0005-0000-0000-000074050000}"/>
    <cellStyle name="40% - Accent3 3 6 2 2" xfId="8371" xr:uid="{00000000-0005-0000-0000-000075050000}"/>
    <cellStyle name="40% - Accent3 3 6 2 2 2" xfId="33703" xr:uid="{8EC7745F-0B62-4F3A-BBC1-4CAD83D3FD1D}"/>
    <cellStyle name="40% - Accent3 3 6 2 2 3" xfId="25262" xr:uid="{9418325C-AAB1-41C8-AD43-89CC2A72E5CF}"/>
    <cellStyle name="40% - Accent3 3 6 2 2 4" xfId="16821" xr:uid="{460C7908-4671-4385-9A4D-BD576DF387B3}"/>
    <cellStyle name="40% - Accent3 3 6 2 3" xfId="29485" xr:uid="{4FBB996B-F8F6-4216-8B44-D9FC66153A6F}"/>
    <cellStyle name="40% - Accent3 3 6 2 4" xfId="21044" xr:uid="{9C536C13-5F1C-43DA-9DFE-DD3C1C979CAB}"/>
    <cellStyle name="40% - Accent3 3 6 2 5" xfId="12603" xr:uid="{419520C5-E08C-407F-9115-07C292FC8817}"/>
    <cellStyle name="40% - Accent3 3 6 3" xfId="6226" xr:uid="{00000000-0005-0000-0000-000076050000}"/>
    <cellStyle name="40% - Accent3 3 6 3 2" xfId="31558" xr:uid="{844321C5-4210-4EE8-ADB4-FD0674493264}"/>
    <cellStyle name="40% - Accent3 3 6 3 3" xfId="23117" xr:uid="{835C5286-733E-4883-BEC3-8A62C348005B}"/>
    <cellStyle name="40% - Accent3 3 6 3 4" xfId="14676" xr:uid="{23F4C889-204E-408B-AF09-B7AB94FA8C14}"/>
    <cellStyle name="40% - Accent3 3 6 4" xfId="27340" xr:uid="{729CBE29-94B5-4718-9C94-96756859FBDD}"/>
    <cellStyle name="40% - Accent3 3 6 5" xfId="18899" xr:uid="{ACA0C815-5A20-4E95-BA15-ADE37A4801A1}"/>
    <cellStyle name="40% - Accent3 3 6 6" xfId="10458" xr:uid="{648DFF28-6A45-419C-BEE9-6B75A46117FD}"/>
    <cellStyle name="40% - Accent3 3 7" xfId="2333" xr:uid="{00000000-0005-0000-0000-000077050000}"/>
    <cellStyle name="40% - Accent3 3 7 2" xfId="6639" xr:uid="{00000000-0005-0000-0000-000078050000}"/>
    <cellStyle name="40% - Accent3 3 7 2 2" xfId="31971" xr:uid="{81B97626-FA31-4037-B2CE-526B6C439550}"/>
    <cellStyle name="40% - Accent3 3 7 2 3" xfId="23530" xr:uid="{93F97D29-8986-49DE-BE3E-C60F2A5CECD0}"/>
    <cellStyle name="40% - Accent3 3 7 2 4" xfId="15089" xr:uid="{41D8B1A9-3725-48CF-A4E9-80E6EE8FF705}"/>
    <cellStyle name="40% - Accent3 3 7 3" xfId="27753" xr:uid="{472011A4-469D-49D6-8D57-6505DAE678D7}"/>
    <cellStyle name="40% - Accent3 3 7 4" xfId="19312" xr:uid="{751BF920-1D9C-4B84-9BDA-3765E41C7B2F}"/>
    <cellStyle name="40% - Accent3 3 7 5" xfId="10871" xr:uid="{50EA0FE7-E25E-418A-BF0A-2FD936538386}"/>
    <cellStyle name="40% - Accent3 3 8" xfId="4573" xr:uid="{00000000-0005-0000-0000-000079050000}"/>
    <cellStyle name="40% - Accent3 3 8 2" xfId="29905" xr:uid="{FF2345FC-FF3E-46FC-A3AF-762DC36C9E67}"/>
    <cellStyle name="40% - Accent3 3 8 3" xfId="21464" xr:uid="{270DE2F1-BB3A-40A5-9AE0-E82EF8CE24B1}"/>
    <cellStyle name="40% - Accent3 3 8 4" xfId="13023" xr:uid="{D52E2DCD-45A5-4FF2-84C3-41326F814727}"/>
    <cellStyle name="40% - Accent3 3 9" xfId="25687" xr:uid="{E4288226-F68F-4D8E-9794-5ED96E54932F}"/>
    <cellStyle name="40% - Accent3 4" xfId="72" xr:uid="{00000000-0005-0000-0000-00007A050000}"/>
    <cellStyle name="40% - Accent3 4 10" xfId="8807" xr:uid="{84208713-4634-4394-94C5-5BED4DC01E86}"/>
    <cellStyle name="40% - Accent3 4 2" xfId="641" xr:uid="{00000000-0005-0000-0000-00007B050000}"/>
    <cellStyle name="40% - Accent3 4 2 2" xfId="2912" xr:uid="{00000000-0005-0000-0000-00007C050000}"/>
    <cellStyle name="40% - Accent3 4 2 2 2" xfId="7134" xr:uid="{00000000-0005-0000-0000-00007D050000}"/>
    <cellStyle name="40% - Accent3 4 2 2 2 2" xfId="32466" xr:uid="{D022B0CC-742C-4CE4-986F-9566508090BF}"/>
    <cellStyle name="40% - Accent3 4 2 2 2 3" xfId="24025" xr:uid="{843DD1E3-2440-4197-9254-413785D2B6E6}"/>
    <cellStyle name="40% - Accent3 4 2 2 2 4" xfId="15584" xr:uid="{74D30FF9-F1B5-419F-B77D-A6C7282F375E}"/>
    <cellStyle name="40% - Accent3 4 2 2 3" xfId="28248" xr:uid="{D2D2F139-3B67-4386-965A-5F029F6A1F14}"/>
    <cellStyle name="40% - Accent3 4 2 2 4" xfId="19807" xr:uid="{1B18CCCB-25E7-4A16-A153-79451AAC540F}"/>
    <cellStyle name="40% - Accent3 4 2 2 5" xfId="11366" xr:uid="{9FA2D50F-DFA3-415C-842D-AE1B0F604292}"/>
    <cellStyle name="40% - Accent3 4 2 3" xfId="4989" xr:uid="{00000000-0005-0000-0000-00007E050000}"/>
    <cellStyle name="40% - Accent3 4 2 3 2" xfId="30321" xr:uid="{D233CE28-17DD-47B1-9C1B-17D97B165B05}"/>
    <cellStyle name="40% - Accent3 4 2 3 3" xfId="21880" xr:uid="{A24ECDDA-2917-40DC-A0B3-2041E5CCD39B}"/>
    <cellStyle name="40% - Accent3 4 2 3 4" xfId="13439" xr:uid="{43D19B9F-3410-4EEF-99B3-72FDD03E4A29}"/>
    <cellStyle name="40% - Accent3 4 2 4" xfId="26103" xr:uid="{E1ED786A-0402-4A03-A794-5F553D152F60}"/>
    <cellStyle name="40% - Accent3 4 2 5" xfId="17662" xr:uid="{72E985C9-F3A5-4965-BF63-A802BEFB2C35}"/>
    <cellStyle name="40% - Accent3 4 2 6" xfId="9221" xr:uid="{FBB43057-E680-43C8-AFBD-AAF2A7DAF74E}"/>
    <cellStyle name="40% - Accent3 4 3" xfId="1094" xr:uid="{00000000-0005-0000-0000-00007F050000}"/>
    <cellStyle name="40% - Accent3 4 3 2" xfId="3325" xr:uid="{00000000-0005-0000-0000-000080050000}"/>
    <cellStyle name="40% - Accent3 4 3 2 2" xfId="7547" xr:uid="{00000000-0005-0000-0000-000081050000}"/>
    <cellStyle name="40% - Accent3 4 3 2 2 2" xfId="32879" xr:uid="{82207CF2-3068-4758-BE78-2A1804D13F9B}"/>
    <cellStyle name="40% - Accent3 4 3 2 2 3" xfId="24438" xr:uid="{6D1483F0-83EE-42B2-8A04-6F1A5A750FA8}"/>
    <cellStyle name="40% - Accent3 4 3 2 2 4" xfId="15997" xr:uid="{D9834B41-3679-4234-A86A-D0A23B5C01E2}"/>
    <cellStyle name="40% - Accent3 4 3 2 3" xfId="28661" xr:uid="{3CEB75C2-3102-4172-B9A4-824A2CEB31AA}"/>
    <cellStyle name="40% - Accent3 4 3 2 4" xfId="20220" xr:uid="{19901664-36A9-462D-86AA-9C0B449D4CFD}"/>
    <cellStyle name="40% - Accent3 4 3 2 5" xfId="11779" xr:uid="{2E3B0F5B-0D4D-4F53-A252-D272B881C47B}"/>
    <cellStyle name="40% - Accent3 4 3 3" xfId="5402" xr:uid="{00000000-0005-0000-0000-000082050000}"/>
    <cellStyle name="40% - Accent3 4 3 3 2" xfId="30734" xr:uid="{5100F898-E2D1-44D2-9638-9A4DADA8AF70}"/>
    <cellStyle name="40% - Accent3 4 3 3 3" xfId="22293" xr:uid="{9E065E8E-68B4-4796-BC6B-D6512FFCA6CA}"/>
    <cellStyle name="40% - Accent3 4 3 3 4" xfId="13852" xr:uid="{2DB3C57F-7FFC-4D06-AEE3-8FD921CC564A}"/>
    <cellStyle name="40% - Accent3 4 3 4" xfId="26516" xr:uid="{B27A8338-8825-46D0-8CFD-2F06C5206E93}"/>
    <cellStyle name="40% - Accent3 4 3 5" xfId="18075" xr:uid="{FABD94AA-0201-4969-8F65-BA989BF763B5}"/>
    <cellStyle name="40% - Accent3 4 3 6" xfId="9634" xr:uid="{736868F2-00B7-4E6E-8F71-00A701FD6692}"/>
    <cellStyle name="40% - Accent3 4 4" xfId="1508" xr:uid="{00000000-0005-0000-0000-000083050000}"/>
    <cellStyle name="40% - Accent3 4 4 2" xfId="3738" xr:uid="{00000000-0005-0000-0000-000084050000}"/>
    <cellStyle name="40% - Accent3 4 4 2 2" xfId="7960" xr:uid="{00000000-0005-0000-0000-000085050000}"/>
    <cellStyle name="40% - Accent3 4 4 2 2 2" xfId="33292" xr:uid="{FA08918A-91BF-41D3-A07E-1F41428088C8}"/>
    <cellStyle name="40% - Accent3 4 4 2 2 3" xfId="24851" xr:uid="{2BA4D72D-E945-4830-8C88-D35B70552996}"/>
    <cellStyle name="40% - Accent3 4 4 2 2 4" xfId="16410" xr:uid="{A098502C-742A-40D3-A5F3-D4CF74FE3D76}"/>
    <cellStyle name="40% - Accent3 4 4 2 3" xfId="29074" xr:uid="{DF5EE218-0912-4C8E-9EBF-F910FB78B1A6}"/>
    <cellStyle name="40% - Accent3 4 4 2 4" xfId="20633" xr:uid="{2A271D3E-E960-4D3F-A2FC-DD8BEB93E104}"/>
    <cellStyle name="40% - Accent3 4 4 2 5" xfId="12192" xr:uid="{FECDDACA-A976-4286-BE17-31CF16B943CA}"/>
    <cellStyle name="40% - Accent3 4 4 3" xfId="5815" xr:uid="{00000000-0005-0000-0000-000086050000}"/>
    <cellStyle name="40% - Accent3 4 4 3 2" xfId="31147" xr:uid="{E560A6E1-D8EE-4501-B627-F7B621FD2118}"/>
    <cellStyle name="40% - Accent3 4 4 3 3" xfId="22706" xr:uid="{C0608B07-5DED-4BDC-958E-5F70B86A55F8}"/>
    <cellStyle name="40% - Accent3 4 4 3 4" xfId="14265" xr:uid="{F3755493-A474-4A88-A10A-D8D6E0C805BB}"/>
    <cellStyle name="40% - Accent3 4 4 4" xfId="26929" xr:uid="{55934131-F369-4D24-9C1B-5DE27EA9D8BF}"/>
    <cellStyle name="40% - Accent3 4 4 5" xfId="18488" xr:uid="{9708F392-D682-43F1-AB67-C636B1F5D2A2}"/>
    <cellStyle name="40% - Accent3 4 4 6" xfId="10047" xr:uid="{CAEB82FE-2D07-4B71-BE6B-E9E9E29CA093}"/>
    <cellStyle name="40% - Accent3 4 5" xfId="1922" xr:uid="{00000000-0005-0000-0000-000087050000}"/>
    <cellStyle name="40% - Accent3 4 5 2" xfId="4151" xr:uid="{00000000-0005-0000-0000-000088050000}"/>
    <cellStyle name="40% - Accent3 4 5 2 2" xfId="8373" xr:uid="{00000000-0005-0000-0000-000089050000}"/>
    <cellStyle name="40% - Accent3 4 5 2 2 2" xfId="33705" xr:uid="{B2ABBD04-0FEA-471E-BA0B-E91A45C20E76}"/>
    <cellStyle name="40% - Accent3 4 5 2 2 3" xfId="25264" xr:uid="{25B536D9-B601-4B35-A4E1-9E08A17A0CF3}"/>
    <cellStyle name="40% - Accent3 4 5 2 2 4" xfId="16823" xr:uid="{9BE4AD18-9842-4032-916B-64EB55357ED2}"/>
    <cellStyle name="40% - Accent3 4 5 2 3" xfId="29487" xr:uid="{601BAF45-A887-4FF0-8403-4B25765BAB4B}"/>
    <cellStyle name="40% - Accent3 4 5 2 4" xfId="21046" xr:uid="{8A3FC3BC-FB94-410F-80B4-44C0340165C6}"/>
    <cellStyle name="40% - Accent3 4 5 2 5" xfId="12605" xr:uid="{52F1DC9B-2524-44EB-9787-97BCA55D3CB8}"/>
    <cellStyle name="40% - Accent3 4 5 3" xfId="6228" xr:uid="{00000000-0005-0000-0000-00008A050000}"/>
    <cellStyle name="40% - Accent3 4 5 3 2" xfId="31560" xr:uid="{FADAFD6D-E379-4C6E-BDF8-9C21E452FAB7}"/>
    <cellStyle name="40% - Accent3 4 5 3 3" xfId="23119" xr:uid="{59B3A4A8-1B97-486F-B87A-1D1A4A3C0F82}"/>
    <cellStyle name="40% - Accent3 4 5 3 4" xfId="14678" xr:uid="{916C7439-A437-4F43-85F8-978F8CD4BA54}"/>
    <cellStyle name="40% - Accent3 4 5 4" xfId="27342" xr:uid="{90F5AB61-5702-45B2-A1A6-1C0F14696282}"/>
    <cellStyle name="40% - Accent3 4 5 5" xfId="18901" xr:uid="{69233ECC-CD09-4BCA-AC28-8E492B26807D}"/>
    <cellStyle name="40% - Accent3 4 5 6" xfId="10460" xr:uid="{EEA5F171-D29D-4CB8-A4E5-3FE21B1D34AA}"/>
    <cellStyle name="40% - Accent3 4 6" xfId="2335" xr:uid="{00000000-0005-0000-0000-00008B050000}"/>
    <cellStyle name="40% - Accent3 4 6 2" xfId="6641" xr:uid="{00000000-0005-0000-0000-00008C050000}"/>
    <cellStyle name="40% - Accent3 4 6 2 2" xfId="31973" xr:uid="{DDAF2BBE-FA70-4D2C-ADDA-913E5CC86011}"/>
    <cellStyle name="40% - Accent3 4 6 2 3" xfId="23532" xr:uid="{AB931474-3A10-4676-A4AE-D9D980B71944}"/>
    <cellStyle name="40% - Accent3 4 6 2 4" xfId="15091" xr:uid="{45B9D7CF-0D61-49A5-A5B2-12BFD66CBE32}"/>
    <cellStyle name="40% - Accent3 4 6 3" xfId="27755" xr:uid="{4ADA7341-BD0B-4D2B-942E-FBE85BE7B540}"/>
    <cellStyle name="40% - Accent3 4 6 4" xfId="19314" xr:uid="{84B9B279-6EF5-4B29-A24D-0667FEE6808D}"/>
    <cellStyle name="40% - Accent3 4 6 5" xfId="10873" xr:uid="{554F48B0-A55E-4CA0-879B-0AD3E4BC297D}"/>
    <cellStyle name="40% - Accent3 4 7" xfId="4575" xr:uid="{00000000-0005-0000-0000-00008D050000}"/>
    <cellStyle name="40% - Accent3 4 7 2" xfId="29907" xr:uid="{FA88E684-44E5-443B-B741-E7C64A2E0160}"/>
    <cellStyle name="40% - Accent3 4 7 3" xfId="21466" xr:uid="{50F99E32-33FD-49A4-A756-99A1FFA9938E}"/>
    <cellStyle name="40% - Accent3 4 7 4" xfId="13025" xr:uid="{D326B77F-148B-432B-9754-D6DC7ECBB699}"/>
    <cellStyle name="40% - Accent3 4 8" xfId="25689" xr:uid="{56FF7B70-CD2E-4724-A91F-E681747D0C0E}"/>
    <cellStyle name="40% - Accent3 4 9" xfId="17248" xr:uid="{01DC4871-D7DF-4478-85C3-FF6BC22CC69D}"/>
    <cellStyle name="40% - Accent3 5" xfId="634" xr:uid="{00000000-0005-0000-0000-00008E050000}"/>
    <cellStyle name="40% - Accent3 5 2" xfId="2905" xr:uid="{00000000-0005-0000-0000-00008F050000}"/>
    <cellStyle name="40% - Accent3 5 2 2" xfId="7127" xr:uid="{00000000-0005-0000-0000-000090050000}"/>
    <cellStyle name="40% - Accent3 5 2 2 2" xfId="32459" xr:uid="{8B293800-9521-4D4F-88F5-70A6B485C8C3}"/>
    <cellStyle name="40% - Accent3 5 2 2 3" xfId="24018" xr:uid="{7EB992F4-2CC6-46A7-84AA-02A3D7CB3C91}"/>
    <cellStyle name="40% - Accent3 5 2 2 4" xfId="15577" xr:uid="{0094EBA6-8345-4BCA-BCD6-E6A4194AD9E3}"/>
    <cellStyle name="40% - Accent3 5 2 3" xfId="28241" xr:uid="{B0089DC9-C25B-4925-93A9-157F0E2A411B}"/>
    <cellStyle name="40% - Accent3 5 2 4" xfId="19800" xr:uid="{01D76380-3564-469D-8254-07B150A8C12B}"/>
    <cellStyle name="40% - Accent3 5 2 5" xfId="11359" xr:uid="{2A06D85A-3139-4B81-AA94-FFC3F2FD7F0F}"/>
    <cellStyle name="40% - Accent3 5 3" xfId="4982" xr:uid="{00000000-0005-0000-0000-000091050000}"/>
    <cellStyle name="40% - Accent3 5 3 2" xfId="30314" xr:uid="{916D7FAF-A0EC-4EBF-A862-2C0986483FA4}"/>
    <cellStyle name="40% - Accent3 5 3 3" xfId="21873" xr:uid="{1BC0546D-E0D0-4390-8E98-7A684CA9654A}"/>
    <cellStyle name="40% - Accent3 5 3 4" xfId="13432" xr:uid="{9DAC2B30-1D5D-4129-99AB-E47CC086EAED}"/>
    <cellStyle name="40% - Accent3 5 4" xfId="26096" xr:uid="{89EC72DD-A2B2-4F25-8C28-B16EEEE0F048}"/>
    <cellStyle name="40% - Accent3 5 5" xfId="17655" xr:uid="{9E1D3D4C-DDE0-44CB-B455-33BBA7F93C61}"/>
    <cellStyle name="40% - Accent3 5 6" xfId="9214" xr:uid="{2D653173-4A7F-4A7A-AC1C-4186779B2108}"/>
    <cellStyle name="40% - Accent3 6" xfId="1087" xr:uid="{00000000-0005-0000-0000-000092050000}"/>
    <cellStyle name="40% - Accent3 6 2" xfId="3318" xr:uid="{00000000-0005-0000-0000-000093050000}"/>
    <cellStyle name="40% - Accent3 6 2 2" xfId="7540" xr:uid="{00000000-0005-0000-0000-000094050000}"/>
    <cellStyle name="40% - Accent3 6 2 2 2" xfId="32872" xr:uid="{C1A96083-5550-4075-907C-49CFC93E0026}"/>
    <cellStyle name="40% - Accent3 6 2 2 3" xfId="24431" xr:uid="{955FAC0D-7D4A-42CB-9A72-847E12FF327D}"/>
    <cellStyle name="40% - Accent3 6 2 2 4" xfId="15990" xr:uid="{A4E81D69-9A09-448C-A513-4134573BD86B}"/>
    <cellStyle name="40% - Accent3 6 2 3" xfId="28654" xr:uid="{30E93699-224D-477C-BB4B-CCD77B0326EF}"/>
    <cellStyle name="40% - Accent3 6 2 4" xfId="20213" xr:uid="{9DF32FD2-97E8-4577-921D-F5025B9AC963}"/>
    <cellStyle name="40% - Accent3 6 2 5" xfId="11772" xr:uid="{E85E74F2-6814-4E01-BA9C-BBA67B92073A}"/>
    <cellStyle name="40% - Accent3 6 3" xfId="5395" xr:uid="{00000000-0005-0000-0000-000095050000}"/>
    <cellStyle name="40% - Accent3 6 3 2" xfId="30727" xr:uid="{D035FD19-A58C-4FC4-B39B-C0A0A4585E5D}"/>
    <cellStyle name="40% - Accent3 6 3 3" xfId="22286" xr:uid="{438CA152-4820-46E0-AECC-1FAB4B042280}"/>
    <cellStyle name="40% - Accent3 6 3 4" xfId="13845" xr:uid="{8AA65C7D-EFFC-440B-928E-9B265B0E05A6}"/>
    <cellStyle name="40% - Accent3 6 4" xfId="26509" xr:uid="{DB74924F-12C1-4D12-9D8D-035F5338ACC2}"/>
    <cellStyle name="40% - Accent3 6 5" xfId="18068" xr:uid="{C9993B53-DB69-4B72-B185-4CB78E53B95A}"/>
    <cellStyle name="40% - Accent3 6 6" xfId="9627" xr:uid="{E54F87AB-D328-4E03-8D57-DC619D1C7425}"/>
    <cellStyle name="40% - Accent3 7" xfId="1501" xr:uid="{00000000-0005-0000-0000-000096050000}"/>
    <cellStyle name="40% - Accent3 7 2" xfId="3731" xr:uid="{00000000-0005-0000-0000-000097050000}"/>
    <cellStyle name="40% - Accent3 7 2 2" xfId="7953" xr:uid="{00000000-0005-0000-0000-000098050000}"/>
    <cellStyle name="40% - Accent3 7 2 2 2" xfId="33285" xr:uid="{C72948AF-78F5-466B-BF55-3C3F6B263090}"/>
    <cellStyle name="40% - Accent3 7 2 2 3" xfId="24844" xr:uid="{FAB66750-9E68-4BA4-891C-C5F317DCEBD5}"/>
    <cellStyle name="40% - Accent3 7 2 2 4" xfId="16403" xr:uid="{1B7E4600-121B-4822-9091-BDF98A092612}"/>
    <cellStyle name="40% - Accent3 7 2 3" xfId="29067" xr:uid="{12F4D842-2583-42BF-A352-1E5973CE21F0}"/>
    <cellStyle name="40% - Accent3 7 2 4" xfId="20626" xr:uid="{145262FE-471D-4242-8E67-358A53A998FF}"/>
    <cellStyle name="40% - Accent3 7 2 5" xfId="12185" xr:uid="{77DE7C43-77E0-4BF1-AD05-CEC02427541E}"/>
    <cellStyle name="40% - Accent3 7 3" xfId="5808" xr:uid="{00000000-0005-0000-0000-000099050000}"/>
    <cellStyle name="40% - Accent3 7 3 2" xfId="31140" xr:uid="{A75C3B83-F1F0-48EB-AE6C-43350AA80A66}"/>
    <cellStyle name="40% - Accent3 7 3 3" xfId="22699" xr:uid="{A1B89BCC-C6A9-40A6-A0E6-52899B82BDEE}"/>
    <cellStyle name="40% - Accent3 7 3 4" xfId="14258" xr:uid="{0B93D18F-F48A-4274-A3E7-C1D58483A9AC}"/>
    <cellStyle name="40% - Accent3 7 4" xfId="26922" xr:uid="{9C1A3B2D-4DE4-4F83-B4B0-9250F977EE16}"/>
    <cellStyle name="40% - Accent3 7 5" xfId="18481" xr:uid="{924E8367-99BE-4688-BB36-5569123E3E5E}"/>
    <cellStyle name="40% - Accent3 7 6" xfId="10040" xr:uid="{A806444D-D1CA-4554-BDC8-8428170E0149}"/>
    <cellStyle name="40% - Accent3 8" xfId="1915" xr:uid="{00000000-0005-0000-0000-00009A050000}"/>
    <cellStyle name="40% - Accent3 8 2" xfId="4144" xr:uid="{00000000-0005-0000-0000-00009B050000}"/>
    <cellStyle name="40% - Accent3 8 2 2" xfId="8366" xr:uid="{00000000-0005-0000-0000-00009C050000}"/>
    <cellStyle name="40% - Accent3 8 2 2 2" xfId="33698" xr:uid="{A8D05426-6098-45EA-9E0A-ADDA8D9499C4}"/>
    <cellStyle name="40% - Accent3 8 2 2 3" xfId="25257" xr:uid="{3F156865-1740-44F5-8786-7B4C39183B38}"/>
    <cellStyle name="40% - Accent3 8 2 2 4" xfId="16816" xr:uid="{1ED996E6-150B-43BC-ACF0-17ABE7A6191E}"/>
    <cellStyle name="40% - Accent3 8 2 3" xfId="29480" xr:uid="{566C0F49-39A0-4934-89CD-416A7A4D0765}"/>
    <cellStyle name="40% - Accent3 8 2 4" xfId="21039" xr:uid="{2CA3CB56-FC77-45EF-B00D-46459A07D986}"/>
    <cellStyle name="40% - Accent3 8 2 5" xfId="12598" xr:uid="{2BE482C0-CB3F-4CF0-9E76-86E361A1CC19}"/>
    <cellStyle name="40% - Accent3 8 3" xfId="6221" xr:uid="{00000000-0005-0000-0000-00009D050000}"/>
    <cellStyle name="40% - Accent3 8 3 2" xfId="31553" xr:uid="{901EEED2-558E-4B6D-9663-B3097E7B066C}"/>
    <cellStyle name="40% - Accent3 8 3 3" xfId="23112" xr:uid="{797E6266-E165-4C10-B3B8-2293E8DD8198}"/>
    <cellStyle name="40% - Accent3 8 3 4" xfId="14671" xr:uid="{EE6FC1DD-307D-4839-83E5-7A5A11BABC00}"/>
    <cellStyle name="40% - Accent3 8 4" xfId="27335" xr:uid="{ED1E5731-2F92-4E78-8A2B-467854511FF5}"/>
    <cellStyle name="40% - Accent3 8 5" xfId="18894" xr:uid="{BE1757B3-11E5-4527-9C5F-BEA434B09DA8}"/>
    <cellStyle name="40% - Accent3 8 6" xfId="10453" xr:uid="{767DD784-7C36-409D-9AAD-52EE0D4D2CE9}"/>
    <cellStyle name="40% - Accent3 9" xfId="2328" xr:uid="{00000000-0005-0000-0000-00009E050000}"/>
    <cellStyle name="40% - Accent3 9 2" xfId="6634" xr:uid="{00000000-0005-0000-0000-00009F050000}"/>
    <cellStyle name="40% - Accent3 9 2 2" xfId="31966" xr:uid="{F6AC5363-614A-41B3-88F9-40E573EA6BDC}"/>
    <cellStyle name="40% - Accent3 9 2 3" xfId="23525" xr:uid="{77462ACC-4142-428F-9AB4-0E91ECD25365}"/>
    <cellStyle name="40% - Accent3 9 2 4" xfId="15084" xr:uid="{C55A030F-1640-42D7-A6FB-B3A15F478D56}"/>
    <cellStyle name="40% - Accent3 9 3" xfId="27748" xr:uid="{C7783505-7010-46F3-80E9-094341E8FCA4}"/>
    <cellStyle name="40% - Accent3 9 4" xfId="19307" xr:uid="{0CAA39CE-48CE-40D2-B997-FC6D4BA10B5C}"/>
    <cellStyle name="40% - Accent3 9 5" xfId="10866" xr:uid="{84377F76-A89B-49D7-8C8F-C335713879E4}"/>
    <cellStyle name="40% - Accent4" xfId="73" builtinId="43" customBuiltin="1"/>
    <cellStyle name="40% - Accent4 10" xfId="4576" xr:uid="{00000000-0005-0000-0000-0000A1050000}"/>
    <cellStyle name="40% - Accent4 10 2" xfId="29908" xr:uid="{CA924509-D966-40F1-8027-EE5224C5D4BE}"/>
    <cellStyle name="40% - Accent4 10 3" xfId="21467" xr:uid="{FD33BB34-EE95-43DB-9EC8-A3A1232CCE8B}"/>
    <cellStyle name="40% - Accent4 10 4" xfId="13026" xr:uid="{BC178FF8-F416-4958-BFEA-747318ABF163}"/>
    <cellStyle name="40% - Accent4 11" xfId="25690" xr:uid="{83ACF7AC-606D-49EB-B893-F2E3B294C3FA}"/>
    <cellStyle name="40% - Accent4 12" xfId="17249" xr:uid="{8CFC3911-4E0E-4EB6-8DA0-845C71ADCDF1}"/>
    <cellStyle name="40% - Accent4 13" xfId="8808" xr:uid="{59BD7CD5-E1B0-4CBA-A927-DC497F298CB8}"/>
    <cellStyle name="40% - Accent4 2" xfId="74" xr:uid="{00000000-0005-0000-0000-0000A2050000}"/>
    <cellStyle name="40% - Accent4 2 10" xfId="25691" xr:uid="{851DF4C6-E817-4CA5-BFF3-FA55CB772872}"/>
    <cellStyle name="40% - Accent4 2 11" xfId="17250" xr:uid="{677C0EBF-CF06-4827-BF59-FABD9E230FCB}"/>
    <cellStyle name="40% - Accent4 2 12" xfId="8809" xr:uid="{E6F2367B-71CE-4F0E-A5D3-5823C410820A}"/>
    <cellStyle name="40% - Accent4 2 2" xfId="75" xr:uid="{00000000-0005-0000-0000-0000A3050000}"/>
    <cellStyle name="40% - Accent4 2 2 10" xfId="17251" xr:uid="{070C1D36-4B69-4FBB-8F7C-1DEF5A3AD253}"/>
    <cellStyle name="40% - Accent4 2 2 11" xfId="8810" xr:uid="{ED92315E-E228-46B5-8C43-77DDDC5F4EA6}"/>
    <cellStyle name="40% - Accent4 2 2 2" xfId="76" xr:uid="{00000000-0005-0000-0000-0000A4050000}"/>
    <cellStyle name="40% - Accent4 2 2 2 10" xfId="8811" xr:uid="{BE61D4EF-F831-43F5-905F-EC36BA689253}"/>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2 2 2" xfId="32470" xr:uid="{1291AD69-85B0-459A-AA7F-7C7ABC0F37F2}"/>
    <cellStyle name="40% - Accent4 2 2 2 2 2 2 3" xfId="24029" xr:uid="{4DD39690-7E8C-4394-841B-CA31DEC483D7}"/>
    <cellStyle name="40% - Accent4 2 2 2 2 2 2 4" xfId="15588" xr:uid="{F2269E03-E76F-499D-A13A-CE53D61717AD}"/>
    <cellStyle name="40% - Accent4 2 2 2 2 2 3" xfId="28252" xr:uid="{B131BBF3-9916-4BF4-90EF-583CABF6ACE8}"/>
    <cellStyle name="40% - Accent4 2 2 2 2 2 4" xfId="19811" xr:uid="{533E2987-4992-435C-B585-F3856C30086B}"/>
    <cellStyle name="40% - Accent4 2 2 2 2 2 5" xfId="11370" xr:uid="{0EFEABD9-70AF-4A89-9DD9-51579646B2A8}"/>
    <cellStyle name="40% - Accent4 2 2 2 2 3" xfId="4993" xr:uid="{00000000-0005-0000-0000-0000A8050000}"/>
    <cellStyle name="40% - Accent4 2 2 2 2 3 2" xfId="30325" xr:uid="{5B5616D3-22FB-4618-B5FF-2545849A2EAF}"/>
    <cellStyle name="40% - Accent4 2 2 2 2 3 3" xfId="21884" xr:uid="{7BA5120C-9AF4-4550-B067-76759D4BC8BE}"/>
    <cellStyle name="40% - Accent4 2 2 2 2 3 4" xfId="13443" xr:uid="{361D7A90-C160-47B4-AFB5-33E2A9341ADD}"/>
    <cellStyle name="40% - Accent4 2 2 2 2 4" xfId="26107" xr:uid="{FF9AAFAD-49B9-4848-8661-3C3D0FB01E4D}"/>
    <cellStyle name="40% - Accent4 2 2 2 2 5" xfId="17666" xr:uid="{EDFFFC7C-B367-4943-8D8D-92A7779012FD}"/>
    <cellStyle name="40% - Accent4 2 2 2 2 6" xfId="9225" xr:uid="{D09FCAEF-1B5D-41B6-B7BB-41285A23AC01}"/>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2 2 2" xfId="32883" xr:uid="{0BA16625-D9FB-446D-AB4E-F425B70F6E72}"/>
    <cellStyle name="40% - Accent4 2 2 2 3 2 2 3" xfId="24442" xr:uid="{BC3E1598-A6DD-4EA8-8205-66D1131F6845}"/>
    <cellStyle name="40% - Accent4 2 2 2 3 2 2 4" xfId="16001" xr:uid="{BB1F84AD-E466-4D45-8813-8371EB3FB004}"/>
    <cellStyle name="40% - Accent4 2 2 2 3 2 3" xfId="28665" xr:uid="{639EDF47-2BDD-4256-99A4-CD86B05312A9}"/>
    <cellStyle name="40% - Accent4 2 2 2 3 2 4" xfId="20224" xr:uid="{DE22DA3E-583B-4345-981D-E2967106463E}"/>
    <cellStyle name="40% - Accent4 2 2 2 3 2 5" xfId="11783" xr:uid="{0ED841F1-BDA4-4186-80B2-52270B2604A0}"/>
    <cellStyle name="40% - Accent4 2 2 2 3 3" xfId="5406" xr:uid="{00000000-0005-0000-0000-0000AC050000}"/>
    <cellStyle name="40% - Accent4 2 2 2 3 3 2" xfId="30738" xr:uid="{115FD302-F7B4-43BF-A5CC-371E9E3EB28E}"/>
    <cellStyle name="40% - Accent4 2 2 2 3 3 3" xfId="22297" xr:uid="{59173F87-B15C-4F24-B361-57DABAB69CB2}"/>
    <cellStyle name="40% - Accent4 2 2 2 3 3 4" xfId="13856" xr:uid="{F8000F11-54E2-41F4-B4C7-E5E44C401D1D}"/>
    <cellStyle name="40% - Accent4 2 2 2 3 4" xfId="26520" xr:uid="{84AC35FF-15B8-4F2A-8AE6-F67877361763}"/>
    <cellStyle name="40% - Accent4 2 2 2 3 5" xfId="18079" xr:uid="{FDA3A2A2-0E53-4652-8CD0-C368A5892915}"/>
    <cellStyle name="40% - Accent4 2 2 2 3 6" xfId="9638" xr:uid="{7FA3A97E-BA2E-43E8-BF85-2419CA6FE951}"/>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2 2 2" xfId="33296" xr:uid="{71FAEAA0-2CB1-482E-A886-DAB460BBFA42}"/>
    <cellStyle name="40% - Accent4 2 2 2 4 2 2 3" xfId="24855" xr:uid="{BC246D5C-87A3-470A-B931-4978868732A2}"/>
    <cellStyle name="40% - Accent4 2 2 2 4 2 2 4" xfId="16414" xr:uid="{0FEDE929-0103-4958-8523-11B776FD5F05}"/>
    <cellStyle name="40% - Accent4 2 2 2 4 2 3" xfId="29078" xr:uid="{32173452-96E4-4264-840B-92FA27914FF0}"/>
    <cellStyle name="40% - Accent4 2 2 2 4 2 4" xfId="20637" xr:uid="{E71D838C-BA16-47C8-8016-AE337242FB77}"/>
    <cellStyle name="40% - Accent4 2 2 2 4 2 5" xfId="12196" xr:uid="{2EFC483B-DAEB-4105-BEF0-A6E3C091BC6E}"/>
    <cellStyle name="40% - Accent4 2 2 2 4 3" xfId="5819" xr:uid="{00000000-0005-0000-0000-0000B0050000}"/>
    <cellStyle name="40% - Accent4 2 2 2 4 3 2" xfId="31151" xr:uid="{938EBA23-77D3-48B4-A3A9-316F7C1C6ED3}"/>
    <cellStyle name="40% - Accent4 2 2 2 4 3 3" xfId="22710" xr:uid="{A7A03BA5-95F7-486E-86F1-5FB41FFF76DB}"/>
    <cellStyle name="40% - Accent4 2 2 2 4 3 4" xfId="14269" xr:uid="{1373596E-DE60-4680-A6BA-CE750C6EB2C9}"/>
    <cellStyle name="40% - Accent4 2 2 2 4 4" xfId="26933" xr:uid="{437BEFB1-1627-4519-81DC-BC8925D5B777}"/>
    <cellStyle name="40% - Accent4 2 2 2 4 5" xfId="18492" xr:uid="{E7A9EC24-D620-41D7-A6C0-5E22804B5924}"/>
    <cellStyle name="40% - Accent4 2 2 2 4 6" xfId="10051" xr:uid="{F4C92C51-2702-4846-A045-8408D9EF7AD7}"/>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2 2 2" xfId="33709" xr:uid="{EFEA2E4B-55B0-4AC2-9973-09789762B2E5}"/>
    <cellStyle name="40% - Accent4 2 2 2 5 2 2 3" xfId="25268" xr:uid="{4A27237A-F8B3-4FF2-82D2-53535F995DC8}"/>
    <cellStyle name="40% - Accent4 2 2 2 5 2 2 4" xfId="16827" xr:uid="{2601A0A8-253A-44E7-9B6C-4768B04D2BA2}"/>
    <cellStyle name="40% - Accent4 2 2 2 5 2 3" xfId="29491" xr:uid="{3D19456E-2ECE-4F5B-BA14-FCE826C71569}"/>
    <cellStyle name="40% - Accent4 2 2 2 5 2 4" xfId="21050" xr:uid="{BBC318B8-F6CD-4FC9-96B0-F593078EF007}"/>
    <cellStyle name="40% - Accent4 2 2 2 5 2 5" xfId="12609" xr:uid="{D27B31A4-F0B0-410F-A8C7-ED5876BFB3BE}"/>
    <cellStyle name="40% - Accent4 2 2 2 5 3" xfId="6232" xr:uid="{00000000-0005-0000-0000-0000B4050000}"/>
    <cellStyle name="40% - Accent4 2 2 2 5 3 2" xfId="31564" xr:uid="{9E6809BF-D791-4FF7-A7A4-28E8B7BDAA83}"/>
    <cellStyle name="40% - Accent4 2 2 2 5 3 3" xfId="23123" xr:uid="{700B6CAA-B24C-4918-89C5-6A1148228735}"/>
    <cellStyle name="40% - Accent4 2 2 2 5 3 4" xfId="14682" xr:uid="{EBE641A1-A445-47C4-B6DE-22047BC7A23A}"/>
    <cellStyle name="40% - Accent4 2 2 2 5 4" xfId="27346" xr:uid="{5BBA1B96-6328-4039-8F13-B9A8D9297D48}"/>
    <cellStyle name="40% - Accent4 2 2 2 5 5" xfId="18905" xr:uid="{26F38609-E871-4387-9214-0D460F2FE4CE}"/>
    <cellStyle name="40% - Accent4 2 2 2 5 6" xfId="10464" xr:uid="{E153D1E4-B8A4-47DC-B0DD-4B1F28A740C1}"/>
    <cellStyle name="40% - Accent4 2 2 2 6" xfId="2339" xr:uid="{00000000-0005-0000-0000-0000B5050000}"/>
    <cellStyle name="40% - Accent4 2 2 2 6 2" xfId="6645" xr:uid="{00000000-0005-0000-0000-0000B6050000}"/>
    <cellStyle name="40% - Accent4 2 2 2 6 2 2" xfId="31977" xr:uid="{A4DFA6FE-BF95-417E-A7CD-36E8AFB7339B}"/>
    <cellStyle name="40% - Accent4 2 2 2 6 2 3" xfId="23536" xr:uid="{8B490FD4-4945-4994-8D83-A55592E9D5A5}"/>
    <cellStyle name="40% - Accent4 2 2 2 6 2 4" xfId="15095" xr:uid="{F2E15CB7-018B-4A89-A4A3-A7D80152AC47}"/>
    <cellStyle name="40% - Accent4 2 2 2 6 3" xfId="27759" xr:uid="{18B2C6C6-D567-4ED1-8701-50DCC673913F}"/>
    <cellStyle name="40% - Accent4 2 2 2 6 4" xfId="19318" xr:uid="{883FC2F3-8A60-43C1-8F5A-F9840CA53795}"/>
    <cellStyle name="40% - Accent4 2 2 2 6 5" xfId="10877" xr:uid="{75396943-DEFA-4022-847B-4F5E249DD555}"/>
    <cellStyle name="40% - Accent4 2 2 2 7" xfId="4579" xr:uid="{00000000-0005-0000-0000-0000B7050000}"/>
    <cellStyle name="40% - Accent4 2 2 2 7 2" xfId="29911" xr:uid="{57499181-7C7E-4F9F-A3BD-080E56A9F7D8}"/>
    <cellStyle name="40% - Accent4 2 2 2 7 3" xfId="21470" xr:uid="{84A81A2A-365D-4084-809F-50A178908843}"/>
    <cellStyle name="40% - Accent4 2 2 2 7 4" xfId="13029" xr:uid="{1F15DD9E-4B89-4C78-877A-5674EE241993}"/>
    <cellStyle name="40% - Accent4 2 2 2 8" xfId="25693" xr:uid="{7A717B03-B465-4AA4-B2F9-2E57F23B1CC6}"/>
    <cellStyle name="40% - Accent4 2 2 2 9" xfId="17252" xr:uid="{F2B20D94-136B-4BC5-BFDE-FCFF237FDD52}"/>
    <cellStyle name="40% - Accent4 2 2 3" xfId="644" xr:uid="{00000000-0005-0000-0000-0000B8050000}"/>
    <cellStyle name="40% - Accent4 2 2 3 2" xfId="2915" xr:uid="{00000000-0005-0000-0000-0000B9050000}"/>
    <cellStyle name="40% - Accent4 2 2 3 2 2" xfId="7137" xr:uid="{00000000-0005-0000-0000-0000BA050000}"/>
    <cellStyle name="40% - Accent4 2 2 3 2 2 2" xfId="32469" xr:uid="{86A066D1-A2BA-4089-BAAE-2E5C72CFB79F}"/>
    <cellStyle name="40% - Accent4 2 2 3 2 2 3" xfId="24028" xr:uid="{5CB4C6F5-243E-406D-AD1B-3F33A5454B7C}"/>
    <cellStyle name="40% - Accent4 2 2 3 2 2 4" xfId="15587" xr:uid="{C254AD47-45E8-4247-9F49-11556A5EB9E9}"/>
    <cellStyle name="40% - Accent4 2 2 3 2 3" xfId="28251" xr:uid="{41A1CC54-FCF1-4096-869D-DD12D8A1DE61}"/>
    <cellStyle name="40% - Accent4 2 2 3 2 4" xfId="19810" xr:uid="{0DC8BB97-C2DF-4329-B393-807700D55E71}"/>
    <cellStyle name="40% - Accent4 2 2 3 2 5" xfId="11369" xr:uid="{EF62E72E-143D-48F4-A861-C10819A2C8B1}"/>
    <cellStyle name="40% - Accent4 2 2 3 3" xfId="4992" xr:uid="{00000000-0005-0000-0000-0000BB050000}"/>
    <cellStyle name="40% - Accent4 2 2 3 3 2" xfId="30324" xr:uid="{E72FE184-92D9-4B85-9E46-39AC1088AC7E}"/>
    <cellStyle name="40% - Accent4 2 2 3 3 3" xfId="21883" xr:uid="{44C36F37-F118-47AF-BF51-8F332F8339A2}"/>
    <cellStyle name="40% - Accent4 2 2 3 3 4" xfId="13442" xr:uid="{B34A2E6B-BF4E-4C62-B68C-FE2FB8A3BD60}"/>
    <cellStyle name="40% - Accent4 2 2 3 4" xfId="26106" xr:uid="{C5698C98-11E3-45D9-9011-E37888ABF5E9}"/>
    <cellStyle name="40% - Accent4 2 2 3 5" xfId="17665" xr:uid="{F7771334-8BFC-4624-8ADE-2220D60D5723}"/>
    <cellStyle name="40% - Accent4 2 2 3 6" xfId="9224" xr:uid="{E0B2BE36-096D-4D8C-856E-C2781197108D}"/>
    <cellStyle name="40% - Accent4 2 2 4" xfId="1097" xr:uid="{00000000-0005-0000-0000-0000BC050000}"/>
    <cellStyle name="40% - Accent4 2 2 4 2" xfId="3328" xr:uid="{00000000-0005-0000-0000-0000BD050000}"/>
    <cellStyle name="40% - Accent4 2 2 4 2 2" xfId="7550" xr:uid="{00000000-0005-0000-0000-0000BE050000}"/>
    <cellStyle name="40% - Accent4 2 2 4 2 2 2" xfId="32882" xr:uid="{A1826C91-5724-4E9D-9A4E-46FFB6B53280}"/>
    <cellStyle name="40% - Accent4 2 2 4 2 2 3" xfId="24441" xr:uid="{696A02A9-8125-40A4-83F4-820F362DC108}"/>
    <cellStyle name="40% - Accent4 2 2 4 2 2 4" xfId="16000" xr:uid="{738AF73D-36A7-4AE4-93F0-D61ECA0C3367}"/>
    <cellStyle name="40% - Accent4 2 2 4 2 3" xfId="28664" xr:uid="{0C59E23B-7BAC-40A2-9F0D-E910775AC470}"/>
    <cellStyle name="40% - Accent4 2 2 4 2 4" xfId="20223" xr:uid="{15AF9CF3-101B-427C-A899-6FD4DB433653}"/>
    <cellStyle name="40% - Accent4 2 2 4 2 5" xfId="11782" xr:uid="{448F9DCA-6176-457D-B452-26CE4FC5B671}"/>
    <cellStyle name="40% - Accent4 2 2 4 3" xfId="5405" xr:uid="{00000000-0005-0000-0000-0000BF050000}"/>
    <cellStyle name="40% - Accent4 2 2 4 3 2" xfId="30737" xr:uid="{31CBB067-14E5-4D61-BFC6-4AECFF4835E2}"/>
    <cellStyle name="40% - Accent4 2 2 4 3 3" xfId="22296" xr:uid="{E3CFDB98-A747-4AA2-BB94-6457EEFB24EF}"/>
    <cellStyle name="40% - Accent4 2 2 4 3 4" xfId="13855" xr:uid="{EB1E0EA2-4C1B-41E8-928B-2B61D8FEC685}"/>
    <cellStyle name="40% - Accent4 2 2 4 4" xfId="26519" xr:uid="{FD0D0989-B7ED-4611-8299-2B8609BA9292}"/>
    <cellStyle name="40% - Accent4 2 2 4 5" xfId="18078" xr:uid="{69344068-5674-47AA-84DD-0CBE06FB2AF0}"/>
    <cellStyle name="40% - Accent4 2 2 4 6" xfId="9637" xr:uid="{BE08CFA1-32EB-4BC9-9025-F0DEF1986BEB}"/>
    <cellStyle name="40% - Accent4 2 2 5" xfId="1511" xr:uid="{00000000-0005-0000-0000-0000C0050000}"/>
    <cellStyle name="40% - Accent4 2 2 5 2" xfId="3741" xr:uid="{00000000-0005-0000-0000-0000C1050000}"/>
    <cellStyle name="40% - Accent4 2 2 5 2 2" xfId="7963" xr:uid="{00000000-0005-0000-0000-0000C2050000}"/>
    <cellStyle name="40% - Accent4 2 2 5 2 2 2" xfId="33295" xr:uid="{A6FDAE0E-C299-44DB-9B8A-0D7D29F15B74}"/>
    <cellStyle name="40% - Accent4 2 2 5 2 2 3" xfId="24854" xr:uid="{7137D67E-014F-49BD-94BF-BDF0F597118B}"/>
    <cellStyle name="40% - Accent4 2 2 5 2 2 4" xfId="16413" xr:uid="{915A8781-0256-4909-8237-6A45D664736D}"/>
    <cellStyle name="40% - Accent4 2 2 5 2 3" xfId="29077" xr:uid="{E5EDD6AF-19F3-419F-9DD5-3A3857D29AA5}"/>
    <cellStyle name="40% - Accent4 2 2 5 2 4" xfId="20636" xr:uid="{2135E546-EFBD-4074-B276-E165D862F91F}"/>
    <cellStyle name="40% - Accent4 2 2 5 2 5" xfId="12195" xr:uid="{7320D3C5-04B3-4A9A-832D-C4A35A09AA1A}"/>
    <cellStyle name="40% - Accent4 2 2 5 3" xfId="5818" xr:uid="{00000000-0005-0000-0000-0000C3050000}"/>
    <cellStyle name="40% - Accent4 2 2 5 3 2" xfId="31150" xr:uid="{94A32E85-9F4D-4D5C-B8E1-2C5B8FB08CB9}"/>
    <cellStyle name="40% - Accent4 2 2 5 3 3" xfId="22709" xr:uid="{85CD4F0F-8274-4B85-94A7-4E35C01C41CA}"/>
    <cellStyle name="40% - Accent4 2 2 5 3 4" xfId="14268" xr:uid="{3A2CF579-AA75-495A-AEE2-3EC83C3A484E}"/>
    <cellStyle name="40% - Accent4 2 2 5 4" xfId="26932" xr:uid="{EE2FF095-9F90-4F90-8BA7-A4ADD7E7D9A9}"/>
    <cellStyle name="40% - Accent4 2 2 5 5" xfId="18491" xr:uid="{7F133282-918A-4A99-94A2-240B06B18F2E}"/>
    <cellStyle name="40% - Accent4 2 2 5 6" xfId="10050" xr:uid="{D9C19CC7-7AE8-4968-A43C-AB519D6063EA}"/>
    <cellStyle name="40% - Accent4 2 2 6" xfId="1925" xr:uid="{00000000-0005-0000-0000-0000C4050000}"/>
    <cellStyle name="40% - Accent4 2 2 6 2" xfId="4154" xr:uid="{00000000-0005-0000-0000-0000C5050000}"/>
    <cellStyle name="40% - Accent4 2 2 6 2 2" xfId="8376" xr:uid="{00000000-0005-0000-0000-0000C6050000}"/>
    <cellStyle name="40% - Accent4 2 2 6 2 2 2" xfId="33708" xr:uid="{7180101A-162E-4697-B6B5-F69F914022A3}"/>
    <cellStyle name="40% - Accent4 2 2 6 2 2 3" xfId="25267" xr:uid="{159782B0-B16B-4F38-9B5F-656D52CE6B7F}"/>
    <cellStyle name="40% - Accent4 2 2 6 2 2 4" xfId="16826" xr:uid="{A070953D-503A-465B-8397-FF2011998151}"/>
    <cellStyle name="40% - Accent4 2 2 6 2 3" xfId="29490" xr:uid="{AE5C1C58-193C-400F-9548-B8AE2C2B3DAD}"/>
    <cellStyle name="40% - Accent4 2 2 6 2 4" xfId="21049" xr:uid="{41B96349-6B07-4B29-BB64-131B6E0D95D5}"/>
    <cellStyle name="40% - Accent4 2 2 6 2 5" xfId="12608" xr:uid="{B21AB177-C32E-4565-B657-04DF3D134081}"/>
    <cellStyle name="40% - Accent4 2 2 6 3" xfId="6231" xr:uid="{00000000-0005-0000-0000-0000C7050000}"/>
    <cellStyle name="40% - Accent4 2 2 6 3 2" xfId="31563" xr:uid="{375E6177-53BA-4813-A62A-BB58383D14BB}"/>
    <cellStyle name="40% - Accent4 2 2 6 3 3" xfId="23122" xr:uid="{E45436C1-1820-4207-9207-38DC561CC3A4}"/>
    <cellStyle name="40% - Accent4 2 2 6 3 4" xfId="14681" xr:uid="{E7980C13-90C9-47C6-A43D-F6EEFAA42865}"/>
    <cellStyle name="40% - Accent4 2 2 6 4" xfId="27345" xr:uid="{7E9024B5-6B4A-40F0-96B3-408BC2FA4CA6}"/>
    <cellStyle name="40% - Accent4 2 2 6 5" xfId="18904" xr:uid="{E57E0972-5EF0-40B0-8555-443C2F27C909}"/>
    <cellStyle name="40% - Accent4 2 2 6 6" xfId="10463" xr:uid="{39FF755A-A55A-4DAB-9A92-65A55DCC3E5E}"/>
    <cellStyle name="40% - Accent4 2 2 7" xfId="2338" xr:uid="{00000000-0005-0000-0000-0000C8050000}"/>
    <cellStyle name="40% - Accent4 2 2 7 2" xfId="6644" xr:uid="{00000000-0005-0000-0000-0000C9050000}"/>
    <cellStyle name="40% - Accent4 2 2 7 2 2" xfId="31976" xr:uid="{F6C7BC50-ADA9-4A48-8A09-B28CA41410EE}"/>
    <cellStyle name="40% - Accent4 2 2 7 2 3" xfId="23535" xr:uid="{3A9C7596-0E51-4C0C-B7BE-B63A0CC5DFF5}"/>
    <cellStyle name="40% - Accent4 2 2 7 2 4" xfId="15094" xr:uid="{40A28759-C518-4EB2-B87F-0EB613FE69F0}"/>
    <cellStyle name="40% - Accent4 2 2 7 3" xfId="27758" xr:uid="{3B4FC482-045B-4F53-A8E4-E4BC4BED4F76}"/>
    <cellStyle name="40% - Accent4 2 2 7 4" xfId="19317" xr:uid="{2CE40187-3ABF-463B-8DD4-E3BDC2861BF0}"/>
    <cellStyle name="40% - Accent4 2 2 7 5" xfId="10876" xr:uid="{392C4C60-ECD6-49C8-A71E-918C6334DA15}"/>
    <cellStyle name="40% - Accent4 2 2 8" xfId="4578" xr:uid="{00000000-0005-0000-0000-0000CA050000}"/>
    <cellStyle name="40% - Accent4 2 2 8 2" xfId="29910" xr:uid="{F32CD2B4-6C4E-4A9C-A0F8-753CA3B52579}"/>
    <cellStyle name="40% - Accent4 2 2 8 3" xfId="21469" xr:uid="{120A0AA6-9A95-44D9-BD4E-76E755F8A448}"/>
    <cellStyle name="40% - Accent4 2 2 8 4" xfId="13028" xr:uid="{8268052B-CE94-4C8F-8360-4C3377026F5B}"/>
    <cellStyle name="40% - Accent4 2 2 9" xfId="25692" xr:uid="{FA4B68EF-45CF-41DF-BC0A-F182E52C92C3}"/>
    <cellStyle name="40% - Accent4 2 3" xfId="77" xr:uid="{00000000-0005-0000-0000-0000CB050000}"/>
    <cellStyle name="40% - Accent4 2 3 10" xfId="8812" xr:uid="{5D19C09C-806C-4A3A-8D9E-7431D06C039A}"/>
    <cellStyle name="40% - Accent4 2 3 2" xfId="646" xr:uid="{00000000-0005-0000-0000-0000CC050000}"/>
    <cellStyle name="40% - Accent4 2 3 2 2" xfId="2917" xr:uid="{00000000-0005-0000-0000-0000CD050000}"/>
    <cellStyle name="40% - Accent4 2 3 2 2 2" xfId="7139" xr:uid="{00000000-0005-0000-0000-0000CE050000}"/>
    <cellStyle name="40% - Accent4 2 3 2 2 2 2" xfId="32471" xr:uid="{EB20ADF2-30B1-4255-8CFF-D1ADDB839BA6}"/>
    <cellStyle name="40% - Accent4 2 3 2 2 2 3" xfId="24030" xr:uid="{323BB526-FF45-4BCB-9467-FA500B9274E3}"/>
    <cellStyle name="40% - Accent4 2 3 2 2 2 4" xfId="15589" xr:uid="{AAA5A829-876E-478D-9586-34C437FD8019}"/>
    <cellStyle name="40% - Accent4 2 3 2 2 3" xfId="28253" xr:uid="{5C29D59B-017D-44F7-BA2B-43A56F48F3CF}"/>
    <cellStyle name="40% - Accent4 2 3 2 2 4" xfId="19812" xr:uid="{EDBC46F0-7625-4839-BD37-B554D06D70AC}"/>
    <cellStyle name="40% - Accent4 2 3 2 2 5" xfId="11371" xr:uid="{49912F54-4B06-48FC-9FA4-73AF9978CC74}"/>
    <cellStyle name="40% - Accent4 2 3 2 3" xfId="4994" xr:uid="{00000000-0005-0000-0000-0000CF050000}"/>
    <cellStyle name="40% - Accent4 2 3 2 3 2" xfId="30326" xr:uid="{5E966966-63DE-4AA7-A88F-C5B3081AF114}"/>
    <cellStyle name="40% - Accent4 2 3 2 3 3" xfId="21885" xr:uid="{60FEF0FE-1CA1-467C-A92C-9E63EC9FE9F8}"/>
    <cellStyle name="40% - Accent4 2 3 2 3 4" xfId="13444" xr:uid="{D0F0496C-22CB-45E0-B9E8-D530C3689203}"/>
    <cellStyle name="40% - Accent4 2 3 2 4" xfId="26108" xr:uid="{92AC8C30-3407-4DFD-A367-E8AE0DD8EDE6}"/>
    <cellStyle name="40% - Accent4 2 3 2 5" xfId="17667" xr:uid="{C633191E-D9C5-42D7-AFF8-32007057F7BD}"/>
    <cellStyle name="40% - Accent4 2 3 2 6" xfId="9226" xr:uid="{C160324C-6535-4164-B646-64BE0AB04190}"/>
    <cellStyle name="40% - Accent4 2 3 3" xfId="1099" xr:uid="{00000000-0005-0000-0000-0000D0050000}"/>
    <cellStyle name="40% - Accent4 2 3 3 2" xfId="3330" xr:uid="{00000000-0005-0000-0000-0000D1050000}"/>
    <cellStyle name="40% - Accent4 2 3 3 2 2" xfId="7552" xr:uid="{00000000-0005-0000-0000-0000D2050000}"/>
    <cellStyle name="40% - Accent4 2 3 3 2 2 2" xfId="32884" xr:uid="{DA923503-4705-4438-A9A2-ACA7868BB599}"/>
    <cellStyle name="40% - Accent4 2 3 3 2 2 3" xfId="24443" xr:uid="{3729125F-80E4-4642-BCBF-B386AE779998}"/>
    <cellStyle name="40% - Accent4 2 3 3 2 2 4" xfId="16002" xr:uid="{6631753F-A282-4044-A325-7C1B192FCBC7}"/>
    <cellStyle name="40% - Accent4 2 3 3 2 3" xfId="28666" xr:uid="{685B7B4B-CD74-4ADB-8443-BCA636BDB65A}"/>
    <cellStyle name="40% - Accent4 2 3 3 2 4" xfId="20225" xr:uid="{28D5CA0A-93B4-4659-A95D-96E4401FED04}"/>
    <cellStyle name="40% - Accent4 2 3 3 2 5" xfId="11784" xr:uid="{02C672D9-8E95-4D27-A497-CA6CC48F9EEB}"/>
    <cellStyle name="40% - Accent4 2 3 3 3" xfId="5407" xr:uid="{00000000-0005-0000-0000-0000D3050000}"/>
    <cellStyle name="40% - Accent4 2 3 3 3 2" xfId="30739" xr:uid="{4755BCD1-D902-46BF-9A89-6EF99704A001}"/>
    <cellStyle name="40% - Accent4 2 3 3 3 3" xfId="22298" xr:uid="{1A10C218-59C4-4CBA-9C55-623749BA04DF}"/>
    <cellStyle name="40% - Accent4 2 3 3 3 4" xfId="13857" xr:uid="{3D1A48F6-6898-430B-A238-49CCA2915B65}"/>
    <cellStyle name="40% - Accent4 2 3 3 4" xfId="26521" xr:uid="{64D33CD9-BEE7-43FC-B892-342287ABB500}"/>
    <cellStyle name="40% - Accent4 2 3 3 5" xfId="18080" xr:uid="{26C64E65-566A-480F-85F9-9613675F3794}"/>
    <cellStyle name="40% - Accent4 2 3 3 6" xfId="9639" xr:uid="{0371F74D-1C0C-493E-A883-E00758FD693F}"/>
    <cellStyle name="40% - Accent4 2 3 4" xfId="1513" xr:uid="{00000000-0005-0000-0000-0000D4050000}"/>
    <cellStyle name="40% - Accent4 2 3 4 2" xfId="3743" xr:uid="{00000000-0005-0000-0000-0000D5050000}"/>
    <cellStyle name="40% - Accent4 2 3 4 2 2" xfId="7965" xr:uid="{00000000-0005-0000-0000-0000D6050000}"/>
    <cellStyle name="40% - Accent4 2 3 4 2 2 2" xfId="33297" xr:uid="{4F56E471-2C76-445D-BB2D-EBDEA4650A90}"/>
    <cellStyle name="40% - Accent4 2 3 4 2 2 3" xfId="24856" xr:uid="{41D0030F-2751-4DF9-A20A-5C887F5B1CAE}"/>
    <cellStyle name="40% - Accent4 2 3 4 2 2 4" xfId="16415" xr:uid="{9FAE2C0F-4CB5-47AA-BAC4-E8FF75DF47CE}"/>
    <cellStyle name="40% - Accent4 2 3 4 2 3" xfId="29079" xr:uid="{D663F17F-EAF3-44A3-A4DF-C2AE12EC035E}"/>
    <cellStyle name="40% - Accent4 2 3 4 2 4" xfId="20638" xr:uid="{262FF7D7-C4D0-424C-B6FC-C2E6099C2299}"/>
    <cellStyle name="40% - Accent4 2 3 4 2 5" xfId="12197" xr:uid="{4B4D4A04-ECB4-4AC9-893D-72A41758B925}"/>
    <cellStyle name="40% - Accent4 2 3 4 3" xfId="5820" xr:uid="{00000000-0005-0000-0000-0000D7050000}"/>
    <cellStyle name="40% - Accent4 2 3 4 3 2" xfId="31152" xr:uid="{6E6577FD-71D6-4F10-B792-271EF9038244}"/>
    <cellStyle name="40% - Accent4 2 3 4 3 3" xfId="22711" xr:uid="{242BA70A-B1EF-4C75-B443-7BCAAE7D7625}"/>
    <cellStyle name="40% - Accent4 2 3 4 3 4" xfId="14270" xr:uid="{13DC1964-F465-44AE-B520-F88267161B67}"/>
    <cellStyle name="40% - Accent4 2 3 4 4" xfId="26934" xr:uid="{5EDADA90-29B9-40D1-8AEB-CB882A8A451E}"/>
    <cellStyle name="40% - Accent4 2 3 4 5" xfId="18493" xr:uid="{E00837CD-481D-4D18-9559-1C4321FAC26D}"/>
    <cellStyle name="40% - Accent4 2 3 4 6" xfId="10052" xr:uid="{B7987CCA-E7F0-48C6-B458-36437623C6AD}"/>
    <cellStyle name="40% - Accent4 2 3 5" xfId="1927" xr:uid="{00000000-0005-0000-0000-0000D8050000}"/>
    <cellStyle name="40% - Accent4 2 3 5 2" xfId="4156" xr:uid="{00000000-0005-0000-0000-0000D9050000}"/>
    <cellStyle name="40% - Accent4 2 3 5 2 2" xfId="8378" xr:uid="{00000000-0005-0000-0000-0000DA050000}"/>
    <cellStyle name="40% - Accent4 2 3 5 2 2 2" xfId="33710" xr:uid="{E8360138-5BB9-4447-8F2C-6FE9A47C058B}"/>
    <cellStyle name="40% - Accent4 2 3 5 2 2 3" xfId="25269" xr:uid="{6FFB3791-4E7A-4118-967D-E326E8847427}"/>
    <cellStyle name="40% - Accent4 2 3 5 2 2 4" xfId="16828" xr:uid="{46B27074-40F6-47CA-870F-508E5C29FB6A}"/>
    <cellStyle name="40% - Accent4 2 3 5 2 3" xfId="29492" xr:uid="{8D09C6D5-A6B3-44B1-929C-4065DD24190E}"/>
    <cellStyle name="40% - Accent4 2 3 5 2 4" xfId="21051" xr:uid="{811B806E-BB0A-41C1-9A2D-15CD70D556B8}"/>
    <cellStyle name="40% - Accent4 2 3 5 2 5" xfId="12610" xr:uid="{C05D48E7-667D-4E64-8006-28DA962E92D1}"/>
    <cellStyle name="40% - Accent4 2 3 5 3" xfId="6233" xr:uid="{00000000-0005-0000-0000-0000DB050000}"/>
    <cellStyle name="40% - Accent4 2 3 5 3 2" xfId="31565" xr:uid="{24E2F8B2-6D0F-4B69-AB5A-6D8ABA401F00}"/>
    <cellStyle name="40% - Accent4 2 3 5 3 3" xfId="23124" xr:uid="{B0747798-FFDD-4BD5-8E9F-DF92A841D3A6}"/>
    <cellStyle name="40% - Accent4 2 3 5 3 4" xfId="14683" xr:uid="{8DC80119-57CE-460D-B466-B78F43BF7642}"/>
    <cellStyle name="40% - Accent4 2 3 5 4" xfId="27347" xr:uid="{924A1DF2-E053-4188-B810-9CDA9BE8CFE0}"/>
    <cellStyle name="40% - Accent4 2 3 5 5" xfId="18906" xr:uid="{92DA526E-7B27-4ABD-8CC0-BB780EE1519A}"/>
    <cellStyle name="40% - Accent4 2 3 5 6" xfId="10465" xr:uid="{7DDA92E2-3B24-4081-A1E9-6881ECC002E9}"/>
    <cellStyle name="40% - Accent4 2 3 6" xfId="2340" xr:uid="{00000000-0005-0000-0000-0000DC050000}"/>
    <cellStyle name="40% - Accent4 2 3 6 2" xfId="6646" xr:uid="{00000000-0005-0000-0000-0000DD050000}"/>
    <cellStyle name="40% - Accent4 2 3 6 2 2" xfId="31978" xr:uid="{35860B7B-7A8F-4BBA-B86E-60A4EA4C96B0}"/>
    <cellStyle name="40% - Accent4 2 3 6 2 3" xfId="23537" xr:uid="{575F0815-E620-482C-A931-AB4BC8E168EA}"/>
    <cellStyle name="40% - Accent4 2 3 6 2 4" xfId="15096" xr:uid="{ACAC726E-92A2-4443-BF52-679E9A9C3E72}"/>
    <cellStyle name="40% - Accent4 2 3 6 3" xfId="27760" xr:uid="{141FEC93-DC94-46AD-ABBD-91E1530B62EB}"/>
    <cellStyle name="40% - Accent4 2 3 6 4" xfId="19319" xr:uid="{972658C6-C2E8-40A8-8CD7-49F33F094814}"/>
    <cellStyle name="40% - Accent4 2 3 6 5" xfId="10878" xr:uid="{3FAF0235-FB64-4670-879C-1029625DD3F5}"/>
    <cellStyle name="40% - Accent4 2 3 7" xfId="4580" xr:uid="{00000000-0005-0000-0000-0000DE050000}"/>
    <cellStyle name="40% - Accent4 2 3 7 2" xfId="29912" xr:uid="{981ADDAD-D18E-4247-825E-50EBA9A0E950}"/>
    <cellStyle name="40% - Accent4 2 3 7 3" xfId="21471" xr:uid="{EDDB5760-351D-4E39-A806-4ED2EA24DC4A}"/>
    <cellStyle name="40% - Accent4 2 3 7 4" xfId="13030" xr:uid="{A3ED60B6-A9C6-42BC-9918-2B2C2C1B3A42}"/>
    <cellStyle name="40% - Accent4 2 3 8" xfId="25694" xr:uid="{F85596BD-AF97-4A62-8229-5546421F6AC9}"/>
    <cellStyle name="40% - Accent4 2 3 9" xfId="17253" xr:uid="{3421A632-8392-4B6E-A533-51042AFA781C}"/>
    <cellStyle name="40% - Accent4 2 4" xfId="643" xr:uid="{00000000-0005-0000-0000-0000DF050000}"/>
    <cellStyle name="40% - Accent4 2 4 2" xfId="2914" xr:uid="{00000000-0005-0000-0000-0000E0050000}"/>
    <cellStyle name="40% - Accent4 2 4 2 2" xfId="7136" xr:uid="{00000000-0005-0000-0000-0000E1050000}"/>
    <cellStyle name="40% - Accent4 2 4 2 2 2" xfId="32468" xr:uid="{E5D2D792-2127-4079-A096-149931A26B00}"/>
    <cellStyle name="40% - Accent4 2 4 2 2 3" xfId="24027" xr:uid="{057E9205-545E-4089-88D0-859FE6F4EE64}"/>
    <cellStyle name="40% - Accent4 2 4 2 2 4" xfId="15586" xr:uid="{DE6AC7AF-B5D8-49B6-A629-21BAD92281D5}"/>
    <cellStyle name="40% - Accent4 2 4 2 3" xfId="28250" xr:uid="{A5C5BD01-F2EC-43E0-90E7-DD6124B7C521}"/>
    <cellStyle name="40% - Accent4 2 4 2 4" xfId="19809" xr:uid="{0DE0F91D-01E5-4837-8E89-14DE538FDDA9}"/>
    <cellStyle name="40% - Accent4 2 4 2 5" xfId="11368" xr:uid="{6576DAAF-A347-4D5D-8C88-98E84E208655}"/>
    <cellStyle name="40% - Accent4 2 4 3" xfId="4991" xr:uid="{00000000-0005-0000-0000-0000E2050000}"/>
    <cellStyle name="40% - Accent4 2 4 3 2" xfId="30323" xr:uid="{B018F450-6467-4C49-A553-B520445C6934}"/>
    <cellStyle name="40% - Accent4 2 4 3 3" xfId="21882" xr:uid="{D321E559-70B7-4740-9E22-CF6ABF37AE61}"/>
    <cellStyle name="40% - Accent4 2 4 3 4" xfId="13441" xr:uid="{34B1A0BB-1A7B-4F80-8085-72E539E5AB7D}"/>
    <cellStyle name="40% - Accent4 2 4 4" xfId="26105" xr:uid="{070BFAB7-A925-4461-9F22-66748C277404}"/>
    <cellStyle name="40% - Accent4 2 4 5" xfId="17664" xr:uid="{AF1C02E3-CEAD-4B83-B546-6689BD632F51}"/>
    <cellStyle name="40% - Accent4 2 4 6" xfId="9223" xr:uid="{A3EC7966-D87A-4F5C-854E-FEABD4F551DF}"/>
    <cellStyle name="40% - Accent4 2 5" xfId="1096" xr:uid="{00000000-0005-0000-0000-0000E3050000}"/>
    <cellStyle name="40% - Accent4 2 5 2" xfId="3327" xr:uid="{00000000-0005-0000-0000-0000E4050000}"/>
    <cellStyle name="40% - Accent4 2 5 2 2" xfId="7549" xr:uid="{00000000-0005-0000-0000-0000E5050000}"/>
    <cellStyle name="40% - Accent4 2 5 2 2 2" xfId="32881" xr:uid="{E90493DF-EF2A-41BB-86E7-0108D717721C}"/>
    <cellStyle name="40% - Accent4 2 5 2 2 3" xfId="24440" xr:uid="{20376C1E-78CC-4219-859B-0417683D12DF}"/>
    <cellStyle name="40% - Accent4 2 5 2 2 4" xfId="15999" xr:uid="{17504BF6-4F1A-4E61-9510-AA0C6C4CA36E}"/>
    <cellStyle name="40% - Accent4 2 5 2 3" xfId="28663" xr:uid="{ADFDE498-BAC3-4843-B217-5E6BDD889B91}"/>
    <cellStyle name="40% - Accent4 2 5 2 4" xfId="20222" xr:uid="{4C61BA99-A8A3-454D-8D39-1230D3130E12}"/>
    <cellStyle name="40% - Accent4 2 5 2 5" xfId="11781" xr:uid="{3D93922D-0A23-42A3-A368-24AF556692ED}"/>
    <cellStyle name="40% - Accent4 2 5 3" xfId="5404" xr:uid="{00000000-0005-0000-0000-0000E6050000}"/>
    <cellStyle name="40% - Accent4 2 5 3 2" xfId="30736" xr:uid="{8F9B3FA5-4995-432E-9C0B-7B84E741AB32}"/>
    <cellStyle name="40% - Accent4 2 5 3 3" xfId="22295" xr:uid="{D53B1339-3C5E-45ED-A666-CFF600C1B53C}"/>
    <cellStyle name="40% - Accent4 2 5 3 4" xfId="13854" xr:uid="{81E92DBA-989B-4392-8404-15E57A289E88}"/>
    <cellStyle name="40% - Accent4 2 5 4" xfId="26518" xr:uid="{6765674D-D399-4018-BECB-80B7388C003E}"/>
    <cellStyle name="40% - Accent4 2 5 5" xfId="18077" xr:uid="{8B0C580B-D95D-4741-A3B9-F9327121509C}"/>
    <cellStyle name="40% - Accent4 2 5 6" xfId="9636" xr:uid="{8B6BD9F3-96C0-472A-99CE-52AE5FCFB44F}"/>
    <cellStyle name="40% - Accent4 2 6" xfId="1510" xr:uid="{00000000-0005-0000-0000-0000E7050000}"/>
    <cellStyle name="40% - Accent4 2 6 2" xfId="3740" xr:uid="{00000000-0005-0000-0000-0000E8050000}"/>
    <cellStyle name="40% - Accent4 2 6 2 2" xfId="7962" xr:uid="{00000000-0005-0000-0000-0000E9050000}"/>
    <cellStyle name="40% - Accent4 2 6 2 2 2" xfId="33294" xr:uid="{2D4E75EC-257E-406E-B854-C10608760984}"/>
    <cellStyle name="40% - Accent4 2 6 2 2 3" xfId="24853" xr:uid="{D15D5FD6-B59F-4549-91A4-5AE9A93AAACB}"/>
    <cellStyle name="40% - Accent4 2 6 2 2 4" xfId="16412" xr:uid="{ED02F3B1-A7D4-49AC-90F9-605C9EBFF733}"/>
    <cellStyle name="40% - Accent4 2 6 2 3" xfId="29076" xr:uid="{DC501BD0-3337-408A-8065-5C4F7E11FEE7}"/>
    <cellStyle name="40% - Accent4 2 6 2 4" xfId="20635" xr:uid="{E2D0FF81-2985-4190-9436-109B139A95E9}"/>
    <cellStyle name="40% - Accent4 2 6 2 5" xfId="12194" xr:uid="{7D9F3DBF-95DE-4A1E-A481-115CEF8BD96F}"/>
    <cellStyle name="40% - Accent4 2 6 3" xfId="5817" xr:uid="{00000000-0005-0000-0000-0000EA050000}"/>
    <cellStyle name="40% - Accent4 2 6 3 2" xfId="31149" xr:uid="{75DB0426-C16B-4D75-B3A5-7A2AA1983B43}"/>
    <cellStyle name="40% - Accent4 2 6 3 3" xfId="22708" xr:uid="{B134B03A-CAF2-4AA9-8798-1BF054F53C80}"/>
    <cellStyle name="40% - Accent4 2 6 3 4" xfId="14267" xr:uid="{3B52413D-2E7E-43C6-A62B-23DBEEAA017F}"/>
    <cellStyle name="40% - Accent4 2 6 4" xfId="26931" xr:uid="{C660CAE1-0953-4CC3-9C01-482E5B448655}"/>
    <cellStyle name="40% - Accent4 2 6 5" xfId="18490" xr:uid="{D0F37704-E238-4A99-B904-9D01B4D968F3}"/>
    <cellStyle name="40% - Accent4 2 6 6" xfId="10049" xr:uid="{EB373746-53ED-495E-BF23-07893B73798E}"/>
    <cellStyle name="40% - Accent4 2 7" xfId="1924" xr:uid="{00000000-0005-0000-0000-0000EB050000}"/>
    <cellStyle name="40% - Accent4 2 7 2" xfId="4153" xr:uid="{00000000-0005-0000-0000-0000EC050000}"/>
    <cellStyle name="40% - Accent4 2 7 2 2" xfId="8375" xr:uid="{00000000-0005-0000-0000-0000ED050000}"/>
    <cellStyle name="40% - Accent4 2 7 2 2 2" xfId="33707" xr:uid="{2F0A9490-09D7-4CA2-954F-A3D271CE73D6}"/>
    <cellStyle name="40% - Accent4 2 7 2 2 3" xfId="25266" xr:uid="{A71673CE-EBF3-4DDE-BE9A-5C5A77844A26}"/>
    <cellStyle name="40% - Accent4 2 7 2 2 4" xfId="16825" xr:uid="{5CE8ACFC-3310-49B2-8159-5C9272D983ED}"/>
    <cellStyle name="40% - Accent4 2 7 2 3" xfId="29489" xr:uid="{E75C5CAD-76B1-4362-A5E6-CC22DF24591C}"/>
    <cellStyle name="40% - Accent4 2 7 2 4" xfId="21048" xr:uid="{8ED40073-BA33-44C4-A20B-9735DDE6F28C}"/>
    <cellStyle name="40% - Accent4 2 7 2 5" xfId="12607" xr:uid="{AFC0CE5C-2247-4747-B4D8-1C214E85FD8A}"/>
    <cellStyle name="40% - Accent4 2 7 3" xfId="6230" xr:uid="{00000000-0005-0000-0000-0000EE050000}"/>
    <cellStyle name="40% - Accent4 2 7 3 2" xfId="31562" xr:uid="{B8477752-B066-4F45-A55B-7368788F78D0}"/>
    <cellStyle name="40% - Accent4 2 7 3 3" xfId="23121" xr:uid="{C72BA50F-F558-476F-AF5F-892999230BF6}"/>
    <cellStyle name="40% - Accent4 2 7 3 4" xfId="14680" xr:uid="{8BCB5332-3E32-47E3-A8E9-F37B36CDE328}"/>
    <cellStyle name="40% - Accent4 2 7 4" xfId="27344" xr:uid="{8B0818F8-4A9A-46C5-B29B-80819C1B3FBD}"/>
    <cellStyle name="40% - Accent4 2 7 5" xfId="18903" xr:uid="{06BC706A-B773-471B-A025-604AF8AB7370}"/>
    <cellStyle name="40% - Accent4 2 7 6" xfId="10462" xr:uid="{6FD6615E-9905-4449-992F-FE4D5C7E80B5}"/>
    <cellStyle name="40% - Accent4 2 8" xfId="2337" xr:uid="{00000000-0005-0000-0000-0000EF050000}"/>
    <cellStyle name="40% - Accent4 2 8 2" xfId="6643" xr:uid="{00000000-0005-0000-0000-0000F0050000}"/>
    <cellStyle name="40% - Accent4 2 8 2 2" xfId="31975" xr:uid="{F2DED1D2-EE41-47EC-B1EF-018217A587D3}"/>
    <cellStyle name="40% - Accent4 2 8 2 3" xfId="23534" xr:uid="{AF8D206B-29D9-4E7B-9C7A-0E4AF5D916D7}"/>
    <cellStyle name="40% - Accent4 2 8 2 4" xfId="15093" xr:uid="{7B0E6E79-220A-4A8A-BCC4-7F0881380219}"/>
    <cellStyle name="40% - Accent4 2 8 3" xfId="27757" xr:uid="{1C8A3703-512B-4B3E-8274-EF3591995D6E}"/>
    <cellStyle name="40% - Accent4 2 8 4" xfId="19316" xr:uid="{2668CDCA-0BFA-4B8C-9347-6BF87AB98431}"/>
    <cellStyle name="40% - Accent4 2 8 5" xfId="10875" xr:uid="{B08F5A90-6259-4E28-A590-7A0F7A5AE27A}"/>
    <cellStyle name="40% - Accent4 2 9" xfId="4577" xr:uid="{00000000-0005-0000-0000-0000F1050000}"/>
    <cellStyle name="40% - Accent4 2 9 2" xfId="29909" xr:uid="{F894C7A4-698E-4544-9273-C738E6B0BE39}"/>
    <cellStyle name="40% - Accent4 2 9 3" xfId="21468" xr:uid="{26A65BD8-FF06-43E9-ABD8-0BC80C726E54}"/>
    <cellStyle name="40% - Accent4 2 9 4" xfId="13027" xr:uid="{396770F9-2A71-48F5-B174-78971A33ED87}"/>
    <cellStyle name="40% - Accent4 3" xfId="78" xr:uid="{00000000-0005-0000-0000-0000F2050000}"/>
    <cellStyle name="40% - Accent4 3 10" xfId="17254" xr:uid="{1A97661B-2C8E-4FD2-A36D-0A6855AABBB4}"/>
    <cellStyle name="40% - Accent4 3 11" xfId="8813" xr:uid="{340EF114-02B2-4AA2-95AC-9F6538628793}"/>
    <cellStyle name="40% - Accent4 3 2" xfId="79" xr:uid="{00000000-0005-0000-0000-0000F3050000}"/>
    <cellStyle name="40% - Accent4 3 2 10" xfId="8814" xr:uid="{9E0EC617-8B98-4202-9398-5320E7B91504}"/>
    <cellStyle name="40% - Accent4 3 2 2" xfId="648" xr:uid="{00000000-0005-0000-0000-0000F4050000}"/>
    <cellStyle name="40% - Accent4 3 2 2 2" xfId="2919" xr:uid="{00000000-0005-0000-0000-0000F5050000}"/>
    <cellStyle name="40% - Accent4 3 2 2 2 2" xfId="7141" xr:uid="{00000000-0005-0000-0000-0000F6050000}"/>
    <cellStyle name="40% - Accent4 3 2 2 2 2 2" xfId="32473" xr:uid="{1967DEC9-EDF8-450C-9673-2F0E8A6237DD}"/>
    <cellStyle name="40% - Accent4 3 2 2 2 2 3" xfId="24032" xr:uid="{67A03D18-1A34-4BCF-8FEC-E20D357B2E8A}"/>
    <cellStyle name="40% - Accent4 3 2 2 2 2 4" xfId="15591" xr:uid="{76959C63-DCCD-4F80-91B9-5B334B9BB966}"/>
    <cellStyle name="40% - Accent4 3 2 2 2 3" xfId="28255" xr:uid="{3EA9E076-A5A8-493B-B4D7-858EC2718815}"/>
    <cellStyle name="40% - Accent4 3 2 2 2 4" xfId="19814" xr:uid="{DC3DC52D-20D8-4D0D-AA3B-2A82C1151DBC}"/>
    <cellStyle name="40% - Accent4 3 2 2 2 5" xfId="11373" xr:uid="{56CE4901-A8B0-429A-895B-DDF2F0B53214}"/>
    <cellStyle name="40% - Accent4 3 2 2 3" xfId="4996" xr:uid="{00000000-0005-0000-0000-0000F7050000}"/>
    <cellStyle name="40% - Accent4 3 2 2 3 2" xfId="30328" xr:uid="{56C4E646-9F8E-42D7-89B8-63DC3FE54F42}"/>
    <cellStyle name="40% - Accent4 3 2 2 3 3" xfId="21887" xr:uid="{8B53AE43-D897-48EA-ABCD-7E628100A9A5}"/>
    <cellStyle name="40% - Accent4 3 2 2 3 4" xfId="13446" xr:uid="{87681522-34EC-440B-8968-812F02CB5530}"/>
    <cellStyle name="40% - Accent4 3 2 2 4" xfId="26110" xr:uid="{55928B04-C69C-4755-ABBC-E5DE858589A7}"/>
    <cellStyle name="40% - Accent4 3 2 2 5" xfId="17669" xr:uid="{0C03CE0C-6F7B-49A8-9ED1-9FA8E455574E}"/>
    <cellStyle name="40% - Accent4 3 2 2 6" xfId="9228" xr:uid="{6AD1B5E2-1608-4CB2-97BC-6BF889821100}"/>
    <cellStyle name="40% - Accent4 3 2 3" xfId="1101" xr:uid="{00000000-0005-0000-0000-0000F8050000}"/>
    <cellStyle name="40% - Accent4 3 2 3 2" xfId="3332" xr:uid="{00000000-0005-0000-0000-0000F9050000}"/>
    <cellStyle name="40% - Accent4 3 2 3 2 2" xfId="7554" xr:uid="{00000000-0005-0000-0000-0000FA050000}"/>
    <cellStyle name="40% - Accent4 3 2 3 2 2 2" xfId="32886" xr:uid="{5FF95567-8C52-4A46-834E-7AD17D50C565}"/>
    <cellStyle name="40% - Accent4 3 2 3 2 2 3" xfId="24445" xr:uid="{B1E741B5-AF07-48AE-A715-803E5FCF67DB}"/>
    <cellStyle name="40% - Accent4 3 2 3 2 2 4" xfId="16004" xr:uid="{8312590C-F036-45C8-A95C-A6CBF556C92B}"/>
    <cellStyle name="40% - Accent4 3 2 3 2 3" xfId="28668" xr:uid="{92B64E5C-D486-4500-AE93-90F81CD286D3}"/>
    <cellStyle name="40% - Accent4 3 2 3 2 4" xfId="20227" xr:uid="{94B1A7EE-B18A-4934-85CF-E4AF3816B0A8}"/>
    <cellStyle name="40% - Accent4 3 2 3 2 5" xfId="11786" xr:uid="{ED6AFE7B-1BD1-41DB-824F-22DD2A5FD14E}"/>
    <cellStyle name="40% - Accent4 3 2 3 3" xfId="5409" xr:uid="{00000000-0005-0000-0000-0000FB050000}"/>
    <cellStyle name="40% - Accent4 3 2 3 3 2" xfId="30741" xr:uid="{374A5043-5242-4F36-9042-5B2AE2022E2C}"/>
    <cellStyle name="40% - Accent4 3 2 3 3 3" xfId="22300" xr:uid="{8F389331-E27A-480B-84D2-56E1F760611F}"/>
    <cellStyle name="40% - Accent4 3 2 3 3 4" xfId="13859" xr:uid="{5392EC4D-E3CF-45FA-9AC0-946BB6150FD2}"/>
    <cellStyle name="40% - Accent4 3 2 3 4" xfId="26523" xr:uid="{C65C4299-F3CB-495E-85A7-76ED008CE2A0}"/>
    <cellStyle name="40% - Accent4 3 2 3 5" xfId="18082" xr:uid="{0A9CFC1D-C489-44FC-A064-FD5348BCC661}"/>
    <cellStyle name="40% - Accent4 3 2 3 6" xfId="9641" xr:uid="{6B537521-C12F-4AF5-92C6-0EF2E16A9921}"/>
    <cellStyle name="40% - Accent4 3 2 4" xfId="1515" xr:uid="{00000000-0005-0000-0000-0000FC050000}"/>
    <cellStyle name="40% - Accent4 3 2 4 2" xfId="3745" xr:uid="{00000000-0005-0000-0000-0000FD050000}"/>
    <cellStyle name="40% - Accent4 3 2 4 2 2" xfId="7967" xr:uid="{00000000-0005-0000-0000-0000FE050000}"/>
    <cellStyle name="40% - Accent4 3 2 4 2 2 2" xfId="33299" xr:uid="{8B7A9A3D-17EF-4A7F-A9D8-9F997F2ADB1E}"/>
    <cellStyle name="40% - Accent4 3 2 4 2 2 3" xfId="24858" xr:uid="{26AD8DF7-4024-4BA7-A6B4-CB747878ED0A}"/>
    <cellStyle name="40% - Accent4 3 2 4 2 2 4" xfId="16417" xr:uid="{544E65AE-47E0-49F0-8FE0-DD0C0CF6C7CD}"/>
    <cellStyle name="40% - Accent4 3 2 4 2 3" xfId="29081" xr:uid="{EE7077C3-1C5F-4A8E-924B-31A3AEA21BDC}"/>
    <cellStyle name="40% - Accent4 3 2 4 2 4" xfId="20640" xr:uid="{20A4859E-BA6A-4422-A807-E732316C0CDB}"/>
    <cellStyle name="40% - Accent4 3 2 4 2 5" xfId="12199" xr:uid="{F85582C8-07EB-424C-9271-A00196980781}"/>
    <cellStyle name="40% - Accent4 3 2 4 3" xfId="5822" xr:uid="{00000000-0005-0000-0000-0000FF050000}"/>
    <cellStyle name="40% - Accent4 3 2 4 3 2" xfId="31154" xr:uid="{80C5FCEB-766D-49F5-90AC-FF49ED904FF9}"/>
    <cellStyle name="40% - Accent4 3 2 4 3 3" xfId="22713" xr:uid="{315B3B46-9593-44A2-85FA-A74E8E984DC5}"/>
    <cellStyle name="40% - Accent4 3 2 4 3 4" xfId="14272" xr:uid="{E75CC4A4-B347-4763-BB4E-DE7884C8C2AC}"/>
    <cellStyle name="40% - Accent4 3 2 4 4" xfId="26936" xr:uid="{068B9124-5B44-4ED4-8D8D-2DFA0B4F9017}"/>
    <cellStyle name="40% - Accent4 3 2 4 5" xfId="18495" xr:uid="{4A74F784-0177-4ADE-86AC-7ED88B3F8374}"/>
    <cellStyle name="40% - Accent4 3 2 4 6" xfId="10054" xr:uid="{8BE512C2-CF14-4692-B431-5892CDD7C08F}"/>
    <cellStyle name="40% - Accent4 3 2 5" xfId="1929" xr:uid="{00000000-0005-0000-0000-000000060000}"/>
    <cellStyle name="40% - Accent4 3 2 5 2" xfId="4158" xr:uid="{00000000-0005-0000-0000-000001060000}"/>
    <cellStyle name="40% - Accent4 3 2 5 2 2" xfId="8380" xr:uid="{00000000-0005-0000-0000-000002060000}"/>
    <cellStyle name="40% - Accent4 3 2 5 2 2 2" xfId="33712" xr:uid="{F97651DE-EB4E-4A0B-99FC-750A281249DA}"/>
    <cellStyle name="40% - Accent4 3 2 5 2 2 3" xfId="25271" xr:uid="{7C3D903E-AC97-4439-8F76-CC85031CF629}"/>
    <cellStyle name="40% - Accent4 3 2 5 2 2 4" xfId="16830" xr:uid="{00027445-5B33-4F77-AD73-8BB2BDC20DA5}"/>
    <cellStyle name="40% - Accent4 3 2 5 2 3" xfId="29494" xr:uid="{E1365927-8CD4-4868-890A-B6C7545FF649}"/>
    <cellStyle name="40% - Accent4 3 2 5 2 4" xfId="21053" xr:uid="{732DBA0F-8F7C-4951-A0B5-6904CDB7C233}"/>
    <cellStyle name="40% - Accent4 3 2 5 2 5" xfId="12612" xr:uid="{55519625-4965-4A4E-89F8-C95F58AFB1FB}"/>
    <cellStyle name="40% - Accent4 3 2 5 3" xfId="6235" xr:uid="{00000000-0005-0000-0000-000003060000}"/>
    <cellStyle name="40% - Accent4 3 2 5 3 2" xfId="31567" xr:uid="{94916803-994B-4CA0-9331-66774FF0ED5D}"/>
    <cellStyle name="40% - Accent4 3 2 5 3 3" xfId="23126" xr:uid="{D733D584-F5A1-4767-B8B9-50379620E623}"/>
    <cellStyle name="40% - Accent4 3 2 5 3 4" xfId="14685" xr:uid="{28745353-4D00-4123-AFC5-9882B2AFE793}"/>
    <cellStyle name="40% - Accent4 3 2 5 4" xfId="27349" xr:uid="{211D71EE-4DCE-48CF-96AC-D69E0904E6F4}"/>
    <cellStyle name="40% - Accent4 3 2 5 5" xfId="18908" xr:uid="{89FDE3B5-2721-47F7-81BD-0D9576CB68ED}"/>
    <cellStyle name="40% - Accent4 3 2 5 6" xfId="10467" xr:uid="{19A70B99-1B8F-4B30-AF46-49BBAE415EF9}"/>
    <cellStyle name="40% - Accent4 3 2 6" xfId="2342" xr:uid="{00000000-0005-0000-0000-000004060000}"/>
    <cellStyle name="40% - Accent4 3 2 6 2" xfId="6648" xr:uid="{00000000-0005-0000-0000-000005060000}"/>
    <cellStyle name="40% - Accent4 3 2 6 2 2" xfId="31980" xr:uid="{A96763CF-FF28-488D-8273-B369F0D4A80A}"/>
    <cellStyle name="40% - Accent4 3 2 6 2 3" xfId="23539" xr:uid="{B7BAF05F-C493-4B64-8227-8870F7435B58}"/>
    <cellStyle name="40% - Accent4 3 2 6 2 4" xfId="15098" xr:uid="{042F1AC7-A28D-43AE-89C8-EFBEEF38A1B3}"/>
    <cellStyle name="40% - Accent4 3 2 6 3" xfId="27762" xr:uid="{FD08AFBE-0803-46F7-82A0-4B4636C61CC8}"/>
    <cellStyle name="40% - Accent4 3 2 6 4" xfId="19321" xr:uid="{F9DF52A1-90B4-4DF6-A604-0AC1DF9804A2}"/>
    <cellStyle name="40% - Accent4 3 2 6 5" xfId="10880" xr:uid="{56B6A350-8713-4036-A077-BE2ECAF54AC4}"/>
    <cellStyle name="40% - Accent4 3 2 7" xfId="4582" xr:uid="{00000000-0005-0000-0000-000006060000}"/>
    <cellStyle name="40% - Accent4 3 2 7 2" xfId="29914" xr:uid="{65FFAC68-6E32-4487-8517-23342EBF5E23}"/>
    <cellStyle name="40% - Accent4 3 2 7 3" xfId="21473" xr:uid="{BBE9ADC0-7773-407F-9A4A-DA6A683A1821}"/>
    <cellStyle name="40% - Accent4 3 2 7 4" xfId="13032" xr:uid="{DC9C8923-28E0-412D-9258-B247875F359B}"/>
    <cellStyle name="40% - Accent4 3 2 8" xfId="25696" xr:uid="{19B0AE13-C972-4A91-B2F4-CE817716BA76}"/>
    <cellStyle name="40% - Accent4 3 2 9" xfId="17255" xr:uid="{A02E1B93-C21B-4EA8-B5D2-B7DBAF9728C1}"/>
    <cellStyle name="40% - Accent4 3 3" xfId="647" xr:uid="{00000000-0005-0000-0000-000007060000}"/>
    <cellStyle name="40% - Accent4 3 3 2" xfId="2918" xr:uid="{00000000-0005-0000-0000-000008060000}"/>
    <cellStyle name="40% - Accent4 3 3 2 2" xfId="7140" xr:uid="{00000000-0005-0000-0000-000009060000}"/>
    <cellStyle name="40% - Accent4 3 3 2 2 2" xfId="32472" xr:uid="{6949D8CA-C95A-4508-ABA2-7889995CA8ED}"/>
    <cellStyle name="40% - Accent4 3 3 2 2 3" xfId="24031" xr:uid="{6D9875D9-3DC9-47D6-BB63-6B8C13C4F3AE}"/>
    <cellStyle name="40% - Accent4 3 3 2 2 4" xfId="15590" xr:uid="{64DE910D-BB2E-4716-AB6B-0AAABC1FDD54}"/>
    <cellStyle name="40% - Accent4 3 3 2 3" xfId="28254" xr:uid="{358415D3-85E9-4CCA-834D-8489F857BE40}"/>
    <cellStyle name="40% - Accent4 3 3 2 4" xfId="19813" xr:uid="{A9A0F383-A9EF-4207-90CA-CA7075F50547}"/>
    <cellStyle name="40% - Accent4 3 3 2 5" xfId="11372" xr:uid="{5F8EDC93-69AF-4B33-98B7-23D37A4555CA}"/>
    <cellStyle name="40% - Accent4 3 3 3" xfId="4995" xr:uid="{00000000-0005-0000-0000-00000A060000}"/>
    <cellStyle name="40% - Accent4 3 3 3 2" xfId="30327" xr:uid="{16EFF473-C5DF-4464-A6BC-494AD42F36B5}"/>
    <cellStyle name="40% - Accent4 3 3 3 3" xfId="21886" xr:uid="{8EBE1FA3-90E5-415D-8B6E-D5BD82636224}"/>
    <cellStyle name="40% - Accent4 3 3 3 4" xfId="13445" xr:uid="{046E8F75-D07E-48C4-8FC1-ADAA59C2CB5D}"/>
    <cellStyle name="40% - Accent4 3 3 4" xfId="26109" xr:uid="{7B13D93C-B1B8-4BF8-B5A6-6AD3128AE6C0}"/>
    <cellStyle name="40% - Accent4 3 3 5" xfId="17668" xr:uid="{05CBA4C7-8B7F-41AB-8FBC-66B2773827E5}"/>
    <cellStyle name="40% - Accent4 3 3 6" xfId="9227" xr:uid="{E426EBA4-3455-46B3-A7BA-B80D04F779FE}"/>
    <cellStyle name="40% - Accent4 3 4" xfId="1100" xr:uid="{00000000-0005-0000-0000-00000B060000}"/>
    <cellStyle name="40% - Accent4 3 4 2" xfId="3331" xr:uid="{00000000-0005-0000-0000-00000C060000}"/>
    <cellStyle name="40% - Accent4 3 4 2 2" xfId="7553" xr:uid="{00000000-0005-0000-0000-00000D060000}"/>
    <cellStyle name="40% - Accent4 3 4 2 2 2" xfId="32885" xr:uid="{BE08CFD9-E4D9-4D61-BD4C-929214FAF799}"/>
    <cellStyle name="40% - Accent4 3 4 2 2 3" xfId="24444" xr:uid="{1745361E-B2E2-48F9-AA7E-3634090E435B}"/>
    <cellStyle name="40% - Accent4 3 4 2 2 4" xfId="16003" xr:uid="{2F964A15-3470-45F7-81A7-57EDD648447B}"/>
    <cellStyle name="40% - Accent4 3 4 2 3" xfId="28667" xr:uid="{EAB05AB8-E948-4A23-9CF8-37C8E8281D3B}"/>
    <cellStyle name="40% - Accent4 3 4 2 4" xfId="20226" xr:uid="{A96D0DDF-64E7-4409-92F5-A3DE25A25772}"/>
    <cellStyle name="40% - Accent4 3 4 2 5" xfId="11785" xr:uid="{BC8B0E2F-DB56-4D91-94A5-3227C429E6E2}"/>
    <cellStyle name="40% - Accent4 3 4 3" xfId="5408" xr:uid="{00000000-0005-0000-0000-00000E060000}"/>
    <cellStyle name="40% - Accent4 3 4 3 2" xfId="30740" xr:uid="{CA13A8BC-3D95-4119-BFAE-791D8806A2A2}"/>
    <cellStyle name="40% - Accent4 3 4 3 3" xfId="22299" xr:uid="{6E860977-7404-48B9-AF40-F14BCE75788B}"/>
    <cellStyle name="40% - Accent4 3 4 3 4" xfId="13858" xr:uid="{85233D08-0C58-47D8-B206-5CCCFF7B0C83}"/>
    <cellStyle name="40% - Accent4 3 4 4" xfId="26522" xr:uid="{06F2E297-DAEC-4BCF-9D64-01C14849A41C}"/>
    <cellStyle name="40% - Accent4 3 4 5" xfId="18081" xr:uid="{D195ABA6-093D-42CC-82E3-CEB007AF9DBB}"/>
    <cellStyle name="40% - Accent4 3 4 6" xfId="9640" xr:uid="{D74943A4-BFA2-4BFD-979D-ECD2EB391982}"/>
    <cellStyle name="40% - Accent4 3 5" xfId="1514" xr:uid="{00000000-0005-0000-0000-00000F060000}"/>
    <cellStyle name="40% - Accent4 3 5 2" xfId="3744" xr:uid="{00000000-0005-0000-0000-000010060000}"/>
    <cellStyle name="40% - Accent4 3 5 2 2" xfId="7966" xr:uid="{00000000-0005-0000-0000-000011060000}"/>
    <cellStyle name="40% - Accent4 3 5 2 2 2" xfId="33298" xr:uid="{7A32E1D9-4527-4883-B813-EC6357F91B1A}"/>
    <cellStyle name="40% - Accent4 3 5 2 2 3" xfId="24857" xr:uid="{F5DB6232-B9A7-482A-9FC0-8CF034F67FEF}"/>
    <cellStyle name="40% - Accent4 3 5 2 2 4" xfId="16416" xr:uid="{80EB3EA2-9614-445C-BFE5-2D45C4DE8AE6}"/>
    <cellStyle name="40% - Accent4 3 5 2 3" xfId="29080" xr:uid="{1086D498-EA4D-4981-98F7-DC9BB83AB944}"/>
    <cellStyle name="40% - Accent4 3 5 2 4" xfId="20639" xr:uid="{425DA244-72C2-4D89-9408-FF6FD69D30EF}"/>
    <cellStyle name="40% - Accent4 3 5 2 5" xfId="12198" xr:uid="{73736D98-209D-4D6F-9E44-420ED8256F65}"/>
    <cellStyle name="40% - Accent4 3 5 3" xfId="5821" xr:uid="{00000000-0005-0000-0000-000012060000}"/>
    <cellStyle name="40% - Accent4 3 5 3 2" xfId="31153" xr:uid="{E959D365-D7F9-4EA5-A9C9-FB2F376FF048}"/>
    <cellStyle name="40% - Accent4 3 5 3 3" xfId="22712" xr:uid="{A90AADF0-2BF9-43AD-ABDD-0E2813BABAD8}"/>
    <cellStyle name="40% - Accent4 3 5 3 4" xfId="14271" xr:uid="{472991FB-8E6A-40D9-B0ED-190E2B1D7254}"/>
    <cellStyle name="40% - Accent4 3 5 4" xfId="26935" xr:uid="{2246ACDB-7739-42E1-86F3-1A0B475A93C9}"/>
    <cellStyle name="40% - Accent4 3 5 5" xfId="18494" xr:uid="{9EFACE25-B411-4481-BB58-8FDF5F277234}"/>
    <cellStyle name="40% - Accent4 3 5 6" xfId="10053" xr:uid="{81C7C55F-1378-43E6-9A11-DAA2DBBA4251}"/>
    <cellStyle name="40% - Accent4 3 6" xfId="1928" xr:uid="{00000000-0005-0000-0000-000013060000}"/>
    <cellStyle name="40% - Accent4 3 6 2" xfId="4157" xr:uid="{00000000-0005-0000-0000-000014060000}"/>
    <cellStyle name="40% - Accent4 3 6 2 2" xfId="8379" xr:uid="{00000000-0005-0000-0000-000015060000}"/>
    <cellStyle name="40% - Accent4 3 6 2 2 2" xfId="33711" xr:uid="{50AA31CE-2E36-423A-A742-1FD5FD04D47D}"/>
    <cellStyle name="40% - Accent4 3 6 2 2 3" xfId="25270" xr:uid="{BA03662A-2A2D-43F0-954D-4291FCC72E41}"/>
    <cellStyle name="40% - Accent4 3 6 2 2 4" xfId="16829" xr:uid="{F3ACB972-E3C4-4152-8FC5-DD9117DFB29C}"/>
    <cellStyle name="40% - Accent4 3 6 2 3" xfId="29493" xr:uid="{C35396DA-05C7-434F-8D3B-1C3AFA17D4B1}"/>
    <cellStyle name="40% - Accent4 3 6 2 4" xfId="21052" xr:uid="{637FC283-E6BB-477F-8959-6A16D267EB0C}"/>
    <cellStyle name="40% - Accent4 3 6 2 5" xfId="12611" xr:uid="{19908D5E-8FA2-4B18-B334-FD3B320D46B6}"/>
    <cellStyle name="40% - Accent4 3 6 3" xfId="6234" xr:uid="{00000000-0005-0000-0000-000016060000}"/>
    <cellStyle name="40% - Accent4 3 6 3 2" xfId="31566" xr:uid="{AD64A715-4825-49C3-9661-A862257861FF}"/>
    <cellStyle name="40% - Accent4 3 6 3 3" xfId="23125" xr:uid="{ED7F0B4B-452A-4EBC-A53D-2BF5075C7678}"/>
    <cellStyle name="40% - Accent4 3 6 3 4" xfId="14684" xr:uid="{459413E7-5931-4010-983A-C54D07B30FBC}"/>
    <cellStyle name="40% - Accent4 3 6 4" xfId="27348" xr:uid="{51B00C4B-CF97-4F57-9117-140BE91112A0}"/>
    <cellStyle name="40% - Accent4 3 6 5" xfId="18907" xr:uid="{97D2D799-DB1D-4445-9539-66E59FDA0CD6}"/>
    <cellStyle name="40% - Accent4 3 6 6" xfId="10466" xr:uid="{F7279C26-7B06-4B85-89A0-0F3D84560B2E}"/>
    <cellStyle name="40% - Accent4 3 7" xfId="2341" xr:uid="{00000000-0005-0000-0000-000017060000}"/>
    <cellStyle name="40% - Accent4 3 7 2" xfId="6647" xr:uid="{00000000-0005-0000-0000-000018060000}"/>
    <cellStyle name="40% - Accent4 3 7 2 2" xfId="31979" xr:uid="{8CB82550-EC40-4E00-94AD-E90E0BBE0FFA}"/>
    <cellStyle name="40% - Accent4 3 7 2 3" xfId="23538" xr:uid="{8555D3B6-2263-4EAF-AEF3-050456D8EB3E}"/>
    <cellStyle name="40% - Accent4 3 7 2 4" xfId="15097" xr:uid="{6B3D06E5-F91B-4BDF-AFB6-7F0766DE0AC3}"/>
    <cellStyle name="40% - Accent4 3 7 3" xfId="27761" xr:uid="{4D5E7CF9-326F-4A18-9F53-4972BF3D1E9C}"/>
    <cellStyle name="40% - Accent4 3 7 4" xfId="19320" xr:uid="{C5543220-7150-4E3D-8519-875500658846}"/>
    <cellStyle name="40% - Accent4 3 7 5" xfId="10879" xr:uid="{0A55E6BE-3FB0-4580-9826-D96E643DEA3C}"/>
    <cellStyle name="40% - Accent4 3 8" xfId="4581" xr:uid="{00000000-0005-0000-0000-000019060000}"/>
    <cellStyle name="40% - Accent4 3 8 2" xfId="29913" xr:uid="{AD12E828-5003-4927-B8B2-B89A9D03FAE8}"/>
    <cellStyle name="40% - Accent4 3 8 3" xfId="21472" xr:uid="{EAC6BF67-0563-4CDE-A368-062FAC1C1FDB}"/>
    <cellStyle name="40% - Accent4 3 8 4" xfId="13031" xr:uid="{1E2941D4-EBFE-499C-A915-C28C80BEE06A}"/>
    <cellStyle name="40% - Accent4 3 9" xfId="25695" xr:uid="{6D56E680-E049-4A13-A412-92D2826A79C4}"/>
    <cellStyle name="40% - Accent4 4" xfId="80" xr:uid="{00000000-0005-0000-0000-00001A060000}"/>
    <cellStyle name="40% - Accent4 4 10" xfId="8815" xr:uid="{4400DD00-3E2F-4FBF-A461-B892BC3F0188}"/>
    <cellStyle name="40% - Accent4 4 2" xfId="649" xr:uid="{00000000-0005-0000-0000-00001B060000}"/>
    <cellStyle name="40% - Accent4 4 2 2" xfId="2920" xr:uid="{00000000-0005-0000-0000-00001C060000}"/>
    <cellStyle name="40% - Accent4 4 2 2 2" xfId="7142" xr:uid="{00000000-0005-0000-0000-00001D060000}"/>
    <cellStyle name="40% - Accent4 4 2 2 2 2" xfId="32474" xr:uid="{76581ADF-AC18-44AD-A915-0ABBD9ABE3CD}"/>
    <cellStyle name="40% - Accent4 4 2 2 2 3" xfId="24033" xr:uid="{EEBA2CA4-01C4-457A-A5D7-AC78D1FCECA2}"/>
    <cellStyle name="40% - Accent4 4 2 2 2 4" xfId="15592" xr:uid="{E1A2D6B4-0693-4E77-A94F-49B78E383806}"/>
    <cellStyle name="40% - Accent4 4 2 2 3" xfId="28256" xr:uid="{5CB56921-E495-439C-8FCF-968524DA96CD}"/>
    <cellStyle name="40% - Accent4 4 2 2 4" xfId="19815" xr:uid="{4ADCCB2A-281D-40D4-BC35-C09443F84CE3}"/>
    <cellStyle name="40% - Accent4 4 2 2 5" xfId="11374" xr:uid="{2B00B6A2-007A-4FDA-B42A-4628ED17CFCC}"/>
    <cellStyle name="40% - Accent4 4 2 3" xfId="4997" xr:uid="{00000000-0005-0000-0000-00001E060000}"/>
    <cellStyle name="40% - Accent4 4 2 3 2" xfId="30329" xr:uid="{894CEE09-823F-490E-AF8C-720F2C3F3B07}"/>
    <cellStyle name="40% - Accent4 4 2 3 3" xfId="21888" xr:uid="{35964E02-8A7A-4FD2-AFCC-8A0CDF36C6AC}"/>
    <cellStyle name="40% - Accent4 4 2 3 4" xfId="13447" xr:uid="{0B77F7E1-2AEA-453E-A82F-9A96DA1DF080}"/>
    <cellStyle name="40% - Accent4 4 2 4" xfId="26111" xr:uid="{82B87BF9-9184-4DF0-8CCF-ACA363F8AE22}"/>
    <cellStyle name="40% - Accent4 4 2 5" xfId="17670" xr:uid="{983643BB-B4CE-4D12-BD5E-B0784FEA3E04}"/>
    <cellStyle name="40% - Accent4 4 2 6" xfId="9229" xr:uid="{9B0E1F83-777E-42AB-A792-414046141C75}"/>
    <cellStyle name="40% - Accent4 4 3" xfId="1102" xr:uid="{00000000-0005-0000-0000-00001F060000}"/>
    <cellStyle name="40% - Accent4 4 3 2" xfId="3333" xr:uid="{00000000-0005-0000-0000-000020060000}"/>
    <cellStyle name="40% - Accent4 4 3 2 2" xfId="7555" xr:uid="{00000000-0005-0000-0000-000021060000}"/>
    <cellStyle name="40% - Accent4 4 3 2 2 2" xfId="32887" xr:uid="{A464F75A-5234-4CE9-87A9-6FD8B60B1681}"/>
    <cellStyle name="40% - Accent4 4 3 2 2 3" xfId="24446" xr:uid="{FA6A5FA1-0C1E-4A61-AE94-9E70A45E575E}"/>
    <cellStyle name="40% - Accent4 4 3 2 2 4" xfId="16005" xr:uid="{0A3C49DF-6017-4116-9A23-0DFD32CF91FD}"/>
    <cellStyle name="40% - Accent4 4 3 2 3" xfId="28669" xr:uid="{232BDDC4-3279-43A2-89DE-F6AD5C616D20}"/>
    <cellStyle name="40% - Accent4 4 3 2 4" xfId="20228" xr:uid="{C9FB19F0-A4A8-44CF-8D78-895C7718C4F3}"/>
    <cellStyle name="40% - Accent4 4 3 2 5" xfId="11787" xr:uid="{0AA79C4C-1240-4B8D-801A-49CFE11244F4}"/>
    <cellStyle name="40% - Accent4 4 3 3" xfId="5410" xr:uid="{00000000-0005-0000-0000-000022060000}"/>
    <cellStyle name="40% - Accent4 4 3 3 2" xfId="30742" xr:uid="{FAFC8D6C-E48C-4978-98B0-767576DE704F}"/>
    <cellStyle name="40% - Accent4 4 3 3 3" xfId="22301" xr:uid="{EA1A3403-EAC0-4BCC-80E6-B4AD8FFD1011}"/>
    <cellStyle name="40% - Accent4 4 3 3 4" xfId="13860" xr:uid="{3A9BC089-AE15-4FFD-9161-012E76E2F694}"/>
    <cellStyle name="40% - Accent4 4 3 4" xfId="26524" xr:uid="{EA5BA50D-EDA0-4C75-96BC-7E9491C3A6AC}"/>
    <cellStyle name="40% - Accent4 4 3 5" xfId="18083" xr:uid="{529FB884-CE62-4C9D-9D2C-F4AE8F461F14}"/>
    <cellStyle name="40% - Accent4 4 3 6" xfId="9642" xr:uid="{B3E92C8D-D1FB-47F0-B5EC-535202972E23}"/>
    <cellStyle name="40% - Accent4 4 4" xfId="1516" xr:uid="{00000000-0005-0000-0000-000023060000}"/>
    <cellStyle name="40% - Accent4 4 4 2" xfId="3746" xr:uid="{00000000-0005-0000-0000-000024060000}"/>
    <cellStyle name="40% - Accent4 4 4 2 2" xfId="7968" xr:uid="{00000000-0005-0000-0000-000025060000}"/>
    <cellStyle name="40% - Accent4 4 4 2 2 2" xfId="33300" xr:uid="{322B3114-C845-4B03-B4B1-19E9338BBF63}"/>
    <cellStyle name="40% - Accent4 4 4 2 2 3" xfId="24859" xr:uid="{C535A662-875A-4477-B4CE-D044748E6D4F}"/>
    <cellStyle name="40% - Accent4 4 4 2 2 4" xfId="16418" xr:uid="{48439966-E50C-4BD0-AA87-1F3834D249FC}"/>
    <cellStyle name="40% - Accent4 4 4 2 3" xfId="29082" xr:uid="{A3B33A97-7FAB-46F8-B002-B9068558A7C3}"/>
    <cellStyle name="40% - Accent4 4 4 2 4" xfId="20641" xr:uid="{FC922F26-598B-4532-AAC9-5258405F99FB}"/>
    <cellStyle name="40% - Accent4 4 4 2 5" xfId="12200" xr:uid="{1A4B4446-0320-4BDB-BA1D-D4BE1CF5CAEB}"/>
    <cellStyle name="40% - Accent4 4 4 3" xfId="5823" xr:uid="{00000000-0005-0000-0000-000026060000}"/>
    <cellStyle name="40% - Accent4 4 4 3 2" xfId="31155" xr:uid="{DC5819A1-A950-4DFB-BFFB-60A28AC53E52}"/>
    <cellStyle name="40% - Accent4 4 4 3 3" xfId="22714" xr:uid="{BB8D7599-987C-4854-871E-42DF300250BE}"/>
    <cellStyle name="40% - Accent4 4 4 3 4" xfId="14273" xr:uid="{1ADBECBA-5996-4493-BB3F-77A76428E59D}"/>
    <cellStyle name="40% - Accent4 4 4 4" xfId="26937" xr:uid="{2EB55468-2ECC-45B7-8342-0BE50BD25AE5}"/>
    <cellStyle name="40% - Accent4 4 4 5" xfId="18496" xr:uid="{753B7F2D-5A6F-41EE-9605-15667AC180C6}"/>
    <cellStyle name="40% - Accent4 4 4 6" xfId="10055" xr:uid="{26BB4F34-761C-48B7-A9E4-3F43A11978D5}"/>
    <cellStyle name="40% - Accent4 4 5" xfId="1930" xr:uid="{00000000-0005-0000-0000-000027060000}"/>
    <cellStyle name="40% - Accent4 4 5 2" xfId="4159" xr:uid="{00000000-0005-0000-0000-000028060000}"/>
    <cellStyle name="40% - Accent4 4 5 2 2" xfId="8381" xr:uid="{00000000-0005-0000-0000-000029060000}"/>
    <cellStyle name="40% - Accent4 4 5 2 2 2" xfId="33713" xr:uid="{D6134255-7AEF-40DD-A5C4-2FC58E5B1551}"/>
    <cellStyle name="40% - Accent4 4 5 2 2 3" xfId="25272" xr:uid="{912C1808-FA71-4501-B7E0-0AE8B2843BBB}"/>
    <cellStyle name="40% - Accent4 4 5 2 2 4" xfId="16831" xr:uid="{BB147BAA-564C-4334-AE04-AC0009AFBBDC}"/>
    <cellStyle name="40% - Accent4 4 5 2 3" xfId="29495" xr:uid="{AC05BE6A-C776-4B69-8214-EB30EE89C059}"/>
    <cellStyle name="40% - Accent4 4 5 2 4" xfId="21054" xr:uid="{5351D502-E070-42E8-9101-1FDA36312BEE}"/>
    <cellStyle name="40% - Accent4 4 5 2 5" xfId="12613" xr:uid="{53B2DADF-880A-4B76-AAF9-E891873CEBB1}"/>
    <cellStyle name="40% - Accent4 4 5 3" xfId="6236" xr:uid="{00000000-0005-0000-0000-00002A060000}"/>
    <cellStyle name="40% - Accent4 4 5 3 2" xfId="31568" xr:uid="{D3AC31CE-B85C-45B9-8B50-DAEE1218BF03}"/>
    <cellStyle name="40% - Accent4 4 5 3 3" xfId="23127" xr:uid="{B182D407-CA7B-4FCB-AD91-EFFDFBCB599E}"/>
    <cellStyle name="40% - Accent4 4 5 3 4" xfId="14686" xr:uid="{850790FE-303D-48B5-B52B-97A23B631150}"/>
    <cellStyle name="40% - Accent4 4 5 4" xfId="27350" xr:uid="{406D2006-8EEC-471D-8CD3-341CC9F2870B}"/>
    <cellStyle name="40% - Accent4 4 5 5" xfId="18909" xr:uid="{4A0B4ED5-492E-46EE-A51C-D4FC72D8E608}"/>
    <cellStyle name="40% - Accent4 4 5 6" xfId="10468" xr:uid="{FF4A75ED-DB81-49E5-932B-1BFBD5D12AD9}"/>
    <cellStyle name="40% - Accent4 4 6" xfId="2343" xr:uid="{00000000-0005-0000-0000-00002B060000}"/>
    <cellStyle name="40% - Accent4 4 6 2" xfId="6649" xr:uid="{00000000-0005-0000-0000-00002C060000}"/>
    <cellStyle name="40% - Accent4 4 6 2 2" xfId="31981" xr:uid="{5BB4ED16-00E2-46A6-9C8B-B00500035B56}"/>
    <cellStyle name="40% - Accent4 4 6 2 3" xfId="23540" xr:uid="{CF0C3C67-59F4-4E70-A13C-678B295DE049}"/>
    <cellStyle name="40% - Accent4 4 6 2 4" xfId="15099" xr:uid="{2C58FDB1-22C5-42D4-9ED4-8E82083D4E78}"/>
    <cellStyle name="40% - Accent4 4 6 3" xfId="27763" xr:uid="{708F059E-4D4E-4D04-AB66-69936D4992B3}"/>
    <cellStyle name="40% - Accent4 4 6 4" xfId="19322" xr:uid="{4E748348-2B73-4652-B466-42221D878636}"/>
    <cellStyle name="40% - Accent4 4 6 5" xfId="10881" xr:uid="{BA74BB39-BF74-445E-B8E6-28C0267B0B5B}"/>
    <cellStyle name="40% - Accent4 4 7" xfId="4583" xr:uid="{00000000-0005-0000-0000-00002D060000}"/>
    <cellStyle name="40% - Accent4 4 7 2" xfId="29915" xr:uid="{B0B9015C-0525-462E-81E2-BD04CFF689A4}"/>
    <cellStyle name="40% - Accent4 4 7 3" xfId="21474" xr:uid="{90FEBE39-816F-4F8D-8439-BD0994D5280E}"/>
    <cellStyle name="40% - Accent4 4 7 4" xfId="13033" xr:uid="{72617852-1900-4913-A2E9-35385A862877}"/>
    <cellStyle name="40% - Accent4 4 8" xfId="25697" xr:uid="{A15D7789-22BB-4731-967E-74209A7E3FC7}"/>
    <cellStyle name="40% - Accent4 4 9" xfId="17256" xr:uid="{A23A2CF5-81CA-4827-B7C5-8224C13A121D}"/>
    <cellStyle name="40% - Accent4 5" xfId="642" xr:uid="{00000000-0005-0000-0000-00002E060000}"/>
    <cellStyle name="40% - Accent4 5 2" xfId="2913" xr:uid="{00000000-0005-0000-0000-00002F060000}"/>
    <cellStyle name="40% - Accent4 5 2 2" xfId="7135" xr:uid="{00000000-0005-0000-0000-000030060000}"/>
    <cellStyle name="40% - Accent4 5 2 2 2" xfId="32467" xr:uid="{A5032802-1BBD-4AA2-8F6D-7D163A3E5D22}"/>
    <cellStyle name="40% - Accent4 5 2 2 3" xfId="24026" xr:uid="{62F92FA0-42D2-429B-80D4-9E95A1B04586}"/>
    <cellStyle name="40% - Accent4 5 2 2 4" xfId="15585" xr:uid="{EF42D59C-4E98-41C6-9F14-2AFAC2B5B3E5}"/>
    <cellStyle name="40% - Accent4 5 2 3" xfId="28249" xr:uid="{B1E77106-585B-443A-8A46-AFB76AA61155}"/>
    <cellStyle name="40% - Accent4 5 2 4" xfId="19808" xr:uid="{FCEB5417-32C5-4EA5-AC86-63541E151436}"/>
    <cellStyle name="40% - Accent4 5 2 5" xfId="11367" xr:uid="{6FE00367-01F7-4A6B-922F-37F04827DB3F}"/>
    <cellStyle name="40% - Accent4 5 3" xfId="4990" xr:uid="{00000000-0005-0000-0000-000031060000}"/>
    <cellStyle name="40% - Accent4 5 3 2" xfId="30322" xr:uid="{8F0ADD30-2FC7-42DF-9197-482EADD23CF6}"/>
    <cellStyle name="40% - Accent4 5 3 3" xfId="21881" xr:uid="{0435198D-32CF-4B65-8726-DF59C626F135}"/>
    <cellStyle name="40% - Accent4 5 3 4" xfId="13440" xr:uid="{4AA292DD-4CF9-47E6-A426-F86303C32512}"/>
    <cellStyle name="40% - Accent4 5 4" xfId="26104" xr:uid="{043815C7-115F-4B94-B821-0C490971B74D}"/>
    <cellStyle name="40% - Accent4 5 5" xfId="17663" xr:uid="{4E5C9575-859C-454F-890A-25EEBFB1231F}"/>
    <cellStyle name="40% - Accent4 5 6" xfId="9222" xr:uid="{75EB7286-F88B-4658-A399-31FEDB0BE282}"/>
    <cellStyle name="40% - Accent4 6" xfId="1095" xr:uid="{00000000-0005-0000-0000-000032060000}"/>
    <cellStyle name="40% - Accent4 6 2" xfId="3326" xr:uid="{00000000-0005-0000-0000-000033060000}"/>
    <cellStyle name="40% - Accent4 6 2 2" xfId="7548" xr:uid="{00000000-0005-0000-0000-000034060000}"/>
    <cellStyle name="40% - Accent4 6 2 2 2" xfId="32880" xr:uid="{8569868E-677A-4009-9299-549A7D12D1A5}"/>
    <cellStyle name="40% - Accent4 6 2 2 3" xfId="24439" xr:uid="{BBBAA555-657A-4545-AC90-E4483E4F268A}"/>
    <cellStyle name="40% - Accent4 6 2 2 4" xfId="15998" xr:uid="{78B4263C-B84D-447A-84DA-B5E6E24BA5D4}"/>
    <cellStyle name="40% - Accent4 6 2 3" xfId="28662" xr:uid="{53276522-1D16-45EB-BA9F-70CE8A91541E}"/>
    <cellStyle name="40% - Accent4 6 2 4" xfId="20221" xr:uid="{5D294592-38B4-424E-9AE6-4358264BACC2}"/>
    <cellStyle name="40% - Accent4 6 2 5" xfId="11780" xr:uid="{A057371D-C3FB-40F1-AA69-C71D225DF34D}"/>
    <cellStyle name="40% - Accent4 6 3" xfId="5403" xr:uid="{00000000-0005-0000-0000-000035060000}"/>
    <cellStyle name="40% - Accent4 6 3 2" xfId="30735" xr:uid="{C582862E-FA72-4B40-AB01-6C4DECF014F0}"/>
    <cellStyle name="40% - Accent4 6 3 3" xfId="22294" xr:uid="{7BCCFAFB-5929-47DE-A922-D37F511970B9}"/>
    <cellStyle name="40% - Accent4 6 3 4" xfId="13853" xr:uid="{60996995-494A-4D2B-961A-01496CE4C7C6}"/>
    <cellStyle name="40% - Accent4 6 4" xfId="26517" xr:uid="{BF972F69-4E19-4375-91ED-6739CCE46C29}"/>
    <cellStyle name="40% - Accent4 6 5" xfId="18076" xr:uid="{B6781BBE-6F0F-4C30-89E1-2EAD70BF1EB5}"/>
    <cellStyle name="40% - Accent4 6 6" xfId="9635" xr:uid="{98848B2B-F444-4D70-9D5D-9BD8C7FDAD81}"/>
    <cellStyle name="40% - Accent4 7" xfId="1509" xr:uid="{00000000-0005-0000-0000-000036060000}"/>
    <cellStyle name="40% - Accent4 7 2" xfId="3739" xr:uid="{00000000-0005-0000-0000-000037060000}"/>
    <cellStyle name="40% - Accent4 7 2 2" xfId="7961" xr:uid="{00000000-0005-0000-0000-000038060000}"/>
    <cellStyle name="40% - Accent4 7 2 2 2" xfId="33293" xr:uid="{CC51EBE6-6DAC-431E-8F40-EDBE66DD5DB2}"/>
    <cellStyle name="40% - Accent4 7 2 2 3" xfId="24852" xr:uid="{D0637958-0ED3-423F-B076-C72D692C4757}"/>
    <cellStyle name="40% - Accent4 7 2 2 4" xfId="16411" xr:uid="{EAEA2807-4C84-4BDE-A0D6-63F4EFB93491}"/>
    <cellStyle name="40% - Accent4 7 2 3" xfId="29075" xr:uid="{24A6DD05-6422-476E-BC32-05E4BEDA714A}"/>
    <cellStyle name="40% - Accent4 7 2 4" xfId="20634" xr:uid="{AA891119-5AF9-40E7-9EC5-D8BF610D91A7}"/>
    <cellStyle name="40% - Accent4 7 2 5" xfId="12193" xr:uid="{BDA1020F-F9D9-4C96-818A-E7299545FF6A}"/>
    <cellStyle name="40% - Accent4 7 3" xfId="5816" xr:uid="{00000000-0005-0000-0000-000039060000}"/>
    <cellStyle name="40% - Accent4 7 3 2" xfId="31148" xr:uid="{3B3F899D-8159-472F-B143-8EC58CB37FAA}"/>
    <cellStyle name="40% - Accent4 7 3 3" xfId="22707" xr:uid="{16F5BB2D-2163-4DAD-AD5A-BD331541C1D3}"/>
    <cellStyle name="40% - Accent4 7 3 4" xfId="14266" xr:uid="{C1A926AA-C616-4321-AB4B-1B903E299299}"/>
    <cellStyle name="40% - Accent4 7 4" xfId="26930" xr:uid="{275383E6-33D2-4BF8-B018-074BD83ECED6}"/>
    <cellStyle name="40% - Accent4 7 5" xfId="18489" xr:uid="{D35F9A78-4DA3-4231-8110-E15B425FF0BE}"/>
    <cellStyle name="40% - Accent4 7 6" xfId="10048" xr:uid="{151EC603-9461-4DCE-81F8-25E9650874F7}"/>
    <cellStyle name="40% - Accent4 8" xfId="1923" xr:uid="{00000000-0005-0000-0000-00003A060000}"/>
    <cellStyle name="40% - Accent4 8 2" xfId="4152" xr:uid="{00000000-0005-0000-0000-00003B060000}"/>
    <cellStyle name="40% - Accent4 8 2 2" xfId="8374" xr:uid="{00000000-0005-0000-0000-00003C060000}"/>
    <cellStyle name="40% - Accent4 8 2 2 2" xfId="33706" xr:uid="{5E626D8C-C028-4078-B3B8-C5E240757890}"/>
    <cellStyle name="40% - Accent4 8 2 2 3" xfId="25265" xr:uid="{DBF52F23-9980-44CD-A729-BC83955D8FD9}"/>
    <cellStyle name="40% - Accent4 8 2 2 4" xfId="16824" xr:uid="{2B59F9CF-7CB7-421B-80A6-334C338DB2AD}"/>
    <cellStyle name="40% - Accent4 8 2 3" xfId="29488" xr:uid="{5DE47E08-DE66-4968-9E4F-337935A7978D}"/>
    <cellStyle name="40% - Accent4 8 2 4" xfId="21047" xr:uid="{E9C24BCF-FD4D-4476-A8AC-EEB3AD31D11C}"/>
    <cellStyle name="40% - Accent4 8 2 5" xfId="12606" xr:uid="{E5CE75A0-72CC-4D3B-9DBD-2426E542FD41}"/>
    <cellStyle name="40% - Accent4 8 3" xfId="6229" xr:uid="{00000000-0005-0000-0000-00003D060000}"/>
    <cellStyle name="40% - Accent4 8 3 2" xfId="31561" xr:uid="{23D11120-8D36-45C8-9A57-4E3C64BAC20E}"/>
    <cellStyle name="40% - Accent4 8 3 3" xfId="23120" xr:uid="{E90C0417-CAC3-41C2-99EA-22B259947641}"/>
    <cellStyle name="40% - Accent4 8 3 4" xfId="14679" xr:uid="{436399D7-A7E3-42F3-AAA2-0241E73FB913}"/>
    <cellStyle name="40% - Accent4 8 4" xfId="27343" xr:uid="{BBB33DA7-A7DA-4CB5-B6EA-445EED110E9F}"/>
    <cellStyle name="40% - Accent4 8 5" xfId="18902" xr:uid="{EC7363A8-23C1-4586-80A2-9FC435D05BC2}"/>
    <cellStyle name="40% - Accent4 8 6" xfId="10461" xr:uid="{BDAC6362-D6E6-4FEF-89EE-1D16B094C65A}"/>
    <cellStyle name="40% - Accent4 9" xfId="2336" xr:uid="{00000000-0005-0000-0000-00003E060000}"/>
    <cellStyle name="40% - Accent4 9 2" xfId="6642" xr:uid="{00000000-0005-0000-0000-00003F060000}"/>
    <cellStyle name="40% - Accent4 9 2 2" xfId="31974" xr:uid="{1AE472B6-784C-4C4C-9CF8-CB1450CF7AAC}"/>
    <cellStyle name="40% - Accent4 9 2 3" xfId="23533" xr:uid="{F7BE748B-22A0-4063-A31B-EB79EE686856}"/>
    <cellStyle name="40% - Accent4 9 2 4" xfId="15092" xr:uid="{C7EAD285-643D-4121-A21D-3D7A7A9D4F04}"/>
    <cellStyle name="40% - Accent4 9 3" xfId="27756" xr:uid="{5B431F0C-E5B4-46C6-B5F7-525B0E699896}"/>
    <cellStyle name="40% - Accent4 9 4" xfId="19315" xr:uid="{CCA3B2EC-186B-4E83-9E66-0BD4F762F2E2}"/>
    <cellStyle name="40% - Accent4 9 5" xfId="10874" xr:uid="{0F061392-3E9B-4CDF-9955-A54353C5A21E}"/>
    <cellStyle name="40% - Accent5" xfId="81" builtinId="47" customBuiltin="1"/>
    <cellStyle name="40% - Accent5 10" xfId="4584" xr:uid="{00000000-0005-0000-0000-000041060000}"/>
    <cellStyle name="40% - Accent5 10 2" xfId="29916" xr:uid="{86B6EF0E-2A5F-4F3C-9657-9FEE78142617}"/>
    <cellStyle name="40% - Accent5 10 3" xfId="21475" xr:uid="{09E55066-20D0-4665-9EC9-198041951A0F}"/>
    <cellStyle name="40% - Accent5 10 4" xfId="13034" xr:uid="{0AA460F4-6ADF-447E-A16A-800D24E488EA}"/>
    <cellStyle name="40% - Accent5 11" xfId="25698" xr:uid="{42D69461-A46E-425C-A487-00F74D2D6B42}"/>
    <cellStyle name="40% - Accent5 12" xfId="17257" xr:uid="{CAE2B4EB-BA63-428C-A5FF-F8F7789B2F67}"/>
    <cellStyle name="40% - Accent5 13" xfId="8816" xr:uid="{B574D2FA-FF06-47B1-95DD-D64244002A58}"/>
    <cellStyle name="40% - Accent5 2" xfId="82" xr:uid="{00000000-0005-0000-0000-000042060000}"/>
    <cellStyle name="40% - Accent5 2 10" xfId="25699" xr:uid="{AEB26CA9-14A4-48EC-A366-9F428F254EDF}"/>
    <cellStyle name="40% - Accent5 2 11" xfId="17258" xr:uid="{A6317EFE-8BB7-4F15-ADEB-92CF83EDF314}"/>
    <cellStyle name="40% - Accent5 2 12" xfId="8817" xr:uid="{38892EEB-DBD2-4E56-A3E3-1632F752F5AF}"/>
    <cellStyle name="40% - Accent5 2 2" xfId="83" xr:uid="{00000000-0005-0000-0000-000043060000}"/>
    <cellStyle name="40% - Accent5 2 2 10" xfId="17259" xr:uid="{8434B469-658F-49C8-9BD5-D63C2CF052D5}"/>
    <cellStyle name="40% - Accent5 2 2 11" xfId="8818" xr:uid="{5A1D43AE-854F-4370-98F2-979A8AE5CC37}"/>
    <cellStyle name="40% - Accent5 2 2 2" xfId="84" xr:uid="{00000000-0005-0000-0000-000044060000}"/>
    <cellStyle name="40% - Accent5 2 2 2 10" xfId="8819" xr:uid="{24A39AFA-FE5D-4B43-B6FE-7BB608B9E0F6}"/>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2 2 2" xfId="32478" xr:uid="{CB6A87D9-3069-499B-B97B-FB5EDD134E76}"/>
    <cellStyle name="40% - Accent5 2 2 2 2 2 2 3" xfId="24037" xr:uid="{8723F723-ECB7-4E60-93FE-FC4F3F3999D2}"/>
    <cellStyle name="40% - Accent5 2 2 2 2 2 2 4" xfId="15596" xr:uid="{89819777-70C3-4651-9276-2E97FDC957E5}"/>
    <cellStyle name="40% - Accent5 2 2 2 2 2 3" xfId="28260" xr:uid="{3345EBA6-E614-4EB0-AC9E-3EE2AE5D812B}"/>
    <cellStyle name="40% - Accent5 2 2 2 2 2 4" xfId="19819" xr:uid="{11DCEA55-83B0-407B-B080-DBF7C8A86A74}"/>
    <cellStyle name="40% - Accent5 2 2 2 2 2 5" xfId="11378" xr:uid="{C62DD351-904F-4FC8-A819-E86C90ADC379}"/>
    <cellStyle name="40% - Accent5 2 2 2 2 3" xfId="5001" xr:uid="{00000000-0005-0000-0000-000048060000}"/>
    <cellStyle name="40% - Accent5 2 2 2 2 3 2" xfId="30333" xr:uid="{CCCE9D45-92A7-4609-98FD-5A656ED6AA6E}"/>
    <cellStyle name="40% - Accent5 2 2 2 2 3 3" xfId="21892" xr:uid="{EB1E5C09-E6DE-4999-B132-7A6A19830A91}"/>
    <cellStyle name="40% - Accent5 2 2 2 2 3 4" xfId="13451" xr:uid="{E6B2D9C0-4F16-4288-A210-6496A0804017}"/>
    <cellStyle name="40% - Accent5 2 2 2 2 4" xfId="26115" xr:uid="{A894E8D5-0072-4DB5-A130-7E3DCA5BD9B6}"/>
    <cellStyle name="40% - Accent5 2 2 2 2 5" xfId="17674" xr:uid="{DC5C11EA-E65B-497D-A350-B324BBE03245}"/>
    <cellStyle name="40% - Accent5 2 2 2 2 6" xfId="9233" xr:uid="{69FAEEF2-637E-406E-B322-3D4EA00A0D7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2 2 2" xfId="32891" xr:uid="{AA793290-0CD6-48A9-9215-0A24B477A069}"/>
    <cellStyle name="40% - Accent5 2 2 2 3 2 2 3" xfId="24450" xr:uid="{466B91ED-2BB4-45B9-9FFE-3790DC0FFD37}"/>
    <cellStyle name="40% - Accent5 2 2 2 3 2 2 4" xfId="16009" xr:uid="{6FDACA64-E29D-41A0-BC30-A3A1151F0B3F}"/>
    <cellStyle name="40% - Accent5 2 2 2 3 2 3" xfId="28673" xr:uid="{929C47EB-4B84-48C7-8272-448B4EBEBCBA}"/>
    <cellStyle name="40% - Accent5 2 2 2 3 2 4" xfId="20232" xr:uid="{D58E4B4D-006A-4F91-98F3-3A2F4A0796B0}"/>
    <cellStyle name="40% - Accent5 2 2 2 3 2 5" xfId="11791" xr:uid="{00466380-2571-4373-85E5-88A87DAB7E85}"/>
    <cellStyle name="40% - Accent5 2 2 2 3 3" xfId="5414" xr:uid="{00000000-0005-0000-0000-00004C060000}"/>
    <cellStyle name="40% - Accent5 2 2 2 3 3 2" xfId="30746" xr:uid="{FA361287-63BB-432B-89C8-BA4A2DD39CB2}"/>
    <cellStyle name="40% - Accent5 2 2 2 3 3 3" xfId="22305" xr:uid="{05F49E7C-27D7-42CC-A9EC-EE164E0D25F2}"/>
    <cellStyle name="40% - Accent5 2 2 2 3 3 4" xfId="13864" xr:uid="{AE9841FA-EDDF-4EE0-B21C-5655FD2CE1FD}"/>
    <cellStyle name="40% - Accent5 2 2 2 3 4" xfId="26528" xr:uid="{74057351-2B30-4C67-B1FF-C005F9C516FD}"/>
    <cellStyle name="40% - Accent5 2 2 2 3 5" xfId="18087" xr:uid="{C96808BA-C01F-4B2B-B107-5CD5120D1C91}"/>
    <cellStyle name="40% - Accent5 2 2 2 3 6" xfId="9646" xr:uid="{60B2E774-1A6A-4994-9DC5-83EDB6980C99}"/>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2 2 2" xfId="33304" xr:uid="{FB388F67-7DE3-4DB7-B6FB-58D8F5F99D07}"/>
    <cellStyle name="40% - Accent5 2 2 2 4 2 2 3" xfId="24863" xr:uid="{9F9FC7EB-DA12-4E6D-8974-BF28315723E0}"/>
    <cellStyle name="40% - Accent5 2 2 2 4 2 2 4" xfId="16422" xr:uid="{28F2F7B1-BDC6-47AF-BC0F-C3FB6D65E9AB}"/>
    <cellStyle name="40% - Accent5 2 2 2 4 2 3" xfId="29086" xr:uid="{5F75558D-12A5-4538-A7A7-F7BD472A8829}"/>
    <cellStyle name="40% - Accent5 2 2 2 4 2 4" xfId="20645" xr:uid="{B4ABAE3B-9146-4338-BF1D-C47EEF83CD8C}"/>
    <cellStyle name="40% - Accent5 2 2 2 4 2 5" xfId="12204" xr:uid="{7BF386B7-D77B-48C9-AE88-8853EDF1AC5E}"/>
    <cellStyle name="40% - Accent5 2 2 2 4 3" xfId="5827" xr:uid="{00000000-0005-0000-0000-000050060000}"/>
    <cellStyle name="40% - Accent5 2 2 2 4 3 2" xfId="31159" xr:uid="{E2C112D5-9D9A-4F11-9674-C59B9C7AD97C}"/>
    <cellStyle name="40% - Accent5 2 2 2 4 3 3" xfId="22718" xr:uid="{D9DD5E21-6BA6-4597-B0BC-46082A9ADCAB}"/>
    <cellStyle name="40% - Accent5 2 2 2 4 3 4" xfId="14277" xr:uid="{95540F16-6C24-44C3-8CC3-5D69F1E88CAF}"/>
    <cellStyle name="40% - Accent5 2 2 2 4 4" xfId="26941" xr:uid="{82A74F20-B34F-41A8-961E-D69D627259E8}"/>
    <cellStyle name="40% - Accent5 2 2 2 4 5" xfId="18500" xr:uid="{21D83618-2108-4D90-8932-7C8F572CFCD4}"/>
    <cellStyle name="40% - Accent5 2 2 2 4 6" xfId="10059" xr:uid="{FF6646D3-E853-4C4A-B681-DC54C153BB14}"/>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2 2 2" xfId="33717" xr:uid="{F0213E30-A6D9-4108-BF99-F7A2BE8D8DD9}"/>
    <cellStyle name="40% - Accent5 2 2 2 5 2 2 3" xfId="25276" xr:uid="{409E3B2F-6503-429B-9F3F-63F877FBCB8E}"/>
    <cellStyle name="40% - Accent5 2 2 2 5 2 2 4" xfId="16835" xr:uid="{4755EDB9-5FAD-4499-9740-7F87E526D18C}"/>
    <cellStyle name="40% - Accent5 2 2 2 5 2 3" xfId="29499" xr:uid="{5485AB54-B101-45A2-AFDA-2788C5BEE0FB}"/>
    <cellStyle name="40% - Accent5 2 2 2 5 2 4" xfId="21058" xr:uid="{0CC03E87-A102-4738-9F0B-0496C50EC0D5}"/>
    <cellStyle name="40% - Accent5 2 2 2 5 2 5" xfId="12617" xr:uid="{504C06AB-DE50-4420-952A-48FBAE12BF16}"/>
    <cellStyle name="40% - Accent5 2 2 2 5 3" xfId="6240" xr:uid="{00000000-0005-0000-0000-000054060000}"/>
    <cellStyle name="40% - Accent5 2 2 2 5 3 2" xfId="31572" xr:uid="{43643146-DF4F-4760-8285-C6FD5D25CC24}"/>
    <cellStyle name="40% - Accent5 2 2 2 5 3 3" xfId="23131" xr:uid="{9D3F4659-117A-4D16-B1D3-5D63673010CA}"/>
    <cellStyle name="40% - Accent5 2 2 2 5 3 4" xfId="14690" xr:uid="{C6F170BD-54B6-48D5-BFE5-E70FC2F544FA}"/>
    <cellStyle name="40% - Accent5 2 2 2 5 4" xfId="27354" xr:uid="{6F02F38A-7A1C-4596-91F9-75D192780C97}"/>
    <cellStyle name="40% - Accent5 2 2 2 5 5" xfId="18913" xr:uid="{888CF0BB-87C3-4386-9FE5-E827412C8AD6}"/>
    <cellStyle name="40% - Accent5 2 2 2 5 6" xfId="10472" xr:uid="{AF6032F8-AE0D-44B3-B19F-56E2CEF16F9D}"/>
    <cellStyle name="40% - Accent5 2 2 2 6" xfId="2347" xr:uid="{00000000-0005-0000-0000-000055060000}"/>
    <cellStyle name="40% - Accent5 2 2 2 6 2" xfId="6653" xr:uid="{00000000-0005-0000-0000-000056060000}"/>
    <cellStyle name="40% - Accent5 2 2 2 6 2 2" xfId="31985" xr:uid="{74C2DE60-A490-46DE-89D8-6D47CB6915BA}"/>
    <cellStyle name="40% - Accent5 2 2 2 6 2 3" xfId="23544" xr:uid="{C45FF5D3-A3E8-4E6E-98A7-044F5EBB0B6B}"/>
    <cellStyle name="40% - Accent5 2 2 2 6 2 4" xfId="15103" xr:uid="{E7B5E491-9601-4CC7-B399-935C5D9AECF7}"/>
    <cellStyle name="40% - Accent5 2 2 2 6 3" xfId="27767" xr:uid="{2AA2F7F0-844F-432C-889C-CC06DCE7E28E}"/>
    <cellStyle name="40% - Accent5 2 2 2 6 4" xfId="19326" xr:uid="{D40E7679-364F-4A37-AA96-62D20225B4D8}"/>
    <cellStyle name="40% - Accent5 2 2 2 6 5" xfId="10885" xr:uid="{DCFAC1A7-8B24-4B26-9ABA-F8A95B1D80CE}"/>
    <cellStyle name="40% - Accent5 2 2 2 7" xfId="4587" xr:uid="{00000000-0005-0000-0000-000057060000}"/>
    <cellStyle name="40% - Accent5 2 2 2 7 2" xfId="29919" xr:uid="{87687ADB-F5EA-428B-B750-2F2DEF6D77BF}"/>
    <cellStyle name="40% - Accent5 2 2 2 7 3" xfId="21478" xr:uid="{B7659DA9-D84B-424B-BAB0-6D52068BC0E5}"/>
    <cellStyle name="40% - Accent5 2 2 2 7 4" xfId="13037" xr:uid="{AFD449FE-DE46-454F-81A0-0CA310E7A25F}"/>
    <cellStyle name="40% - Accent5 2 2 2 8" xfId="25701" xr:uid="{83EB2956-2E14-434D-9CFF-4303A79E2BB7}"/>
    <cellStyle name="40% - Accent5 2 2 2 9" xfId="17260" xr:uid="{05D8B6D6-D3A4-4E71-B742-78C1C75FB201}"/>
    <cellStyle name="40% - Accent5 2 2 3" xfId="652" xr:uid="{00000000-0005-0000-0000-000058060000}"/>
    <cellStyle name="40% - Accent5 2 2 3 2" xfId="2923" xr:uid="{00000000-0005-0000-0000-000059060000}"/>
    <cellStyle name="40% - Accent5 2 2 3 2 2" xfId="7145" xr:uid="{00000000-0005-0000-0000-00005A060000}"/>
    <cellStyle name="40% - Accent5 2 2 3 2 2 2" xfId="32477" xr:uid="{CA49EF6B-ED67-4E47-9255-86FB7C422055}"/>
    <cellStyle name="40% - Accent5 2 2 3 2 2 3" xfId="24036" xr:uid="{EED33C35-75C0-4F5E-AE80-9AFC5F9B75ED}"/>
    <cellStyle name="40% - Accent5 2 2 3 2 2 4" xfId="15595" xr:uid="{4C57BC4F-D4F4-4862-83E9-90C21302DB69}"/>
    <cellStyle name="40% - Accent5 2 2 3 2 3" xfId="28259" xr:uid="{6E2A44EC-A80D-4C88-836C-85B3C1C7685A}"/>
    <cellStyle name="40% - Accent5 2 2 3 2 4" xfId="19818" xr:uid="{0839AF91-AD5A-4C02-B2A5-A9537F6E8C93}"/>
    <cellStyle name="40% - Accent5 2 2 3 2 5" xfId="11377" xr:uid="{15DA1723-06E0-4DD2-8D53-9B5A72A53E6F}"/>
    <cellStyle name="40% - Accent5 2 2 3 3" xfId="5000" xr:uid="{00000000-0005-0000-0000-00005B060000}"/>
    <cellStyle name="40% - Accent5 2 2 3 3 2" xfId="30332" xr:uid="{5EC35082-7B5C-482F-B751-42BA86A89B5D}"/>
    <cellStyle name="40% - Accent5 2 2 3 3 3" xfId="21891" xr:uid="{FFF5A4AE-F21B-439B-AAC9-5CF021498DAC}"/>
    <cellStyle name="40% - Accent5 2 2 3 3 4" xfId="13450" xr:uid="{2F5FCE0F-0D2D-425F-8AF2-088142D472D5}"/>
    <cellStyle name="40% - Accent5 2 2 3 4" xfId="26114" xr:uid="{E7E6B96E-60FB-4654-976F-8D000656EE3A}"/>
    <cellStyle name="40% - Accent5 2 2 3 5" xfId="17673" xr:uid="{A8523668-D29D-49BA-A6FA-E50774E3A9F3}"/>
    <cellStyle name="40% - Accent5 2 2 3 6" xfId="9232" xr:uid="{8B97F295-F188-4BED-8319-1CF4917799B4}"/>
    <cellStyle name="40% - Accent5 2 2 4" xfId="1105" xr:uid="{00000000-0005-0000-0000-00005C060000}"/>
    <cellStyle name="40% - Accent5 2 2 4 2" xfId="3336" xr:uid="{00000000-0005-0000-0000-00005D060000}"/>
    <cellStyle name="40% - Accent5 2 2 4 2 2" xfId="7558" xr:uid="{00000000-0005-0000-0000-00005E060000}"/>
    <cellStyle name="40% - Accent5 2 2 4 2 2 2" xfId="32890" xr:uid="{6BCE73F0-DA5E-44A4-A2D2-8CAB7213B70E}"/>
    <cellStyle name="40% - Accent5 2 2 4 2 2 3" xfId="24449" xr:uid="{5B37C2DD-6627-4140-BD0A-6329D9E87751}"/>
    <cellStyle name="40% - Accent5 2 2 4 2 2 4" xfId="16008" xr:uid="{A7EE162E-4D69-4D48-90C2-37E030D0C156}"/>
    <cellStyle name="40% - Accent5 2 2 4 2 3" xfId="28672" xr:uid="{786F4B23-2C3F-45C3-B51B-5C7525938EF0}"/>
    <cellStyle name="40% - Accent5 2 2 4 2 4" xfId="20231" xr:uid="{D43B23E0-4DC3-41AE-ADEE-EF115C446D4E}"/>
    <cellStyle name="40% - Accent5 2 2 4 2 5" xfId="11790" xr:uid="{2CC1A945-C04C-4B1C-8B8C-17833003874F}"/>
    <cellStyle name="40% - Accent5 2 2 4 3" xfId="5413" xr:uid="{00000000-0005-0000-0000-00005F060000}"/>
    <cellStyle name="40% - Accent5 2 2 4 3 2" xfId="30745" xr:uid="{E0604FED-F4EF-4411-BCCC-6A07BBF82ACF}"/>
    <cellStyle name="40% - Accent5 2 2 4 3 3" xfId="22304" xr:uid="{5001C597-DC9D-4DBC-BFA2-8DDB30406A7A}"/>
    <cellStyle name="40% - Accent5 2 2 4 3 4" xfId="13863" xr:uid="{CD058A17-C5D2-4E9F-AB33-AFE1FA40FA13}"/>
    <cellStyle name="40% - Accent5 2 2 4 4" xfId="26527" xr:uid="{4717DB58-A248-4614-B633-26B02A6ADC86}"/>
    <cellStyle name="40% - Accent5 2 2 4 5" xfId="18086" xr:uid="{66715CA1-2ECD-4AEA-B6C4-59DE9ABDFEDE}"/>
    <cellStyle name="40% - Accent5 2 2 4 6" xfId="9645" xr:uid="{D3C5409E-F01B-4631-8FBC-2831891CC405}"/>
    <cellStyle name="40% - Accent5 2 2 5" xfId="1519" xr:uid="{00000000-0005-0000-0000-000060060000}"/>
    <cellStyle name="40% - Accent5 2 2 5 2" xfId="3749" xr:uid="{00000000-0005-0000-0000-000061060000}"/>
    <cellStyle name="40% - Accent5 2 2 5 2 2" xfId="7971" xr:uid="{00000000-0005-0000-0000-000062060000}"/>
    <cellStyle name="40% - Accent5 2 2 5 2 2 2" xfId="33303" xr:uid="{31852A4E-995D-48D6-90E5-8F8E3A079E90}"/>
    <cellStyle name="40% - Accent5 2 2 5 2 2 3" xfId="24862" xr:uid="{79E10F6F-2F2B-4432-BA06-F18AB8CB3DF7}"/>
    <cellStyle name="40% - Accent5 2 2 5 2 2 4" xfId="16421" xr:uid="{44FB43A0-E8F3-45C6-B43E-C5EADD5C4C70}"/>
    <cellStyle name="40% - Accent5 2 2 5 2 3" xfId="29085" xr:uid="{8AC5E410-D657-4469-BDE8-203412843B49}"/>
    <cellStyle name="40% - Accent5 2 2 5 2 4" xfId="20644" xr:uid="{F1F48C5B-16EF-4E5F-81B1-D8B8D3B59B7F}"/>
    <cellStyle name="40% - Accent5 2 2 5 2 5" xfId="12203" xr:uid="{5E6528DC-D427-4475-A806-0D1F5CDF63E8}"/>
    <cellStyle name="40% - Accent5 2 2 5 3" xfId="5826" xr:uid="{00000000-0005-0000-0000-000063060000}"/>
    <cellStyle name="40% - Accent5 2 2 5 3 2" xfId="31158" xr:uid="{9803B1A3-5A20-4A84-8C09-8F9882CCF4B8}"/>
    <cellStyle name="40% - Accent5 2 2 5 3 3" xfId="22717" xr:uid="{67E86CA1-B7E1-4C06-B8E5-83BD7D2D309D}"/>
    <cellStyle name="40% - Accent5 2 2 5 3 4" xfId="14276" xr:uid="{CDBF1B8C-1A6E-4C3C-AAAA-2EB897706EF1}"/>
    <cellStyle name="40% - Accent5 2 2 5 4" xfId="26940" xr:uid="{E971FB46-CB1F-4DE5-93E2-6CF709C7F118}"/>
    <cellStyle name="40% - Accent5 2 2 5 5" xfId="18499" xr:uid="{6F9CBE2F-FB51-4A57-9194-D7916109CB7E}"/>
    <cellStyle name="40% - Accent5 2 2 5 6" xfId="10058" xr:uid="{A112D7A1-A9C0-4906-811C-115E0C80A5F1}"/>
    <cellStyle name="40% - Accent5 2 2 6" xfId="1933" xr:uid="{00000000-0005-0000-0000-000064060000}"/>
    <cellStyle name="40% - Accent5 2 2 6 2" xfId="4162" xr:uid="{00000000-0005-0000-0000-000065060000}"/>
    <cellStyle name="40% - Accent5 2 2 6 2 2" xfId="8384" xr:uid="{00000000-0005-0000-0000-000066060000}"/>
    <cellStyle name="40% - Accent5 2 2 6 2 2 2" xfId="33716" xr:uid="{FB772D9C-6E9E-4FD7-A71A-83695C9F9105}"/>
    <cellStyle name="40% - Accent5 2 2 6 2 2 3" xfId="25275" xr:uid="{C2A6DFEE-141B-413C-9978-DD6DB1E2261A}"/>
    <cellStyle name="40% - Accent5 2 2 6 2 2 4" xfId="16834" xr:uid="{C42533AE-0C01-476D-8934-AE86DD980283}"/>
    <cellStyle name="40% - Accent5 2 2 6 2 3" xfId="29498" xr:uid="{71001AC8-5688-4001-BCD0-212601249835}"/>
    <cellStyle name="40% - Accent5 2 2 6 2 4" xfId="21057" xr:uid="{E87A2A3E-14FC-4B0C-8051-41C2A51724DB}"/>
    <cellStyle name="40% - Accent5 2 2 6 2 5" xfId="12616" xr:uid="{EAD9EF64-47D7-4FDA-9709-54BE5B9077B6}"/>
    <cellStyle name="40% - Accent5 2 2 6 3" xfId="6239" xr:uid="{00000000-0005-0000-0000-000067060000}"/>
    <cellStyle name="40% - Accent5 2 2 6 3 2" xfId="31571" xr:uid="{97E13C41-2592-4263-9570-E1D4EB6129AB}"/>
    <cellStyle name="40% - Accent5 2 2 6 3 3" xfId="23130" xr:uid="{D2A4317A-C4FF-4333-BB36-52DD4ED37593}"/>
    <cellStyle name="40% - Accent5 2 2 6 3 4" xfId="14689" xr:uid="{C906E0E9-DB33-470B-B549-70B7A9D60619}"/>
    <cellStyle name="40% - Accent5 2 2 6 4" xfId="27353" xr:uid="{5E18D224-FA25-48D2-948E-B9AF70846CB7}"/>
    <cellStyle name="40% - Accent5 2 2 6 5" xfId="18912" xr:uid="{82369BD1-79DF-4F45-A69F-542260FA4C77}"/>
    <cellStyle name="40% - Accent5 2 2 6 6" xfId="10471" xr:uid="{371AD9EE-9E4B-40DF-8AD4-64371B985270}"/>
    <cellStyle name="40% - Accent5 2 2 7" xfId="2346" xr:uid="{00000000-0005-0000-0000-000068060000}"/>
    <cellStyle name="40% - Accent5 2 2 7 2" xfId="6652" xr:uid="{00000000-0005-0000-0000-000069060000}"/>
    <cellStyle name="40% - Accent5 2 2 7 2 2" xfId="31984" xr:uid="{CEB14BE0-BCB0-414E-B9DA-5D7D3CC7CF8E}"/>
    <cellStyle name="40% - Accent5 2 2 7 2 3" xfId="23543" xr:uid="{512B58D5-D7CA-49D9-B2B8-54F08924D79E}"/>
    <cellStyle name="40% - Accent5 2 2 7 2 4" xfId="15102" xr:uid="{8A320473-7DA7-4967-BD5A-06F33E8414B3}"/>
    <cellStyle name="40% - Accent5 2 2 7 3" xfId="27766" xr:uid="{C425A99C-69FF-4F46-BEB4-A5C97AA64CB6}"/>
    <cellStyle name="40% - Accent5 2 2 7 4" xfId="19325" xr:uid="{559399AF-1725-415B-AF3D-EFFA8B3DE1B8}"/>
    <cellStyle name="40% - Accent5 2 2 7 5" xfId="10884" xr:uid="{876DE965-CAB4-4320-86A5-AC43E27E4293}"/>
    <cellStyle name="40% - Accent5 2 2 8" xfId="4586" xr:uid="{00000000-0005-0000-0000-00006A060000}"/>
    <cellStyle name="40% - Accent5 2 2 8 2" xfId="29918" xr:uid="{2A19C6BA-1835-4114-A654-18F36E265EDC}"/>
    <cellStyle name="40% - Accent5 2 2 8 3" xfId="21477" xr:uid="{5874CAFC-0DF8-4B8A-8863-DB7028A48082}"/>
    <cellStyle name="40% - Accent5 2 2 8 4" xfId="13036" xr:uid="{0682E4BF-A910-42BE-B4B7-55BA978B6598}"/>
    <cellStyle name="40% - Accent5 2 2 9" xfId="25700" xr:uid="{BBC3942B-2C0A-40D1-9E09-C9E8031F6640}"/>
    <cellStyle name="40% - Accent5 2 3" xfId="85" xr:uid="{00000000-0005-0000-0000-00006B060000}"/>
    <cellStyle name="40% - Accent5 2 3 10" xfId="8820" xr:uid="{6D11BD16-23BB-49B1-9CD0-8F05D7BACA45}"/>
    <cellStyle name="40% - Accent5 2 3 2" xfId="654" xr:uid="{00000000-0005-0000-0000-00006C060000}"/>
    <cellStyle name="40% - Accent5 2 3 2 2" xfId="2925" xr:uid="{00000000-0005-0000-0000-00006D060000}"/>
    <cellStyle name="40% - Accent5 2 3 2 2 2" xfId="7147" xr:uid="{00000000-0005-0000-0000-00006E060000}"/>
    <cellStyle name="40% - Accent5 2 3 2 2 2 2" xfId="32479" xr:uid="{813992DB-CA8C-4A22-B7D7-BBB85B5BBDD2}"/>
    <cellStyle name="40% - Accent5 2 3 2 2 2 3" xfId="24038" xr:uid="{84FD8AE7-1DF7-48E9-8D33-723FD674A417}"/>
    <cellStyle name="40% - Accent5 2 3 2 2 2 4" xfId="15597" xr:uid="{80DE2445-0019-4C82-99B6-0234DF93E291}"/>
    <cellStyle name="40% - Accent5 2 3 2 2 3" xfId="28261" xr:uid="{9FFED93D-98F3-4AC6-BC8B-F1EE6674F09B}"/>
    <cellStyle name="40% - Accent5 2 3 2 2 4" xfId="19820" xr:uid="{C91C24DE-49E2-4575-9D2E-766A8B0042BB}"/>
    <cellStyle name="40% - Accent5 2 3 2 2 5" xfId="11379" xr:uid="{BCD79782-22A9-4996-931C-7F9E09D163DF}"/>
    <cellStyle name="40% - Accent5 2 3 2 3" xfId="5002" xr:uid="{00000000-0005-0000-0000-00006F060000}"/>
    <cellStyle name="40% - Accent5 2 3 2 3 2" xfId="30334" xr:uid="{0ED459FE-F7FD-4A9A-B187-AB1F9C69214C}"/>
    <cellStyle name="40% - Accent5 2 3 2 3 3" xfId="21893" xr:uid="{22761F05-75FB-4F7A-A2C7-ECB76A2AC092}"/>
    <cellStyle name="40% - Accent5 2 3 2 3 4" xfId="13452" xr:uid="{70D9A3B6-D96A-4AC3-8C58-502EF860992E}"/>
    <cellStyle name="40% - Accent5 2 3 2 4" xfId="26116" xr:uid="{2B20D217-44B9-4C96-B729-7D2A790D1D08}"/>
    <cellStyle name="40% - Accent5 2 3 2 5" xfId="17675" xr:uid="{5B51C485-4EF0-4A58-B3B2-6F989D6DFAA9}"/>
    <cellStyle name="40% - Accent5 2 3 2 6" xfId="9234" xr:uid="{D63EAD32-07A5-4B50-A609-B517B16F5131}"/>
    <cellStyle name="40% - Accent5 2 3 3" xfId="1107" xr:uid="{00000000-0005-0000-0000-000070060000}"/>
    <cellStyle name="40% - Accent5 2 3 3 2" xfId="3338" xr:uid="{00000000-0005-0000-0000-000071060000}"/>
    <cellStyle name="40% - Accent5 2 3 3 2 2" xfId="7560" xr:uid="{00000000-0005-0000-0000-000072060000}"/>
    <cellStyle name="40% - Accent5 2 3 3 2 2 2" xfId="32892" xr:uid="{CE487879-26BA-4074-8969-B7C2066B0EC0}"/>
    <cellStyle name="40% - Accent5 2 3 3 2 2 3" xfId="24451" xr:uid="{DBE8514C-B4B2-46D7-9278-99C19C968643}"/>
    <cellStyle name="40% - Accent5 2 3 3 2 2 4" xfId="16010" xr:uid="{2EDFB971-829B-4E61-A098-937EBCFB52BD}"/>
    <cellStyle name="40% - Accent5 2 3 3 2 3" xfId="28674" xr:uid="{175F5F9D-902C-4C64-BBF3-754CD59EE5DA}"/>
    <cellStyle name="40% - Accent5 2 3 3 2 4" xfId="20233" xr:uid="{CB7FD313-B98C-47B1-A9FE-1EAC4F7469F4}"/>
    <cellStyle name="40% - Accent5 2 3 3 2 5" xfId="11792" xr:uid="{350D3405-FBCC-4D41-8276-B385571C2567}"/>
    <cellStyle name="40% - Accent5 2 3 3 3" xfId="5415" xr:uid="{00000000-0005-0000-0000-000073060000}"/>
    <cellStyle name="40% - Accent5 2 3 3 3 2" xfId="30747" xr:uid="{3ED87618-41CA-4BFF-ACF5-2C7ACBD115EF}"/>
    <cellStyle name="40% - Accent5 2 3 3 3 3" xfId="22306" xr:uid="{3909202D-CE40-4781-BEE6-46553CA5D375}"/>
    <cellStyle name="40% - Accent5 2 3 3 3 4" xfId="13865" xr:uid="{97A2C8D7-605A-434F-AA67-0BB07B7FB2EE}"/>
    <cellStyle name="40% - Accent5 2 3 3 4" xfId="26529" xr:uid="{096214A1-5BD4-4AF0-9D57-344D0175EAB6}"/>
    <cellStyle name="40% - Accent5 2 3 3 5" xfId="18088" xr:uid="{C80FA552-CD99-4349-BE75-9219D2D8D8EF}"/>
    <cellStyle name="40% - Accent5 2 3 3 6" xfId="9647" xr:uid="{032C0274-6855-41EB-B218-9A7ACF54C176}"/>
    <cellStyle name="40% - Accent5 2 3 4" xfId="1521" xr:uid="{00000000-0005-0000-0000-000074060000}"/>
    <cellStyle name="40% - Accent5 2 3 4 2" xfId="3751" xr:uid="{00000000-0005-0000-0000-000075060000}"/>
    <cellStyle name="40% - Accent5 2 3 4 2 2" xfId="7973" xr:uid="{00000000-0005-0000-0000-000076060000}"/>
    <cellStyle name="40% - Accent5 2 3 4 2 2 2" xfId="33305" xr:uid="{E32248BE-525A-45FA-9E1A-476B59A67F0D}"/>
    <cellStyle name="40% - Accent5 2 3 4 2 2 3" xfId="24864" xr:uid="{2933D1DA-C9A8-475D-B5DD-7F31D2A61BBF}"/>
    <cellStyle name="40% - Accent5 2 3 4 2 2 4" xfId="16423" xr:uid="{F2BE9186-1039-4B5A-ADE9-E97035C62B1E}"/>
    <cellStyle name="40% - Accent5 2 3 4 2 3" xfId="29087" xr:uid="{0B83A0E8-896B-417B-90E2-E9CBBA395264}"/>
    <cellStyle name="40% - Accent5 2 3 4 2 4" xfId="20646" xr:uid="{F83EC0AF-A88B-470A-9C74-EF461C781BBF}"/>
    <cellStyle name="40% - Accent5 2 3 4 2 5" xfId="12205" xr:uid="{DA0836C4-0B2C-485A-A658-AD08D872961E}"/>
    <cellStyle name="40% - Accent5 2 3 4 3" xfId="5828" xr:uid="{00000000-0005-0000-0000-000077060000}"/>
    <cellStyle name="40% - Accent5 2 3 4 3 2" xfId="31160" xr:uid="{5B627656-28E0-4E41-B525-C6EE46D958DB}"/>
    <cellStyle name="40% - Accent5 2 3 4 3 3" xfId="22719" xr:uid="{51F39573-74D5-48A3-82DE-2FD97BFB2B8E}"/>
    <cellStyle name="40% - Accent5 2 3 4 3 4" xfId="14278" xr:uid="{3A1E3921-995B-492B-B322-106DAF096297}"/>
    <cellStyle name="40% - Accent5 2 3 4 4" xfId="26942" xr:uid="{E14A2273-76D9-4D1B-8620-5ED98D4A1531}"/>
    <cellStyle name="40% - Accent5 2 3 4 5" xfId="18501" xr:uid="{5890AC6C-81D8-4689-905E-449C2F3EBB9C}"/>
    <cellStyle name="40% - Accent5 2 3 4 6" xfId="10060" xr:uid="{F323D15F-02D6-4FC6-A192-76085928EFC6}"/>
    <cellStyle name="40% - Accent5 2 3 5" xfId="1935" xr:uid="{00000000-0005-0000-0000-000078060000}"/>
    <cellStyle name="40% - Accent5 2 3 5 2" xfId="4164" xr:uid="{00000000-0005-0000-0000-000079060000}"/>
    <cellStyle name="40% - Accent5 2 3 5 2 2" xfId="8386" xr:uid="{00000000-0005-0000-0000-00007A060000}"/>
    <cellStyle name="40% - Accent5 2 3 5 2 2 2" xfId="33718" xr:uid="{74179711-77BD-4969-BE90-3C53EB5B7055}"/>
    <cellStyle name="40% - Accent5 2 3 5 2 2 3" xfId="25277" xr:uid="{E83D1E81-E955-401A-86B7-FB7CB8F1ACA9}"/>
    <cellStyle name="40% - Accent5 2 3 5 2 2 4" xfId="16836" xr:uid="{A5E7F951-725A-4AC9-9A47-E6704F43DB7E}"/>
    <cellStyle name="40% - Accent5 2 3 5 2 3" xfId="29500" xr:uid="{F5EFF899-8278-46A6-A36B-C62F04D94F94}"/>
    <cellStyle name="40% - Accent5 2 3 5 2 4" xfId="21059" xr:uid="{D051D935-9169-4EC4-B3F7-AEBF10EA2E17}"/>
    <cellStyle name="40% - Accent5 2 3 5 2 5" xfId="12618" xr:uid="{20826A89-4D51-4BB1-834D-DC2ACE94EB1F}"/>
    <cellStyle name="40% - Accent5 2 3 5 3" xfId="6241" xr:uid="{00000000-0005-0000-0000-00007B060000}"/>
    <cellStyle name="40% - Accent5 2 3 5 3 2" xfId="31573" xr:uid="{06DA4930-30CC-4621-BAEB-BFB846B11E83}"/>
    <cellStyle name="40% - Accent5 2 3 5 3 3" xfId="23132" xr:uid="{AF0E9176-FE4F-42D1-8FBF-CFE37C98561C}"/>
    <cellStyle name="40% - Accent5 2 3 5 3 4" xfId="14691" xr:uid="{F0B51A4B-7BA7-4BDE-AF3B-6290CC567070}"/>
    <cellStyle name="40% - Accent5 2 3 5 4" xfId="27355" xr:uid="{3B921530-42A6-4ACD-A249-D9D7084632B8}"/>
    <cellStyle name="40% - Accent5 2 3 5 5" xfId="18914" xr:uid="{E3ED1C4A-2B8A-4559-990C-7A8B3AB7FCFE}"/>
    <cellStyle name="40% - Accent5 2 3 5 6" xfId="10473" xr:uid="{DFA64E6E-1400-4025-BFEF-CF2D37333685}"/>
    <cellStyle name="40% - Accent5 2 3 6" xfId="2348" xr:uid="{00000000-0005-0000-0000-00007C060000}"/>
    <cellStyle name="40% - Accent5 2 3 6 2" xfId="6654" xr:uid="{00000000-0005-0000-0000-00007D060000}"/>
    <cellStyle name="40% - Accent5 2 3 6 2 2" xfId="31986" xr:uid="{71EA23CD-FECB-4F87-B88E-FA7F95F2EB43}"/>
    <cellStyle name="40% - Accent5 2 3 6 2 3" xfId="23545" xr:uid="{B23835D7-6DFE-4D37-8FCE-478BD37E5EFB}"/>
    <cellStyle name="40% - Accent5 2 3 6 2 4" xfId="15104" xr:uid="{B4FE9B65-369B-4E2C-9172-84F9BD2C0823}"/>
    <cellStyle name="40% - Accent5 2 3 6 3" xfId="27768" xr:uid="{921E179B-3E10-46F9-8AC8-57A099320EC0}"/>
    <cellStyle name="40% - Accent5 2 3 6 4" xfId="19327" xr:uid="{81D0A61D-BBE1-4646-A95F-AF95BE47CAD6}"/>
    <cellStyle name="40% - Accent5 2 3 6 5" xfId="10886" xr:uid="{5D53FA9C-8093-46C0-957B-F0461EA1DE40}"/>
    <cellStyle name="40% - Accent5 2 3 7" xfId="4588" xr:uid="{00000000-0005-0000-0000-00007E060000}"/>
    <cellStyle name="40% - Accent5 2 3 7 2" xfId="29920" xr:uid="{B79FE7C6-5A8C-4CE3-BC62-8CAE42021686}"/>
    <cellStyle name="40% - Accent5 2 3 7 3" xfId="21479" xr:uid="{733C0892-9556-4EAB-BFAF-905D0D319419}"/>
    <cellStyle name="40% - Accent5 2 3 7 4" xfId="13038" xr:uid="{D6176D26-E36A-4953-A602-A857810D8224}"/>
    <cellStyle name="40% - Accent5 2 3 8" xfId="25702" xr:uid="{6414FE9A-71E8-4491-8F97-BFF5F538C358}"/>
    <cellStyle name="40% - Accent5 2 3 9" xfId="17261" xr:uid="{44491E8B-CCB6-48C1-9089-FE6055CAAEEB}"/>
    <cellStyle name="40% - Accent5 2 4" xfId="651" xr:uid="{00000000-0005-0000-0000-00007F060000}"/>
    <cellStyle name="40% - Accent5 2 4 2" xfId="2922" xr:uid="{00000000-0005-0000-0000-000080060000}"/>
    <cellStyle name="40% - Accent5 2 4 2 2" xfId="7144" xr:uid="{00000000-0005-0000-0000-000081060000}"/>
    <cellStyle name="40% - Accent5 2 4 2 2 2" xfId="32476" xr:uid="{35B011EA-C1CE-4384-9E16-881662302357}"/>
    <cellStyle name="40% - Accent5 2 4 2 2 3" xfId="24035" xr:uid="{6C19AFC7-87E2-4AF8-9DF5-70B74A0FB0FC}"/>
    <cellStyle name="40% - Accent5 2 4 2 2 4" xfId="15594" xr:uid="{14916E15-3855-43C6-A4ED-961CF9313A6B}"/>
    <cellStyle name="40% - Accent5 2 4 2 3" xfId="28258" xr:uid="{9CD2DF5D-0FD3-4191-9155-7D48DD02B623}"/>
    <cellStyle name="40% - Accent5 2 4 2 4" xfId="19817" xr:uid="{0BD72DDB-3674-4F32-94DE-14A451FB56E8}"/>
    <cellStyle name="40% - Accent5 2 4 2 5" xfId="11376" xr:uid="{AD89E40E-3892-4518-A80E-AC3D3EEDC79B}"/>
    <cellStyle name="40% - Accent5 2 4 3" xfId="4999" xr:uid="{00000000-0005-0000-0000-000082060000}"/>
    <cellStyle name="40% - Accent5 2 4 3 2" xfId="30331" xr:uid="{F2CA0EA9-289F-40E9-B23E-627DE4395AB1}"/>
    <cellStyle name="40% - Accent5 2 4 3 3" xfId="21890" xr:uid="{5EF86ED0-9135-403A-9E22-EAAC2C44B8F6}"/>
    <cellStyle name="40% - Accent5 2 4 3 4" xfId="13449" xr:uid="{A1C8FCB5-E4BF-45FA-BDA5-0E8DD57752D1}"/>
    <cellStyle name="40% - Accent5 2 4 4" xfId="26113" xr:uid="{410305AB-AA4C-48E7-8C6D-7797B86DFABA}"/>
    <cellStyle name="40% - Accent5 2 4 5" xfId="17672" xr:uid="{E26502D9-9DAC-4637-87EC-2EF0BEB0C4FC}"/>
    <cellStyle name="40% - Accent5 2 4 6" xfId="9231" xr:uid="{52B5E00D-4B79-46F6-84DC-94538EC8CCC4}"/>
    <cellStyle name="40% - Accent5 2 5" xfId="1104" xr:uid="{00000000-0005-0000-0000-000083060000}"/>
    <cellStyle name="40% - Accent5 2 5 2" xfId="3335" xr:uid="{00000000-0005-0000-0000-000084060000}"/>
    <cellStyle name="40% - Accent5 2 5 2 2" xfId="7557" xr:uid="{00000000-0005-0000-0000-000085060000}"/>
    <cellStyle name="40% - Accent5 2 5 2 2 2" xfId="32889" xr:uid="{9AE2C148-E2B7-4EC2-9D8D-4285DC35F836}"/>
    <cellStyle name="40% - Accent5 2 5 2 2 3" xfId="24448" xr:uid="{FC30C399-4044-47E4-9EDD-A3F7C6AF5F24}"/>
    <cellStyle name="40% - Accent5 2 5 2 2 4" xfId="16007" xr:uid="{DE73E0B7-8273-4E9C-883B-DF90B129AB87}"/>
    <cellStyle name="40% - Accent5 2 5 2 3" xfId="28671" xr:uid="{A3FAE803-8BE9-4A0C-94BC-235116983F0C}"/>
    <cellStyle name="40% - Accent5 2 5 2 4" xfId="20230" xr:uid="{7BF66009-152D-4173-BCC0-7404B2796018}"/>
    <cellStyle name="40% - Accent5 2 5 2 5" xfId="11789" xr:uid="{8DF76F52-8E7E-41A4-8AE6-42C7FC95FD86}"/>
    <cellStyle name="40% - Accent5 2 5 3" xfId="5412" xr:uid="{00000000-0005-0000-0000-000086060000}"/>
    <cellStyle name="40% - Accent5 2 5 3 2" xfId="30744" xr:uid="{1442023B-6B06-4E38-802A-17E15A183046}"/>
    <cellStyle name="40% - Accent5 2 5 3 3" xfId="22303" xr:uid="{4E787167-D563-43A6-A340-5092A1FFDB40}"/>
    <cellStyle name="40% - Accent5 2 5 3 4" xfId="13862" xr:uid="{115B034D-79E4-4020-97B2-85D4397F13E0}"/>
    <cellStyle name="40% - Accent5 2 5 4" xfId="26526" xr:uid="{F5C56D87-9FC3-439A-946F-DAA87CF67D3D}"/>
    <cellStyle name="40% - Accent5 2 5 5" xfId="18085" xr:uid="{DDDE51C9-52D0-4B77-91B0-F7CC18841C5D}"/>
    <cellStyle name="40% - Accent5 2 5 6" xfId="9644" xr:uid="{CB6FC535-733E-4E93-A415-13E583B29306}"/>
    <cellStyle name="40% - Accent5 2 6" xfId="1518" xr:uid="{00000000-0005-0000-0000-000087060000}"/>
    <cellStyle name="40% - Accent5 2 6 2" xfId="3748" xr:uid="{00000000-0005-0000-0000-000088060000}"/>
    <cellStyle name="40% - Accent5 2 6 2 2" xfId="7970" xr:uid="{00000000-0005-0000-0000-000089060000}"/>
    <cellStyle name="40% - Accent5 2 6 2 2 2" xfId="33302" xr:uid="{D0DF4B02-C89B-4045-BEEC-D6654471EB0D}"/>
    <cellStyle name="40% - Accent5 2 6 2 2 3" xfId="24861" xr:uid="{6A6996F6-B182-4050-AF57-1316CE7A430F}"/>
    <cellStyle name="40% - Accent5 2 6 2 2 4" xfId="16420" xr:uid="{5239392C-B526-41DC-A652-7BBD3B0AFCF0}"/>
    <cellStyle name="40% - Accent5 2 6 2 3" xfId="29084" xr:uid="{66CD64E1-3AC0-4F79-AA32-E960541647EC}"/>
    <cellStyle name="40% - Accent5 2 6 2 4" xfId="20643" xr:uid="{16BEAAA6-F0AF-4D49-8F33-1882FB41AEA7}"/>
    <cellStyle name="40% - Accent5 2 6 2 5" xfId="12202" xr:uid="{3D3E96C5-E984-4D04-910A-4DFDAFAAB03F}"/>
    <cellStyle name="40% - Accent5 2 6 3" xfId="5825" xr:uid="{00000000-0005-0000-0000-00008A060000}"/>
    <cellStyle name="40% - Accent5 2 6 3 2" xfId="31157" xr:uid="{55991E9F-587E-4040-96F4-E2093E0F1E78}"/>
    <cellStyle name="40% - Accent5 2 6 3 3" xfId="22716" xr:uid="{79351099-B6A8-4E35-B59E-7E37C22D4F2C}"/>
    <cellStyle name="40% - Accent5 2 6 3 4" xfId="14275" xr:uid="{643B42FF-7709-4BFF-9DDF-C20C533DD80C}"/>
    <cellStyle name="40% - Accent5 2 6 4" xfId="26939" xr:uid="{8A0B2E28-1984-4F26-9B93-B35547738740}"/>
    <cellStyle name="40% - Accent5 2 6 5" xfId="18498" xr:uid="{7A33EFBE-A1E8-439C-B17D-40C55211CC10}"/>
    <cellStyle name="40% - Accent5 2 6 6" xfId="10057" xr:uid="{DD267B83-A5D6-44B8-A2C0-693D4AAB22A5}"/>
    <cellStyle name="40% - Accent5 2 7" xfId="1932" xr:uid="{00000000-0005-0000-0000-00008B060000}"/>
    <cellStyle name="40% - Accent5 2 7 2" xfId="4161" xr:uid="{00000000-0005-0000-0000-00008C060000}"/>
    <cellStyle name="40% - Accent5 2 7 2 2" xfId="8383" xr:uid="{00000000-0005-0000-0000-00008D060000}"/>
    <cellStyle name="40% - Accent5 2 7 2 2 2" xfId="33715" xr:uid="{73A66C04-75D4-49E9-BDE9-D87A8A41D495}"/>
    <cellStyle name="40% - Accent5 2 7 2 2 3" xfId="25274" xr:uid="{391054A4-780C-4EC2-9A6B-3D87E3E67531}"/>
    <cellStyle name="40% - Accent5 2 7 2 2 4" xfId="16833" xr:uid="{12C408D8-50FB-4856-B290-0ECD75DBFB80}"/>
    <cellStyle name="40% - Accent5 2 7 2 3" xfId="29497" xr:uid="{DDA3DCC9-2D64-4970-AE1D-EC43333CFE28}"/>
    <cellStyle name="40% - Accent5 2 7 2 4" xfId="21056" xr:uid="{95F7B83F-1EC6-4343-9A27-AE58F35CC60E}"/>
    <cellStyle name="40% - Accent5 2 7 2 5" xfId="12615" xr:uid="{1CD3180E-48BE-4C73-BE34-069A4C6B5E34}"/>
    <cellStyle name="40% - Accent5 2 7 3" xfId="6238" xr:uid="{00000000-0005-0000-0000-00008E060000}"/>
    <cellStyle name="40% - Accent5 2 7 3 2" xfId="31570" xr:uid="{038486B8-F859-49FB-B984-0486A04CD328}"/>
    <cellStyle name="40% - Accent5 2 7 3 3" xfId="23129" xr:uid="{812006C7-92E0-4F86-882E-2DEE9337A4A4}"/>
    <cellStyle name="40% - Accent5 2 7 3 4" xfId="14688" xr:uid="{2AC13440-237A-4AE1-AB82-2D01F4F91CF8}"/>
    <cellStyle name="40% - Accent5 2 7 4" xfId="27352" xr:uid="{87764CB5-2AEB-4B75-A1CA-EC7DC064C213}"/>
    <cellStyle name="40% - Accent5 2 7 5" xfId="18911" xr:uid="{BF84051B-9809-4D07-BE72-029CFD733E17}"/>
    <cellStyle name="40% - Accent5 2 7 6" xfId="10470" xr:uid="{8FB4FF4A-7B84-4ED5-9092-2E370CAA37E6}"/>
    <cellStyle name="40% - Accent5 2 8" xfId="2345" xr:uid="{00000000-0005-0000-0000-00008F060000}"/>
    <cellStyle name="40% - Accent5 2 8 2" xfId="6651" xr:uid="{00000000-0005-0000-0000-000090060000}"/>
    <cellStyle name="40% - Accent5 2 8 2 2" xfId="31983" xr:uid="{0194CAB3-898B-464A-A927-BD26DCD0831D}"/>
    <cellStyle name="40% - Accent5 2 8 2 3" xfId="23542" xr:uid="{20BB1D14-BB1F-4076-B7C4-03A89B14BF7F}"/>
    <cellStyle name="40% - Accent5 2 8 2 4" xfId="15101" xr:uid="{EC65BC59-C04D-4269-8A1B-9690852CE5F1}"/>
    <cellStyle name="40% - Accent5 2 8 3" xfId="27765" xr:uid="{E589B410-EC1E-421B-AEAF-6C1C9BA7948C}"/>
    <cellStyle name="40% - Accent5 2 8 4" xfId="19324" xr:uid="{0A379F39-2C96-4495-BD60-32EEE07E8944}"/>
    <cellStyle name="40% - Accent5 2 8 5" xfId="10883" xr:uid="{1DDB0897-71FD-40B7-89A8-30A3493276FA}"/>
    <cellStyle name="40% - Accent5 2 9" xfId="4585" xr:uid="{00000000-0005-0000-0000-000091060000}"/>
    <cellStyle name="40% - Accent5 2 9 2" xfId="29917" xr:uid="{6A42BD3A-A60A-43C5-A08F-6771A47AD140}"/>
    <cellStyle name="40% - Accent5 2 9 3" xfId="21476" xr:uid="{29BC9034-82E0-4D95-87C6-7B9991AAABB5}"/>
    <cellStyle name="40% - Accent5 2 9 4" xfId="13035" xr:uid="{94E81675-0A71-42AF-B33E-985D53EDA33F}"/>
    <cellStyle name="40% - Accent5 3" xfId="86" xr:uid="{00000000-0005-0000-0000-000092060000}"/>
    <cellStyle name="40% - Accent5 3 10" xfId="17262" xr:uid="{04FD5030-9D0D-4FE2-A823-07BA4B1D1CB3}"/>
    <cellStyle name="40% - Accent5 3 11" xfId="8821" xr:uid="{4C626677-ACFD-4903-824F-47C4940D5236}"/>
    <cellStyle name="40% - Accent5 3 2" xfId="87" xr:uid="{00000000-0005-0000-0000-000093060000}"/>
    <cellStyle name="40% - Accent5 3 2 10" xfId="8822" xr:uid="{69A4E094-8AD2-4836-8A74-54D62B895856}"/>
    <cellStyle name="40% - Accent5 3 2 2" xfId="656" xr:uid="{00000000-0005-0000-0000-000094060000}"/>
    <cellStyle name="40% - Accent5 3 2 2 2" xfId="2927" xr:uid="{00000000-0005-0000-0000-000095060000}"/>
    <cellStyle name="40% - Accent5 3 2 2 2 2" xfId="7149" xr:uid="{00000000-0005-0000-0000-000096060000}"/>
    <cellStyle name="40% - Accent5 3 2 2 2 2 2" xfId="32481" xr:uid="{150E00A9-FFDE-4724-B43B-55CA6F6A307A}"/>
    <cellStyle name="40% - Accent5 3 2 2 2 2 3" xfId="24040" xr:uid="{E313A456-5A48-4EA0-AD6B-1B5103A6DCF4}"/>
    <cellStyle name="40% - Accent5 3 2 2 2 2 4" xfId="15599" xr:uid="{48C58D04-1625-4C05-8898-16754FB1886A}"/>
    <cellStyle name="40% - Accent5 3 2 2 2 3" xfId="28263" xr:uid="{3C46BC81-E275-445F-8A97-A45DD12219A4}"/>
    <cellStyle name="40% - Accent5 3 2 2 2 4" xfId="19822" xr:uid="{D4550854-2079-42BB-9C66-DE53657CAA8D}"/>
    <cellStyle name="40% - Accent5 3 2 2 2 5" xfId="11381" xr:uid="{8A257205-B4D9-4008-A3EA-E0172B4721A0}"/>
    <cellStyle name="40% - Accent5 3 2 2 3" xfId="5004" xr:uid="{00000000-0005-0000-0000-000097060000}"/>
    <cellStyle name="40% - Accent5 3 2 2 3 2" xfId="30336" xr:uid="{1811BA34-C908-4D80-8351-36E689730759}"/>
    <cellStyle name="40% - Accent5 3 2 2 3 3" xfId="21895" xr:uid="{D29C976F-FB30-411B-A40A-6886A7794E45}"/>
    <cellStyle name="40% - Accent5 3 2 2 3 4" xfId="13454" xr:uid="{6B0B9B23-5C75-4EEF-8D42-14072195F1BC}"/>
    <cellStyle name="40% - Accent5 3 2 2 4" xfId="26118" xr:uid="{495065BA-2ACB-450D-AC06-AB9762F3A42C}"/>
    <cellStyle name="40% - Accent5 3 2 2 5" xfId="17677" xr:uid="{EAE8E0DF-0384-4392-815D-4B2AA05481CA}"/>
    <cellStyle name="40% - Accent5 3 2 2 6" xfId="9236" xr:uid="{6E372372-B678-465C-BAD9-C8BBCE6175BB}"/>
    <cellStyle name="40% - Accent5 3 2 3" xfId="1109" xr:uid="{00000000-0005-0000-0000-000098060000}"/>
    <cellStyle name="40% - Accent5 3 2 3 2" xfId="3340" xr:uid="{00000000-0005-0000-0000-000099060000}"/>
    <cellStyle name="40% - Accent5 3 2 3 2 2" xfId="7562" xr:uid="{00000000-0005-0000-0000-00009A060000}"/>
    <cellStyle name="40% - Accent5 3 2 3 2 2 2" xfId="32894" xr:uid="{DA79F83D-3270-4F67-9D67-B2700E915D2A}"/>
    <cellStyle name="40% - Accent5 3 2 3 2 2 3" xfId="24453" xr:uid="{F79A42B6-2E63-41B5-9918-EB80018F76EE}"/>
    <cellStyle name="40% - Accent5 3 2 3 2 2 4" xfId="16012" xr:uid="{8F01EDDC-B346-4002-A53A-AC8EDBA7F521}"/>
    <cellStyle name="40% - Accent5 3 2 3 2 3" xfId="28676" xr:uid="{1BF911D5-58DF-408F-B354-3F0290F90D95}"/>
    <cellStyle name="40% - Accent5 3 2 3 2 4" xfId="20235" xr:uid="{9E6BEEAF-AECC-4911-BDE0-B344DC444A24}"/>
    <cellStyle name="40% - Accent5 3 2 3 2 5" xfId="11794" xr:uid="{916052F3-14A2-4172-BD00-E02326188F3D}"/>
    <cellStyle name="40% - Accent5 3 2 3 3" xfId="5417" xr:uid="{00000000-0005-0000-0000-00009B060000}"/>
    <cellStyle name="40% - Accent5 3 2 3 3 2" xfId="30749" xr:uid="{29BECDDD-A4DC-4E8A-9943-AE1143E3F11A}"/>
    <cellStyle name="40% - Accent5 3 2 3 3 3" xfId="22308" xr:uid="{CBDC4137-A469-477A-B3A6-968A82D7FF4E}"/>
    <cellStyle name="40% - Accent5 3 2 3 3 4" xfId="13867" xr:uid="{B827D338-04E4-4C1C-B34B-BF3A6852CBEC}"/>
    <cellStyle name="40% - Accent5 3 2 3 4" xfId="26531" xr:uid="{339EABAC-FEC8-493B-BE3F-AC35E261731B}"/>
    <cellStyle name="40% - Accent5 3 2 3 5" xfId="18090" xr:uid="{9E5ABA14-ACC0-4099-8884-2DD7E3653FCE}"/>
    <cellStyle name="40% - Accent5 3 2 3 6" xfId="9649" xr:uid="{E6387712-FF35-4E21-8DF6-15BDCE0377CF}"/>
    <cellStyle name="40% - Accent5 3 2 4" xfId="1523" xr:uid="{00000000-0005-0000-0000-00009C060000}"/>
    <cellStyle name="40% - Accent5 3 2 4 2" xfId="3753" xr:uid="{00000000-0005-0000-0000-00009D060000}"/>
    <cellStyle name="40% - Accent5 3 2 4 2 2" xfId="7975" xr:uid="{00000000-0005-0000-0000-00009E060000}"/>
    <cellStyle name="40% - Accent5 3 2 4 2 2 2" xfId="33307" xr:uid="{9C356E4A-A3FA-425B-AB35-5083E5E6B52C}"/>
    <cellStyle name="40% - Accent5 3 2 4 2 2 3" xfId="24866" xr:uid="{93C1DFF8-C979-459B-B8A7-67B20DE6F112}"/>
    <cellStyle name="40% - Accent5 3 2 4 2 2 4" xfId="16425" xr:uid="{5FE6FCF5-92FB-449D-8D87-CFF2947A54B1}"/>
    <cellStyle name="40% - Accent5 3 2 4 2 3" xfId="29089" xr:uid="{A5B50FBE-7535-4B3F-9938-A664CEB3A29C}"/>
    <cellStyle name="40% - Accent5 3 2 4 2 4" xfId="20648" xr:uid="{38DD00B5-FAEF-44F3-88DA-BBF941289FB8}"/>
    <cellStyle name="40% - Accent5 3 2 4 2 5" xfId="12207" xr:uid="{444437E0-0008-4E3A-A800-9A991B746CD9}"/>
    <cellStyle name="40% - Accent5 3 2 4 3" xfId="5830" xr:uid="{00000000-0005-0000-0000-00009F060000}"/>
    <cellStyle name="40% - Accent5 3 2 4 3 2" xfId="31162" xr:uid="{72F1D7DB-F570-4439-8E08-CF19F6187FFE}"/>
    <cellStyle name="40% - Accent5 3 2 4 3 3" xfId="22721" xr:uid="{2A0245B3-5D5E-4192-9455-1E67BB2EEDAD}"/>
    <cellStyle name="40% - Accent5 3 2 4 3 4" xfId="14280" xr:uid="{33E35B39-1A36-4054-BBCF-34079659834D}"/>
    <cellStyle name="40% - Accent5 3 2 4 4" xfId="26944" xr:uid="{0479E096-56B8-48B2-8136-4F7A43E447EB}"/>
    <cellStyle name="40% - Accent5 3 2 4 5" xfId="18503" xr:uid="{D7B0BA68-D1DD-4C6D-AE66-4C9A71D869CC}"/>
    <cellStyle name="40% - Accent5 3 2 4 6" xfId="10062" xr:uid="{89F458E0-E829-4C42-A9C9-B915CAB375FF}"/>
    <cellStyle name="40% - Accent5 3 2 5" xfId="1937" xr:uid="{00000000-0005-0000-0000-0000A0060000}"/>
    <cellStyle name="40% - Accent5 3 2 5 2" xfId="4166" xr:uid="{00000000-0005-0000-0000-0000A1060000}"/>
    <cellStyle name="40% - Accent5 3 2 5 2 2" xfId="8388" xr:uid="{00000000-0005-0000-0000-0000A2060000}"/>
    <cellStyle name="40% - Accent5 3 2 5 2 2 2" xfId="33720" xr:uid="{C960CDBE-F0C6-4597-8B42-D8DB3C02E7B8}"/>
    <cellStyle name="40% - Accent5 3 2 5 2 2 3" xfId="25279" xr:uid="{0358B283-F7F2-411A-A9DE-0C9F0DC5BBAC}"/>
    <cellStyle name="40% - Accent5 3 2 5 2 2 4" xfId="16838" xr:uid="{AD2B5187-9974-4E52-A1D9-EE7F982912A6}"/>
    <cellStyle name="40% - Accent5 3 2 5 2 3" xfId="29502" xr:uid="{BD50DE14-4BAD-4572-9727-A9D9D6F0D788}"/>
    <cellStyle name="40% - Accent5 3 2 5 2 4" xfId="21061" xr:uid="{07167BFB-6B3B-4FE9-BB3A-BDC4248EF248}"/>
    <cellStyle name="40% - Accent5 3 2 5 2 5" xfId="12620" xr:uid="{EA21248F-0080-44D0-A164-532727E293D1}"/>
    <cellStyle name="40% - Accent5 3 2 5 3" xfId="6243" xr:uid="{00000000-0005-0000-0000-0000A3060000}"/>
    <cellStyle name="40% - Accent5 3 2 5 3 2" xfId="31575" xr:uid="{0ED996FD-A935-4E9E-B043-D2E10EADC400}"/>
    <cellStyle name="40% - Accent5 3 2 5 3 3" xfId="23134" xr:uid="{B9DB84A0-D7C6-4D5A-A3C1-A56F83F5A70E}"/>
    <cellStyle name="40% - Accent5 3 2 5 3 4" xfId="14693" xr:uid="{F488008D-8D0D-483E-8DBA-65AF61D1781F}"/>
    <cellStyle name="40% - Accent5 3 2 5 4" xfId="27357" xr:uid="{7DEF8834-D99D-4290-BF00-A9BF271FED5E}"/>
    <cellStyle name="40% - Accent5 3 2 5 5" xfId="18916" xr:uid="{46C58BD3-5543-47F8-85F6-E12994FAA20F}"/>
    <cellStyle name="40% - Accent5 3 2 5 6" xfId="10475" xr:uid="{7C9BF9AA-B33D-4156-A5C4-20CDDA6EF4B3}"/>
    <cellStyle name="40% - Accent5 3 2 6" xfId="2350" xr:uid="{00000000-0005-0000-0000-0000A4060000}"/>
    <cellStyle name="40% - Accent5 3 2 6 2" xfId="6656" xr:uid="{00000000-0005-0000-0000-0000A5060000}"/>
    <cellStyle name="40% - Accent5 3 2 6 2 2" xfId="31988" xr:uid="{7897A267-0587-442A-8C47-E4B15EBFFD67}"/>
    <cellStyle name="40% - Accent5 3 2 6 2 3" xfId="23547" xr:uid="{6DA2EBEE-E7DE-4515-AD6A-299D15686C3D}"/>
    <cellStyle name="40% - Accent5 3 2 6 2 4" xfId="15106" xr:uid="{4B7C858B-6054-48DA-AF52-11F4DE41F151}"/>
    <cellStyle name="40% - Accent5 3 2 6 3" xfId="27770" xr:uid="{3CC55B41-D30A-4AC4-AC91-423222E8846F}"/>
    <cellStyle name="40% - Accent5 3 2 6 4" xfId="19329" xr:uid="{C64C53A7-F0B6-4358-8363-B84ECFEB4A64}"/>
    <cellStyle name="40% - Accent5 3 2 6 5" xfId="10888" xr:uid="{6B5471CA-566F-4BA4-8D39-EDF68B09B206}"/>
    <cellStyle name="40% - Accent5 3 2 7" xfId="4590" xr:uid="{00000000-0005-0000-0000-0000A6060000}"/>
    <cellStyle name="40% - Accent5 3 2 7 2" xfId="29922" xr:uid="{241674EE-278F-43F6-9154-D8CFBD335469}"/>
    <cellStyle name="40% - Accent5 3 2 7 3" xfId="21481" xr:uid="{5847FD24-F63A-4146-B70A-B7A65FCCDD25}"/>
    <cellStyle name="40% - Accent5 3 2 7 4" xfId="13040" xr:uid="{0775C68A-7296-4A6F-9581-5C2936B3EE24}"/>
    <cellStyle name="40% - Accent5 3 2 8" xfId="25704" xr:uid="{614934C6-4880-4F5D-B247-3D24C8C7165D}"/>
    <cellStyle name="40% - Accent5 3 2 9" xfId="17263" xr:uid="{82D2D4E4-F659-4042-AE58-00E372C5C9D2}"/>
    <cellStyle name="40% - Accent5 3 3" xfId="655" xr:uid="{00000000-0005-0000-0000-0000A7060000}"/>
    <cellStyle name="40% - Accent5 3 3 2" xfId="2926" xr:uid="{00000000-0005-0000-0000-0000A8060000}"/>
    <cellStyle name="40% - Accent5 3 3 2 2" xfId="7148" xr:uid="{00000000-0005-0000-0000-0000A9060000}"/>
    <cellStyle name="40% - Accent5 3 3 2 2 2" xfId="32480" xr:uid="{BACD3A23-4714-4A16-A205-2B3EA1CC1A23}"/>
    <cellStyle name="40% - Accent5 3 3 2 2 3" xfId="24039" xr:uid="{F9A78B94-A359-4E74-B527-EBC3216BF669}"/>
    <cellStyle name="40% - Accent5 3 3 2 2 4" xfId="15598" xr:uid="{DF5A9263-86D8-487D-95B8-247DF907FADB}"/>
    <cellStyle name="40% - Accent5 3 3 2 3" xfId="28262" xr:uid="{AA65027B-59B7-4F42-85C6-D13578CB8A41}"/>
    <cellStyle name="40% - Accent5 3 3 2 4" xfId="19821" xr:uid="{0E85871A-149E-4379-8950-98D0857258A0}"/>
    <cellStyle name="40% - Accent5 3 3 2 5" xfId="11380" xr:uid="{457542B8-A5BB-46A1-B28A-65A1C7912B7A}"/>
    <cellStyle name="40% - Accent5 3 3 3" xfId="5003" xr:uid="{00000000-0005-0000-0000-0000AA060000}"/>
    <cellStyle name="40% - Accent5 3 3 3 2" xfId="30335" xr:uid="{04CB53D9-C16B-43C3-ADFD-43A4662C019E}"/>
    <cellStyle name="40% - Accent5 3 3 3 3" xfId="21894" xr:uid="{2296E1D0-2F83-4633-9B11-1CF348A3345D}"/>
    <cellStyle name="40% - Accent5 3 3 3 4" xfId="13453" xr:uid="{A0C5FB74-620B-4423-BB31-97E85540436F}"/>
    <cellStyle name="40% - Accent5 3 3 4" xfId="26117" xr:uid="{801AF1C3-43B8-4868-993A-63A9E8266C45}"/>
    <cellStyle name="40% - Accent5 3 3 5" xfId="17676" xr:uid="{899B3C05-3392-4552-BF42-7759EED4B48C}"/>
    <cellStyle name="40% - Accent5 3 3 6" xfId="9235" xr:uid="{BB63216B-5CAC-48A4-AD42-D718C037BD9E}"/>
    <cellStyle name="40% - Accent5 3 4" xfId="1108" xr:uid="{00000000-0005-0000-0000-0000AB060000}"/>
    <cellStyle name="40% - Accent5 3 4 2" xfId="3339" xr:uid="{00000000-0005-0000-0000-0000AC060000}"/>
    <cellStyle name="40% - Accent5 3 4 2 2" xfId="7561" xr:uid="{00000000-0005-0000-0000-0000AD060000}"/>
    <cellStyle name="40% - Accent5 3 4 2 2 2" xfId="32893" xr:uid="{4483305E-E2DF-414C-9229-49046F4BB482}"/>
    <cellStyle name="40% - Accent5 3 4 2 2 3" xfId="24452" xr:uid="{543CA441-BD58-4DF2-89A6-3BD3018F8FDA}"/>
    <cellStyle name="40% - Accent5 3 4 2 2 4" xfId="16011" xr:uid="{B3914784-D1D8-454C-8240-F7977B2EC130}"/>
    <cellStyle name="40% - Accent5 3 4 2 3" xfId="28675" xr:uid="{8984ED81-61E6-425C-A42C-902EE366AF95}"/>
    <cellStyle name="40% - Accent5 3 4 2 4" xfId="20234" xr:uid="{BB0536B7-2C6E-456B-9927-60E535B81842}"/>
    <cellStyle name="40% - Accent5 3 4 2 5" xfId="11793" xr:uid="{7FEE7F1C-F296-4E71-BFF7-94B616CA0124}"/>
    <cellStyle name="40% - Accent5 3 4 3" xfId="5416" xr:uid="{00000000-0005-0000-0000-0000AE060000}"/>
    <cellStyle name="40% - Accent5 3 4 3 2" xfId="30748" xr:uid="{7E061915-6E67-4EEB-9136-DC16ABABC567}"/>
    <cellStyle name="40% - Accent5 3 4 3 3" xfId="22307" xr:uid="{65EB8C3A-53D5-4E36-8E08-E5EDB26991D7}"/>
    <cellStyle name="40% - Accent5 3 4 3 4" xfId="13866" xr:uid="{F25FD360-AB9E-4F1C-8732-7E29AC72772C}"/>
    <cellStyle name="40% - Accent5 3 4 4" xfId="26530" xr:uid="{B68F99D5-2828-4CBA-BEFC-A7A89D9838B4}"/>
    <cellStyle name="40% - Accent5 3 4 5" xfId="18089" xr:uid="{BB995906-C36C-4966-8FE7-4632CB6AAB4A}"/>
    <cellStyle name="40% - Accent5 3 4 6" xfId="9648" xr:uid="{AD4775A7-CAA7-40FC-B4FA-BBC9106164D4}"/>
    <cellStyle name="40% - Accent5 3 5" xfId="1522" xr:uid="{00000000-0005-0000-0000-0000AF060000}"/>
    <cellStyle name="40% - Accent5 3 5 2" xfId="3752" xr:uid="{00000000-0005-0000-0000-0000B0060000}"/>
    <cellStyle name="40% - Accent5 3 5 2 2" xfId="7974" xr:uid="{00000000-0005-0000-0000-0000B1060000}"/>
    <cellStyle name="40% - Accent5 3 5 2 2 2" xfId="33306" xr:uid="{53E3DC96-16FC-4364-B552-52FE8D9521C2}"/>
    <cellStyle name="40% - Accent5 3 5 2 2 3" xfId="24865" xr:uid="{EA1C68AC-0634-4160-BB2D-78E8C340A302}"/>
    <cellStyle name="40% - Accent5 3 5 2 2 4" xfId="16424" xr:uid="{D84154E4-830B-4C34-9639-0A0E146A8C90}"/>
    <cellStyle name="40% - Accent5 3 5 2 3" xfId="29088" xr:uid="{5824CEE1-1B9A-4CF6-A395-B6C673EF9D6A}"/>
    <cellStyle name="40% - Accent5 3 5 2 4" xfId="20647" xr:uid="{C45ABD24-23FC-4DFF-8F58-FC205B6D8F7C}"/>
    <cellStyle name="40% - Accent5 3 5 2 5" xfId="12206" xr:uid="{F929CBD1-AACE-4C3C-B3CB-4FD5011A43EC}"/>
    <cellStyle name="40% - Accent5 3 5 3" xfId="5829" xr:uid="{00000000-0005-0000-0000-0000B2060000}"/>
    <cellStyle name="40% - Accent5 3 5 3 2" xfId="31161" xr:uid="{8976C337-B434-4593-AD08-68998AD81A5A}"/>
    <cellStyle name="40% - Accent5 3 5 3 3" xfId="22720" xr:uid="{DCE2901C-03E7-4B57-9B85-C1A1FA0F02D7}"/>
    <cellStyle name="40% - Accent5 3 5 3 4" xfId="14279" xr:uid="{5C46BE09-E3ED-48EB-8B2B-189E2EB6D9FE}"/>
    <cellStyle name="40% - Accent5 3 5 4" xfId="26943" xr:uid="{7B84F3EA-177D-415E-8483-6346E7537060}"/>
    <cellStyle name="40% - Accent5 3 5 5" xfId="18502" xr:uid="{8C759DD4-8C13-4822-A4C7-BCDD92B3015B}"/>
    <cellStyle name="40% - Accent5 3 5 6" xfId="10061" xr:uid="{91EDF847-AB10-438A-A176-2C2D1C883F0A}"/>
    <cellStyle name="40% - Accent5 3 6" xfId="1936" xr:uid="{00000000-0005-0000-0000-0000B3060000}"/>
    <cellStyle name="40% - Accent5 3 6 2" xfId="4165" xr:uid="{00000000-0005-0000-0000-0000B4060000}"/>
    <cellStyle name="40% - Accent5 3 6 2 2" xfId="8387" xr:uid="{00000000-0005-0000-0000-0000B5060000}"/>
    <cellStyle name="40% - Accent5 3 6 2 2 2" xfId="33719" xr:uid="{18DF09D3-BB95-4249-A4AC-D688AE1DD655}"/>
    <cellStyle name="40% - Accent5 3 6 2 2 3" xfId="25278" xr:uid="{43A469F5-F4BA-42E0-BB88-0A2CAC814537}"/>
    <cellStyle name="40% - Accent5 3 6 2 2 4" xfId="16837" xr:uid="{745D647B-52FB-4910-A333-35A0462F3331}"/>
    <cellStyle name="40% - Accent5 3 6 2 3" xfId="29501" xr:uid="{A27B08C5-CA2F-4150-82C0-C61EB3240449}"/>
    <cellStyle name="40% - Accent5 3 6 2 4" xfId="21060" xr:uid="{0A876771-3F67-4473-8187-E89426354F22}"/>
    <cellStyle name="40% - Accent5 3 6 2 5" xfId="12619" xr:uid="{BA8CEB79-081B-4098-A79C-A2C7CD992761}"/>
    <cellStyle name="40% - Accent5 3 6 3" xfId="6242" xr:uid="{00000000-0005-0000-0000-0000B6060000}"/>
    <cellStyle name="40% - Accent5 3 6 3 2" xfId="31574" xr:uid="{648A8E53-32BC-409C-AAE2-F84851A8BD85}"/>
    <cellStyle name="40% - Accent5 3 6 3 3" xfId="23133" xr:uid="{1815114F-0D07-45E9-A99A-7E196AE8ED83}"/>
    <cellStyle name="40% - Accent5 3 6 3 4" xfId="14692" xr:uid="{4B30E77D-8CD9-4B28-B83B-B6FA8E3F36C4}"/>
    <cellStyle name="40% - Accent5 3 6 4" xfId="27356" xr:uid="{16995F93-782D-4DF7-97C0-B768BAFE7186}"/>
    <cellStyle name="40% - Accent5 3 6 5" xfId="18915" xr:uid="{753B12AA-DF5A-4545-B89E-4DF2206F9CBE}"/>
    <cellStyle name="40% - Accent5 3 6 6" xfId="10474" xr:uid="{7D706F2F-E1F9-4D4D-A63B-9BD523674978}"/>
    <cellStyle name="40% - Accent5 3 7" xfId="2349" xr:uid="{00000000-0005-0000-0000-0000B7060000}"/>
    <cellStyle name="40% - Accent5 3 7 2" xfId="6655" xr:uid="{00000000-0005-0000-0000-0000B8060000}"/>
    <cellStyle name="40% - Accent5 3 7 2 2" xfId="31987" xr:uid="{D92088B4-A79D-4DB3-8A68-3628396F21DA}"/>
    <cellStyle name="40% - Accent5 3 7 2 3" xfId="23546" xr:uid="{890ECFDA-4BEB-4569-9DD3-899731AB6FA2}"/>
    <cellStyle name="40% - Accent5 3 7 2 4" xfId="15105" xr:uid="{0D4DF252-91A0-472C-B0A7-862B53F52072}"/>
    <cellStyle name="40% - Accent5 3 7 3" xfId="27769" xr:uid="{DDAC511B-7D4C-4B46-AECA-2635989A1E0D}"/>
    <cellStyle name="40% - Accent5 3 7 4" xfId="19328" xr:uid="{1079DAF0-9BA8-4E4C-AA4F-AD238A2E1A16}"/>
    <cellStyle name="40% - Accent5 3 7 5" xfId="10887" xr:uid="{E36D77C9-87A1-4DB8-83CE-A5C76E4CB5BB}"/>
    <cellStyle name="40% - Accent5 3 8" xfId="4589" xr:uid="{00000000-0005-0000-0000-0000B9060000}"/>
    <cellStyle name="40% - Accent5 3 8 2" xfId="29921" xr:uid="{D6137400-A2B2-4E5E-82FC-CE51F6E754E6}"/>
    <cellStyle name="40% - Accent5 3 8 3" xfId="21480" xr:uid="{7CFB987F-A5D4-4CFA-9990-4F1DA06DF556}"/>
    <cellStyle name="40% - Accent5 3 8 4" xfId="13039" xr:uid="{4DECCB10-BFFC-42D8-BEA1-BD972E1370C4}"/>
    <cellStyle name="40% - Accent5 3 9" xfId="25703" xr:uid="{90060D80-C37C-4CD6-B99C-E8D6A1C65C94}"/>
    <cellStyle name="40% - Accent5 4" xfId="88" xr:uid="{00000000-0005-0000-0000-0000BA060000}"/>
    <cellStyle name="40% - Accent5 4 10" xfId="8823" xr:uid="{7B34DDB9-7F39-4A3C-BBF4-0D9A6F8AF9E9}"/>
    <cellStyle name="40% - Accent5 4 2" xfId="657" xr:uid="{00000000-0005-0000-0000-0000BB060000}"/>
    <cellStyle name="40% - Accent5 4 2 2" xfId="2928" xr:uid="{00000000-0005-0000-0000-0000BC060000}"/>
    <cellStyle name="40% - Accent5 4 2 2 2" xfId="7150" xr:uid="{00000000-0005-0000-0000-0000BD060000}"/>
    <cellStyle name="40% - Accent5 4 2 2 2 2" xfId="32482" xr:uid="{33000C53-2765-4621-9DAB-4C1E57C5DE02}"/>
    <cellStyle name="40% - Accent5 4 2 2 2 3" xfId="24041" xr:uid="{FAE4FFD5-ECF5-4083-9EA0-59131DA97606}"/>
    <cellStyle name="40% - Accent5 4 2 2 2 4" xfId="15600" xr:uid="{697D83E9-A079-4D88-90BA-E2CCC91438A3}"/>
    <cellStyle name="40% - Accent5 4 2 2 3" xfId="28264" xr:uid="{E82E1FEE-D56C-4EC8-9626-565A3FABEDAE}"/>
    <cellStyle name="40% - Accent5 4 2 2 4" xfId="19823" xr:uid="{CBA73D55-AD81-4E74-896A-0B2A32FB4856}"/>
    <cellStyle name="40% - Accent5 4 2 2 5" xfId="11382" xr:uid="{B4581E31-6659-4479-9C4F-E660CA7D370B}"/>
    <cellStyle name="40% - Accent5 4 2 3" xfId="5005" xr:uid="{00000000-0005-0000-0000-0000BE060000}"/>
    <cellStyle name="40% - Accent5 4 2 3 2" xfId="30337" xr:uid="{57ADEB2A-9EDB-407F-BE41-6052A117192F}"/>
    <cellStyle name="40% - Accent5 4 2 3 3" xfId="21896" xr:uid="{D7D6CAA6-E993-4572-A40A-950E53ED5BEF}"/>
    <cellStyle name="40% - Accent5 4 2 3 4" xfId="13455" xr:uid="{74D85022-5C6D-41F9-B1E3-89D419C01199}"/>
    <cellStyle name="40% - Accent5 4 2 4" xfId="26119" xr:uid="{CCD46DFE-96C3-4225-9907-41E29188FBE2}"/>
    <cellStyle name="40% - Accent5 4 2 5" xfId="17678" xr:uid="{ECC4E3C7-8CCB-4ADC-9C94-89D3CC7F2F7F}"/>
    <cellStyle name="40% - Accent5 4 2 6" xfId="9237" xr:uid="{5A1279BD-5BFA-4AC4-B41D-8C1BF07FE84D}"/>
    <cellStyle name="40% - Accent5 4 3" xfId="1110" xr:uid="{00000000-0005-0000-0000-0000BF060000}"/>
    <cellStyle name="40% - Accent5 4 3 2" xfId="3341" xr:uid="{00000000-0005-0000-0000-0000C0060000}"/>
    <cellStyle name="40% - Accent5 4 3 2 2" xfId="7563" xr:uid="{00000000-0005-0000-0000-0000C1060000}"/>
    <cellStyle name="40% - Accent5 4 3 2 2 2" xfId="32895" xr:uid="{D09BA46A-6810-4298-B94F-348BB3B4A68E}"/>
    <cellStyle name="40% - Accent5 4 3 2 2 3" xfId="24454" xr:uid="{93F2EC9A-01A4-4065-9A28-5177B6A8048E}"/>
    <cellStyle name="40% - Accent5 4 3 2 2 4" xfId="16013" xr:uid="{1CD7EADD-770F-475F-B577-A205182F5287}"/>
    <cellStyle name="40% - Accent5 4 3 2 3" xfId="28677" xr:uid="{DFD96A61-99BF-487E-BBFA-234332C7518E}"/>
    <cellStyle name="40% - Accent5 4 3 2 4" xfId="20236" xr:uid="{3E11B5DF-3D15-4440-8D28-73DAA5768F76}"/>
    <cellStyle name="40% - Accent5 4 3 2 5" xfId="11795" xr:uid="{E5A8380D-7C45-42BD-AFDE-374CB53B05E3}"/>
    <cellStyle name="40% - Accent5 4 3 3" xfId="5418" xr:uid="{00000000-0005-0000-0000-0000C2060000}"/>
    <cellStyle name="40% - Accent5 4 3 3 2" xfId="30750" xr:uid="{5DD2CE51-DF10-45FF-9D48-FE76F20C06A6}"/>
    <cellStyle name="40% - Accent5 4 3 3 3" xfId="22309" xr:uid="{FD6BB5E7-4110-4D67-9AE1-B30D5173A15F}"/>
    <cellStyle name="40% - Accent5 4 3 3 4" xfId="13868" xr:uid="{34F20947-D30A-4FBC-88EC-7CA1C32DD6F3}"/>
    <cellStyle name="40% - Accent5 4 3 4" xfId="26532" xr:uid="{1A126A24-3CE8-450B-BA29-942F9553D2CF}"/>
    <cellStyle name="40% - Accent5 4 3 5" xfId="18091" xr:uid="{40D74322-E1AB-466D-82E1-54545D8EA1F4}"/>
    <cellStyle name="40% - Accent5 4 3 6" xfId="9650" xr:uid="{08D49709-6903-4F15-8E24-E3CCF0476654}"/>
    <cellStyle name="40% - Accent5 4 4" xfId="1524" xr:uid="{00000000-0005-0000-0000-0000C3060000}"/>
    <cellStyle name="40% - Accent5 4 4 2" xfId="3754" xr:uid="{00000000-0005-0000-0000-0000C4060000}"/>
    <cellStyle name="40% - Accent5 4 4 2 2" xfId="7976" xr:uid="{00000000-0005-0000-0000-0000C5060000}"/>
    <cellStyle name="40% - Accent5 4 4 2 2 2" xfId="33308" xr:uid="{69E29256-0E9D-427F-97F1-51302565CE93}"/>
    <cellStyle name="40% - Accent5 4 4 2 2 3" xfId="24867" xr:uid="{47B526FD-BEFE-4F77-8093-CA8E2B67C00D}"/>
    <cellStyle name="40% - Accent5 4 4 2 2 4" xfId="16426" xr:uid="{0C5F45F2-933C-4EA5-A0B9-29F6E35CA0FC}"/>
    <cellStyle name="40% - Accent5 4 4 2 3" xfId="29090" xr:uid="{18D691A1-11DF-479C-BF67-2613AD3D4883}"/>
    <cellStyle name="40% - Accent5 4 4 2 4" xfId="20649" xr:uid="{2EF889F6-7FDB-458E-A70F-412158A138D4}"/>
    <cellStyle name="40% - Accent5 4 4 2 5" xfId="12208" xr:uid="{4EED5F48-6FB0-4039-9E7B-DF9C1A857057}"/>
    <cellStyle name="40% - Accent5 4 4 3" xfId="5831" xr:uid="{00000000-0005-0000-0000-0000C6060000}"/>
    <cellStyle name="40% - Accent5 4 4 3 2" xfId="31163" xr:uid="{113060FF-D152-43E6-AE9D-AB1DDE0368A2}"/>
    <cellStyle name="40% - Accent5 4 4 3 3" xfId="22722" xr:uid="{FE66DCD6-312D-4A00-A3AA-3CC49C1584F5}"/>
    <cellStyle name="40% - Accent5 4 4 3 4" xfId="14281" xr:uid="{15A2887D-4230-46B2-BB53-A4C73200BBB3}"/>
    <cellStyle name="40% - Accent5 4 4 4" xfId="26945" xr:uid="{38BC5315-55A4-4F8C-B239-9DE9085B9266}"/>
    <cellStyle name="40% - Accent5 4 4 5" xfId="18504" xr:uid="{66F72F95-1E72-4285-B312-E9C7283300EF}"/>
    <cellStyle name="40% - Accent5 4 4 6" xfId="10063" xr:uid="{02715AE6-1B74-46D3-8D46-6BA7A66AD534}"/>
    <cellStyle name="40% - Accent5 4 5" xfId="1938" xr:uid="{00000000-0005-0000-0000-0000C7060000}"/>
    <cellStyle name="40% - Accent5 4 5 2" xfId="4167" xr:uid="{00000000-0005-0000-0000-0000C8060000}"/>
    <cellStyle name="40% - Accent5 4 5 2 2" xfId="8389" xr:uid="{00000000-0005-0000-0000-0000C9060000}"/>
    <cellStyle name="40% - Accent5 4 5 2 2 2" xfId="33721" xr:uid="{9C0D86F0-8216-4E66-AF06-18A501288221}"/>
    <cellStyle name="40% - Accent5 4 5 2 2 3" xfId="25280" xr:uid="{9FEB153A-C850-4902-9E03-321DAEE92F72}"/>
    <cellStyle name="40% - Accent5 4 5 2 2 4" xfId="16839" xr:uid="{44DAB846-6F7E-478C-8F95-BAD1DF0042F7}"/>
    <cellStyle name="40% - Accent5 4 5 2 3" xfId="29503" xr:uid="{E9AC78EA-E503-483D-B038-ABABD42D9101}"/>
    <cellStyle name="40% - Accent5 4 5 2 4" xfId="21062" xr:uid="{DA219F8B-CBA6-4254-9F70-89D44184A9BD}"/>
    <cellStyle name="40% - Accent5 4 5 2 5" xfId="12621" xr:uid="{2E41D84D-BC68-477A-8F64-57020984C823}"/>
    <cellStyle name="40% - Accent5 4 5 3" xfId="6244" xr:uid="{00000000-0005-0000-0000-0000CA060000}"/>
    <cellStyle name="40% - Accent5 4 5 3 2" xfId="31576" xr:uid="{B837BAF7-0B2E-4950-A923-495F6D3C5535}"/>
    <cellStyle name="40% - Accent5 4 5 3 3" xfId="23135" xr:uid="{480497A0-8ED2-4E5F-B44C-1D49EC576AEA}"/>
    <cellStyle name="40% - Accent5 4 5 3 4" xfId="14694" xr:uid="{3863C55C-E448-4B80-956E-16FB168E06D7}"/>
    <cellStyle name="40% - Accent5 4 5 4" xfId="27358" xr:uid="{2B0D72AC-3BDB-44AF-97DD-E1B0DE044342}"/>
    <cellStyle name="40% - Accent5 4 5 5" xfId="18917" xr:uid="{0C185A64-156C-4C7A-A6AF-A9195030BCB4}"/>
    <cellStyle name="40% - Accent5 4 5 6" xfId="10476" xr:uid="{50E8F8B9-1C73-4519-9F2D-1B58F6FCC8AD}"/>
    <cellStyle name="40% - Accent5 4 6" xfId="2351" xr:uid="{00000000-0005-0000-0000-0000CB060000}"/>
    <cellStyle name="40% - Accent5 4 6 2" xfId="6657" xr:uid="{00000000-0005-0000-0000-0000CC060000}"/>
    <cellStyle name="40% - Accent5 4 6 2 2" xfId="31989" xr:uid="{4D592CF5-E17F-423C-BEE6-18FFE8553034}"/>
    <cellStyle name="40% - Accent5 4 6 2 3" xfId="23548" xr:uid="{AEFF54DE-D184-4A25-AEC0-C2921F500C8B}"/>
    <cellStyle name="40% - Accent5 4 6 2 4" xfId="15107" xr:uid="{A986E996-00BF-47E0-9C11-C478ADEAC724}"/>
    <cellStyle name="40% - Accent5 4 6 3" xfId="27771" xr:uid="{D65A31FF-EAAA-4F4B-BB76-0DD2324210E9}"/>
    <cellStyle name="40% - Accent5 4 6 4" xfId="19330" xr:uid="{BD9A906A-6980-4DAB-9A34-84EAC27B0B13}"/>
    <cellStyle name="40% - Accent5 4 6 5" xfId="10889" xr:uid="{1FAEB233-3245-4D17-AE69-DB615B3A7D3E}"/>
    <cellStyle name="40% - Accent5 4 7" xfId="4591" xr:uid="{00000000-0005-0000-0000-0000CD060000}"/>
    <cellStyle name="40% - Accent5 4 7 2" xfId="29923" xr:uid="{04C718AD-482F-48D6-BEA6-998E2170B3CC}"/>
    <cellStyle name="40% - Accent5 4 7 3" xfId="21482" xr:uid="{2CF67CAD-CB24-4340-97BE-5B94AD1D950B}"/>
    <cellStyle name="40% - Accent5 4 7 4" xfId="13041" xr:uid="{42378162-E83A-4BC9-B444-164FB97E8873}"/>
    <cellStyle name="40% - Accent5 4 8" xfId="25705" xr:uid="{967CD7EE-35D9-4E12-B6EB-301FCEBBDA3F}"/>
    <cellStyle name="40% - Accent5 4 9" xfId="17264" xr:uid="{53E127AD-6BC1-474E-83DA-579F8FDF0D0F}"/>
    <cellStyle name="40% - Accent5 5" xfId="650" xr:uid="{00000000-0005-0000-0000-0000CE060000}"/>
    <cellStyle name="40% - Accent5 5 2" xfId="2921" xr:uid="{00000000-0005-0000-0000-0000CF060000}"/>
    <cellStyle name="40% - Accent5 5 2 2" xfId="7143" xr:uid="{00000000-0005-0000-0000-0000D0060000}"/>
    <cellStyle name="40% - Accent5 5 2 2 2" xfId="32475" xr:uid="{62BAC5D0-FF2C-4993-8F20-3298B73BE216}"/>
    <cellStyle name="40% - Accent5 5 2 2 3" xfId="24034" xr:uid="{0F9EEA6A-AEB2-409D-BD02-9721752A7309}"/>
    <cellStyle name="40% - Accent5 5 2 2 4" xfId="15593" xr:uid="{EFE7DEBA-3545-4F70-9663-1EA57B982922}"/>
    <cellStyle name="40% - Accent5 5 2 3" xfId="28257" xr:uid="{18CAD955-73C4-42FB-A97F-946C0D1A7DF4}"/>
    <cellStyle name="40% - Accent5 5 2 4" xfId="19816" xr:uid="{402036F1-E7E6-471D-AD3F-BFE073C76664}"/>
    <cellStyle name="40% - Accent5 5 2 5" xfId="11375" xr:uid="{94426D57-4927-4FCB-B5E2-0ED3F618CFAA}"/>
    <cellStyle name="40% - Accent5 5 3" xfId="4998" xr:uid="{00000000-0005-0000-0000-0000D1060000}"/>
    <cellStyle name="40% - Accent5 5 3 2" xfId="30330" xr:uid="{D581B7F0-A9C6-4B5C-856A-097413C809FF}"/>
    <cellStyle name="40% - Accent5 5 3 3" xfId="21889" xr:uid="{AC606687-5992-420F-B056-7029EFB09800}"/>
    <cellStyle name="40% - Accent5 5 3 4" xfId="13448" xr:uid="{71600306-3E8F-42E7-A4CB-0BF49B622250}"/>
    <cellStyle name="40% - Accent5 5 4" xfId="26112" xr:uid="{E49C92E0-C0A5-4C1B-8E3E-9E265498EDEF}"/>
    <cellStyle name="40% - Accent5 5 5" xfId="17671" xr:uid="{C0CA058A-B49C-4E1C-B655-9BA6983BCA29}"/>
    <cellStyle name="40% - Accent5 5 6" xfId="9230" xr:uid="{BC686751-7231-4775-9B75-48FFECF75B98}"/>
    <cellStyle name="40% - Accent5 6" xfId="1103" xr:uid="{00000000-0005-0000-0000-0000D2060000}"/>
    <cellStyle name="40% - Accent5 6 2" xfId="3334" xr:uid="{00000000-0005-0000-0000-0000D3060000}"/>
    <cellStyle name="40% - Accent5 6 2 2" xfId="7556" xr:uid="{00000000-0005-0000-0000-0000D4060000}"/>
    <cellStyle name="40% - Accent5 6 2 2 2" xfId="32888" xr:uid="{C5D74F33-1F7F-476E-AC52-7D010B5BB733}"/>
    <cellStyle name="40% - Accent5 6 2 2 3" xfId="24447" xr:uid="{2C2C8A84-C5EB-444F-8AAC-F197435463B3}"/>
    <cellStyle name="40% - Accent5 6 2 2 4" xfId="16006" xr:uid="{F9020C4B-92E6-4A66-A7BF-D1EF2CB2982B}"/>
    <cellStyle name="40% - Accent5 6 2 3" xfId="28670" xr:uid="{2AD49F34-F857-4FC5-9ED3-DDB2330A4603}"/>
    <cellStyle name="40% - Accent5 6 2 4" xfId="20229" xr:uid="{E5143E23-F638-48FC-B81B-1D368A7A9F19}"/>
    <cellStyle name="40% - Accent5 6 2 5" xfId="11788" xr:uid="{D49D8063-7039-4596-B5F8-764E6C85A9AA}"/>
    <cellStyle name="40% - Accent5 6 3" xfId="5411" xr:uid="{00000000-0005-0000-0000-0000D5060000}"/>
    <cellStyle name="40% - Accent5 6 3 2" xfId="30743" xr:uid="{72750103-24A8-4AC8-A12D-728659A1B623}"/>
    <cellStyle name="40% - Accent5 6 3 3" xfId="22302" xr:uid="{DFF75BD6-ADA3-495D-B6BA-D747D73BB5DD}"/>
    <cellStyle name="40% - Accent5 6 3 4" xfId="13861" xr:uid="{318DBE67-DFE3-4709-A7DA-E9E1BC94636C}"/>
    <cellStyle name="40% - Accent5 6 4" xfId="26525" xr:uid="{DB6EB0C9-D0D2-4176-A523-134B4711AB8E}"/>
    <cellStyle name="40% - Accent5 6 5" xfId="18084" xr:uid="{AB330540-8C9A-4AB9-B08E-745794165354}"/>
    <cellStyle name="40% - Accent5 6 6" xfId="9643" xr:uid="{ECDA4EBE-D3F2-4A59-B6A9-908CE38ABA3F}"/>
    <cellStyle name="40% - Accent5 7" xfId="1517" xr:uid="{00000000-0005-0000-0000-0000D6060000}"/>
    <cellStyle name="40% - Accent5 7 2" xfId="3747" xr:uid="{00000000-0005-0000-0000-0000D7060000}"/>
    <cellStyle name="40% - Accent5 7 2 2" xfId="7969" xr:uid="{00000000-0005-0000-0000-0000D8060000}"/>
    <cellStyle name="40% - Accent5 7 2 2 2" xfId="33301" xr:uid="{02B2C310-F041-4263-9C5E-3C5D6568B84C}"/>
    <cellStyle name="40% - Accent5 7 2 2 3" xfId="24860" xr:uid="{3048B37F-5317-4176-ABED-1E39B8FD2A8A}"/>
    <cellStyle name="40% - Accent5 7 2 2 4" xfId="16419" xr:uid="{89109033-0F14-4073-B81E-557351FE6FFF}"/>
    <cellStyle name="40% - Accent5 7 2 3" xfId="29083" xr:uid="{7D6D1852-490A-4D30-840A-B135342DDE04}"/>
    <cellStyle name="40% - Accent5 7 2 4" xfId="20642" xr:uid="{03A792C2-7D77-4C2F-ADA5-5BB19D738F9B}"/>
    <cellStyle name="40% - Accent5 7 2 5" xfId="12201" xr:uid="{F06A396D-5121-44BB-BE64-27EDA39D8F4E}"/>
    <cellStyle name="40% - Accent5 7 3" xfId="5824" xr:uid="{00000000-0005-0000-0000-0000D9060000}"/>
    <cellStyle name="40% - Accent5 7 3 2" xfId="31156" xr:uid="{4194EFCB-EF5A-4952-BFDF-50F7D2EC9BD1}"/>
    <cellStyle name="40% - Accent5 7 3 3" xfId="22715" xr:uid="{4183FBDE-89C2-4595-BD0B-8CDFBEA2F431}"/>
    <cellStyle name="40% - Accent5 7 3 4" xfId="14274" xr:uid="{6DC574E7-E147-4F9C-A9FB-409DDB11F1F6}"/>
    <cellStyle name="40% - Accent5 7 4" xfId="26938" xr:uid="{BF74FAB8-DB5A-4635-AF9E-70BC426638D4}"/>
    <cellStyle name="40% - Accent5 7 5" xfId="18497" xr:uid="{D5C19FA4-146C-438E-860E-3D8AA93A5228}"/>
    <cellStyle name="40% - Accent5 7 6" xfId="10056" xr:uid="{4F1D6798-944C-4FD1-80D2-0660BE29DEE2}"/>
    <cellStyle name="40% - Accent5 8" xfId="1931" xr:uid="{00000000-0005-0000-0000-0000DA060000}"/>
    <cellStyle name="40% - Accent5 8 2" xfId="4160" xr:uid="{00000000-0005-0000-0000-0000DB060000}"/>
    <cellStyle name="40% - Accent5 8 2 2" xfId="8382" xr:uid="{00000000-0005-0000-0000-0000DC060000}"/>
    <cellStyle name="40% - Accent5 8 2 2 2" xfId="33714" xr:uid="{F5C7A597-8FB2-4E94-A5C3-9FDA03D13E1B}"/>
    <cellStyle name="40% - Accent5 8 2 2 3" xfId="25273" xr:uid="{93E36002-C42E-4D6C-B428-3D05FC205AA5}"/>
    <cellStyle name="40% - Accent5 8 2 2 4" xfId="16832" xr:uid="{81DB6495-1351-4D60-AFC6-FD1051812F7F}"/>
    <cellStyle name="40% - Accent5 8 2 3" xfId="29496" xr:uid="{38163AA7-100C-49E6-BFBE-6E15FEAAA987}"/>
    <cellStyle name="40% - Accent5 8 2 4" xfId="21055" xr:uid="{DB2EBAEE-6ED9-4A95-8788-1C1D25FE91B5}"/>
    <cellStyle name="40% - Accent5 8 2 5" xfId="12614" xr:uid="{045F66C6-E9DD-4C0A-BE21-687A3A640CBA}"/>
    <cellStyle name="40% - Accent5 8 3" xfId="6237" xr:uid="{00000000-0005-0000-0000-0000DD060000}"/>
    <cellStyle name="40% - Accent5 8 3 2" xfId="31569" xr:uid="{83AC297B-4BF0-4566-B6EA-E7821A69256C}"/>
    <cellStyle name="40% - Accent5 8 3 3" xfId="23128" xr:uid="{AEDF92F9-4600-4B35-9E9C-F83FEEC8341A}"/>
    <cellStyle name="40% - Accent5 8 3 4" xfId="14687" xr:uid="{5B5B2512-0287-465F-B32B-61AFD1735599}"/>
    <cellStyle name="40% - Accent5 8 4" xfId="27351" xr:uid="{EEF326B5-5967-46A9-9A64-D515176E5F0B}"/>
    <cellStyle name="40% - Accent5 8 5" xfId="18910" xr:uid="{8629A529-D22B-4DBE-ACC0-82A057B007DD}"/>
    <cellStyle name="40% - Accent5 8 6" xfId="10469" xr:uid="{96881787-6E4C-4D86-9EE4-EE3920DF30CD}"/>
    <cellStyle name="40% - Accent5 9" xfId="2344" xr:uid="{00000000-0005-0000-0000-0000DE060000}"/>
    <cellStyle name="40% - Accent5 9 2" xfId="6650" xr:uid="{00000000-0005-0000-0000-0000DF060000}"/>
    <cellStyle name="40% - Accent5 9 2 2" xfId="31982" xr:uid="{EF9D1E62-19F1-4578-8545-A1E58A9EC73D}"/>
    <cellStyle name="40% - Accent5 9 2 3" xfId="23541" xr:uid="{C774A4C7-9E49-4DB4-817E-9733BED8E4CA}"/>
    <cellStyle name="40% - Accent5 9 2 4" xfId="15100" xr:uid="{84A9D6DE-786C-44CD-8974-55042AFCB75E}"/>
    <cellStyle name="40% - Accent5 9 3" xfId="27764" xr:uid="{0E265F65-8B47-490A-8F28-0AB1791B58F9}"/>
    <cellStyle name="40% - Accent5 9 4" xfId="19323" xr:uid="{1465EBEF-F1FF-40EF-9BCC-FC3FB6D89E93}"/>
    <cellStyle name="40% - Accent5 9 5" xfId="10882" xr:uid="{E28C7706-1995-46F7-BE42-2A3A26C425E5}"/>
    <cellStyle name="40% - Accent6" xfId="89" builtinId="51" customBuiltin="1"/>
    <cellStyle name="40% - Accent6 10" xfId="4592" xr:uid="{00000000-0005-0000-0000-0000E1060000}"/>
    <cellStyle name="40% - Accent6 10 2" xfId="29924" xr:uid="{2FA5923F-1C6D-41A7-9950-B71D8961F1EB}"/>
    <cellStyle name="40% - Accent6 10 3" xfId="21483" xr:uid="{92FF2768-F43C-4036-A279-7A5D3784959F}"/>
    <cellStyle name="40% - Accent6 10 4" xfId="13042" xr:uid="{5C64C1BD-D994-4C05-9D7A-D369A0CC9F48}"/>
    <cellStyle name="40% - Accent6 11" xfId="25706" xr:uid="{34B955AE-283A-4893-943A-8EF6A392A3F0}"/>
    <cellStyle name="40% - Accent6 12" xfId="17265" xr:uid="{E3585DDE-F957-49E0-B786-9E1AC60255B8}"/>
    <cellStyle name="40% - Accent6 13" xfId="8824" xr:uid="{F573B798-04BA-4C2B-80A6-BABA7D2F4DD4}"/>
    <cellStyle name="40% - Accent6 2" xfId="90" xr:uid="{00000000-0005-0000-0000-0000E2060000}"/>
    <cellStyle name="40% - Accent6 2 10" xfId="25707" xr:uid="{6721E0E6-04E2-499E-A8D7-C63F8339351B}"/>
    <cellStyle name="40% - Accent6 2 11" xfId="17266" xr:uid="{CB865D2D-EF1F-4853-8FE2-8147804C4A5D}"/>
    <cellStyle name="40% - Accent6 2 12" xfId="8825" xr:uid="{C3B98F60-EDEE-4FA0-8DD1-5E404B682181}"/>
    <cellStyle name="40% - Accent6 2 2" xfId="91" xr:uid="{00000000-0005-0000-0000-0000E3060000}"/>
    <cellStyle name="40% - Accent6 2 2 10" xfId="17267" xr:uid="{3CA164F3-64D3-41FD-923F-72050F2A4E26}"/>
    <cellStyle name="40% - Accent6 2 2 11" xfId="8826" xr:uid="{4E34BB4F-193A-418A-8365-1FE319E1AE3B}"/>
    <cellStyle name="40% - Accent6 2 2 2" xfId="92" xr:uid="{00000000-0005-0000-0000-0000E4060000}"/>
    <cellStyle name="40% - Accent6 2 2 2 10" xfId="8827" xr:uid="{81E39202-3AF5-4C0C-99F7-F579A7E79914}"/>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2 2 2" xfId="32486" xr:uid="{A6DBC593-0801-4D38-B1A9-8A4F3B728A51}"/>
    <cellStyle name="40% - Accent6 2 2 2 2 2 2 3" xfId="24045" xr:uid="{951269AE-5F66-4E69-8F24-2A259660FF07}"/>
    <cellStyle name="40% - Accent6 2 2 2 2 2 2 4" xfId="15604" xr:uid="{E5E6DB84-BA84-4D49-ACBA-E4D24E87FA37}"/>
    <cellStyle name="40% - Accent6 2 2 2 2 2 3" xfId="28268" xr:uid="{31CA17F3-F620-4406-842C-1E8A6C68B330}"/>
    <cellStyle name="40% - Accent6 2 2 2 2 2 4" xfId="19827" xr:uid="{D4172728-43B5-4960-9ABE-77BE17C8AE1C}"/>
    <cellStyle name="40% - Accent6 2 2 2 2 2 5" xfId="11386" xr:uid="{CEFC6194-8D60-4FC5-A271-BCDB3DDAEC3E}"/>
    <cellStyle name="40% - Accent6 2 2 2 2 3" xfId="5009" xr:uid="{00000000-0005-0000-0000-0000E8060000}"/>
    <cellStyle name="40% - Accent6 2 2 2 2 3 2" xfId="30341" xr:uid="{3EC942FF-F470-4A45-BB7A-D57D34B3F616}"/>
    <cellStyle name="40% - Accent6 2 2 2 2 3 3" xfId="21900" xr:uid="{B3BDD0AC-3936-48D0-A0D0-53CD60E13AF8}"/>
    <cellStyle name="40% - Accent6 2 2 2 2 3 4" xfId="13459" xr:uid="{A0BB3572-28E3-46CA-BF04-1D59DFAFF6C2}"/>
    <cellStyle name="40% - Accent6 2 2 2 2 4" xfId="26123" xr:uid="{0F2F8093-F984-40B6-96F8-398A5DC13801}"/>
    <cellStyle name="40% - Accent6 2 2 2 2 5" xfId="17682" xr:uid="{301382B4-4ED5-44EE-96DD-F2885F7933B1}"/>
    <cellStyle name="40% - Accent6 2 2 2 2 6" xfId="9241" xr:uid="{93676BE5-7CE4-4C1B-8496-87A6840FCD97}"/>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2 2 2" xfId="32899" xr:uid="{C25BDBC6-524A-4174-92F4-AFFFDC284100}"/>
    <cellStyle name="40% - Accent6 2 2 2 3 2 2 3" xfId="24458" xr:uid="{3234AEFC-4A22-4635-9D54-0B32DEF45F3F}"/>
    <cellStyle name="40% - Accent6 2 2 2 3 2 2 4" xfId="16017" xr:uid="{7AB7C9F0-8A20-492D-91F6-5CDBDA042D07}"/>
    <cellStyle name="40% - Accent6 2 2 2 3 2 3" xfId="28681" xr:uid="{183129E5-DAD9-465A-A44D-7805BB2F096C}"/>
    <cellStyle name="40% - Accent6 2 2 2 3 2 4" xfId="20240" xr:uid="{8B727499-2A1A-450B-9800-30413FFAF829}"/>
    <cellStyle name="40% - Accent6 2 2 2 3 2 5" xfId="11799" xr:uid="{1F746687-6269-4D69-8FB5-116E3BBED47B}"/>
    <cellStyle name="40% - Accent6 2 2 2 3 3" xfId="5422" xr:uid="{00000000-0005-0000-0000-0000EC060000}"/>
    <cellStyle name="40% - Accent6 2 2 2 3 3 2" xfId="30754" xr:uid="{2361C67C-39D8-40BD-88E4-F09A1EA119EB}"/>
    <cellStyle name="40% - Accent6 2 2 2 3 3 3" xfId="22313" xr:uid="{C080636D-A6BA-40A7-891A-40CA1B6E9F73}"/>
    <cellStyle name="40% - Accent6 2 2 2 3 3 4" xfId="13872" xr:uid="{9778E35A-3269-4E7B-9E68-1F660E51D30D}"/>
    <cellStyle name="40% - Accent6 2 2 2 3 4" xfId="26536" xr:uid="{BCA5D292-D7D1-4B8F-9CB8-7E99224CD89E}"/>
    <cellStyle name="40% - Accent6 2 2 2 3 5" xfId="18095" xr:uid="{B4F0E3D6-6446-49C4-B798-36B3D855F443}"/>
    <cellStyle name="40% - Accent6 2 2 2 3 6" xfId="9654" xr:uid="{CDAEA81D-A73E-4721-A25F-AD65A18A0A4F}"/>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2 2 2" xfId="33312" xr:uid="{BFF38967-B199-4470-9CCB-EFEAD52CF8C2}"/>
    <cellStyle name="40% - Accent6 2 2 2 4 2 2 3" xfId="24871" xr:uid="{1B89D241-BDA0-4568-B98B-BC6DDC5B8BFC}"/>
    <cellStyle name="40% - Accent6 2 2 2 4 2 2 4" xfId="16430" xr:uid="{B0C71610-C8E0-4CEC-BFE1-0D82E9C3BF1F}"/>
    <cellStyle name="40% - Accent6 2 2 2 4 2 3" xfId="29094" xr:uid="{94CABC0A-EA1D-4660-99D3-2CB696B42323}"/>
    <cellStyle name="40% - Accent6 2 2 2 4 2 4" xfId="20653" xr:uid="{37F90333-0158-4BFC-BCF9-3A943302ED59}"/>
    <cellStyle name="40% - Accent6 2 2 2 4 2 5" xfId="12212" xr:uid="{F9BBBAD7-D4D6-40DF-BEF8-D51133D77FDB}"/>
    <cellStyle name="40% - Accent6 2 2 2 4 3" xfId="5835" xr:uid="{00000000-0005-0000-0000-0000F0060000}"/>
    <cellStyle name="40% - Accent6 2 2 2 4 3 2" xfId="31167" xr:uid="{55AC7B86-7D8F-4D2A-BC52-132ECE2A9DD1}"/>
    <cellStyle name="40% - Accent6 2 2 2 4 3 3" xfId="22726" xr:uid="{7F36238B-4626-4B2E-8BFC-F5C0D4C6CBBF}"/>
    <cellStyle name="40% - Accent6 2 2 2 4 3 4" xfId="14285" xr:uid="{CC9A267B-2CA9-4535-A442-C2A884F9D79C}"/>
    <cellStyle name="40% - Accent6 2 2 2 4 4" xfId="26949" xr:uid="{0E738485-B608-473F-A831-95A985F2FFD5}"/>
    <cellStyle name="40% - Accent6 2 2 2 4 5" xfId="18508" xr:uid="{E2F13117-DD3C-42F1-80AC-AFC0876C9EAB}"/>
    <cellStyle name="40% - Accent6 2 2 2 4 6" xfId="10067" xr:uid="{62198910-2516-4329-8A37-E639959E8B5A}"/>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2 2 2" xfId="33725" xr:uid="{1E383320-8188-4F74-AA6E-B94766CD3CC9}"/>
    <cellStyle name="40% - Accent6 2 2 2 5 2 2 3" xfId="25284" xr:uid="{97D2D424-77DB-439B-8088-14068E0865B2}"/>
    <cellStyle name="40% - Accent6 2 2 2 5 2 2 4" xfId="16843" xr:uid="{5AF8025A-8122-401B-9980-3CA77827DE4E}"/>
    <cellStyle name="40% - Accent6 2 2 2 5 2 3" xfId="29507" xr:uid="{B776780F-9FA1-49CB-82DC-3AFF5F51A4C9}"/>
    <cellStyle name="40% - Accent6 2 2 2 5 2 4" xfId="21066" xr:uid="{D2C118D7-8300-4341-A84F-009AF0FC6F47}"/>
    <cellStyle name="40% - Accent6 2 2 2 5 2 5" xfId="12625" xr:uid="{8321FAF8-5D04-425D-9784-AC2CC65C1BA1}"/>
    <cellStyle name="40% - Accent6 2 2 2 5 3" xfId="6248" xr:uid="{00000000-0005-0000-0000-0000F4060000}"/>
    <cellStyle name="40% - Accent6 2 2 2 5 3 2" xfId="31580" xr:uid="{6209FB5F-FCBD-401A-B67E-AF7BCBE4EFBA}"/>
    <cellStyle name="40% - Accent6 2 2 2 5 3 3" xfId="23139" xr:uid="{113C95A3-7C78-4C55-8B04-58817F6CC3A8}"/>
    <cellStyle name="40% - Accent6 2 2 2 5 3 4" xfId="14698" xr:uid="{BA59A2BC-B8A4-4994-9A44-C177C8FEA896}"/>
    <cellStyle name="40% - Accent6 2 2 2 5 4" xfId="27362" xr:uid="{B8E167ED-1EF1-4F4D-8CC2-7AA6EFE6DBA5}"/>
    <cellStyle name="40% - Accent6 2 2 2 5 5" xfId="18921" xr:uid="{DA7CAAA1-833D-447E-A976-EFE90F882DB0}"/>
    <cellStyle name="40% - Accent6 2 2 2 5 6" xfId="10480" xr:uid="{04FF93BF-7111-4249-88B3-28DA197433F9}"/>
    <cellStyle name="40% - Accent6 2 2 2 6" xfId="2355" xr:uid="{00000000-0005-0000-0000-0000F5060000}"/>
    <cellStyle name="40% - Accent6 2 2 2 6 2" xfId="6661" xr:uid="{00000000-0005-0000-0000-0000F6060000}"/>
    <cellStyle name="40% - Accent6 2 2 2 6 2 2" xfId="31993" xr:uid="{44C9F4A1-99DA-416F-856D-7DF8CE0F2146}"/>
    <cellStyle name="40% - Accent6 2 2 2 6 2 3" xfId="23552" xr:uid="{8796A9F8-C54D-4AC6-881D-A8D694436809}"/>
    <cellStyle name="40% - Accent6 2 2 2 6 2 4" xfId="15111" xr:uid="{15217C7A-4DF8-486E-81C6-5664CABA42A7}"/>
    <cellStyle name="40% - Accent6 2 2 2 6 3" xfId="27775" xr:uid="{5B72CFC5-729A-4336-B0B1-4B2B8476BD60}"/>
    <cellStyle name="40% - Accent6 2 2 2 6 4" xfId="19334" xr:uid="{401C98F2-7F46-418A-83C5-66069D0F9106}"/>
    <cellStyle name="40% - Accent6 2 2 2 6 5" xfId="10893" xr:uid="{0F01CC64-2A6F-4B37-9674-6B580761372C}"/>
    <cellStyle name="40% - Accent6 2 2 2 7" xfId="4595" xr:uid="{00000000-0005-0000-0000-0000F7060000}"/>
    <cellStyle name="40% - Accent6 2 2 2 7 2" xfId="29927" xr:uid="{E6EC2AA1-9CEB-45EC-9E94-41383A5B1A2C}"/>
    <cellStyle name="40% - Accent6 2 2 2 7 3" xfId="21486" xr:uid="{D0EF31D9-3E09-4E76-B376-0B1891AE4B2B}"/>
    <cellStyle name="40% - Accent6 2 2 2 7 4" xfId="13045" xr:uid="{DA88AE53-8CC4-4131-857D-CF03716E0E54}"/>
    <cellStyle name="40% - Accent6 2 2 2 8" xfId="25709" xr:uid="{449A1D50-FA62-4CD4-91CD-261B84189830}"/>
    <cellStyle name="40% - Accent6 2 2 2 9" xfId="17268" xr:uid="{0AC0FE8A-F955-4E66-A057-36F0015C790C}"/>
    <cellStyle name="40% - Accent6 2 2 3" xfId="660" xr:uid="{00000000-0005-0000-0000-0000F8060000}"/>
    <cellStyle name="40% - Accent6 2 2 3 2" xfId="2931" xr:uid="{00000000-0005-0000-0000-0000F9060000}"/>
    <cellStyle name="40% - Accent6 2 2 3 2 2" xfId="7153" xr:uid="{00000000-0005-0000-0000-0000FA060000}"/>
    <cellStyle name="40% - Accent6 2 2 3 2 2 2" xfId="32485" xr:uid="{E585F8BA-5C05-4002-9644-2DF7960EBA56}"/>
    <cellStyle name="40% - Accent6 2 2 3 2 2 3" xfId="24044" xr:uid="{570ABEF5-7DBA-445B-A4E8-8E8459DE4196}"/>
    <cellStyle name="40% - Accent6 2 2 3 2 2 4" xfId="15603" xr:uid="{B2DD04FE-A8DC-4EFB-BD30-EDFD0CEE047A}"/>
    <cellStyle name="40% - Accent6 2 2 3 2 3" xfId="28267" xr:uid="{5EAB0E02-5684-4F09-8428-547AB46B9C07}"/>
    <cellStyle name="40% - Accent6 2 2 3 2 4" xfId="19826" xr:uid="{99DAC3E4-9BF1-4F2F-BE8F-A67A0FF3965E}"/>
    <cellStyle name="40% - Accent6 2 2 3 2 5" xfId="11385" xr:uid="{A8355467-E20A-4239-A4F4-856E9FA9981E}"/>
    <cellStyle name="40% - Accent6 2 2 3 3" xfId="5008" xr:uid="{00000000-0005-0000-0000-0000FB060000}"/>
    <cellStyle name="40% - Accent6 2 2 3 3 2" xfId="30340" xr:uid="{1E24FDFC-5628-445C-A62E-1245B96BBFE3}"/>
    <cellStyle name="40% - Accent6 2 2 3 3 3" xfId="21899" xr:uid="{E0872B18-AA14-493E-ABEB-EE61B2A4B111}"/>
    <cellStyle name="40% - Accent6 2 2 3 3 4" xfId="13458" xr:uid="{E0EDB102-E3F0-4591-BBA5-73594E10BF7E}"/>
    <cellStyle name="40% - Accent6 2 2 3 4" xfId="26122" xr:uid="{91D6D2F0-6E08-48F3-8980-B95BD89E69FB}"/>
    <cellStyle name="40% - Accent6 2 2 3 5" xfId="17681" xr:uid="{589F4AA1-4973-40DE-98DD-132417F2B389}"/>
    <cellStyle name="40% - Accent6 2 2 3 6" xfId="9240" xr:uid="{8F81ED84-99D3-4B47-AF2C-AB032DEEF6DB}"/>
    <cellStyle name="40% - Accent6 2 2 4" xfId="1113" xr:uid="{00000000-0005-0000-0000-0000FC060000}"/>
    <cellStyle name="40% - Accent6 2 2 4 2" xfId="3344" xr:uid="{00000000-0005-0000-0000-0000FD060000}"/>
    <cellStyle name="40% - Accent6 2 2 4 2 2" xfId="7566" xr:uid="{00000000-0005-0000-0000-0000FE060000}"/>
    <cellStyle name="40% - Accent6 2 2 4 2 2 2" xfId="32898" xr:uid="{C23AAAE3-1BF0-4172-A4E2-FB42055556C6}"/>
    <cellStyle name="40% - Accent6 2 2 4 2 2 3" xfId="24457" xr:uid="{9FBE6265-2C91-4CF7-B3B5-C3E125598D99}"/>
    <cellStyle name="40% - Accent6 2 2 4 2 2 4" xfId="16016" xr:uid="{C94B05B8-6B49-4F35-B400-64E04E3A7437}"/>
    <cellStyle name="40% - Accent6 2 2 4 2 3" xfId="28680" xr:uid="{16253EA4-CF02-4847-AA18-41BDBDE2A41F}"/>
    <cellStyle name="40% - Accent6 2 2 4 2 4" xfId="20239" xr:uid="{D3D4B831-262E-4173-BB4E-B0219C2ABB83}"/>
    <cellStyle name="40% - Accent6 2 2 4 2 5" xfId="11798" xr:uid="{7737EEDD-0C65-49FC-B654-651FC19C4F49}"/>
    <cellStyle name="40% - Accent6 2 2 4 3" xfId="5421" xr:uid="{00000000-0005-0000-0000-0000FF060000}"/>
    <cellStyle name="40% - Accent6 2 2 4 3 2" xfId="30753" xr:uid="{4969DE86-484D-4B9C-81A3-19411A6063E5}"/>
    <cellStyle name="40% - Accent6 2 2 4 3 3" xfId="22312" xr:uid="{F62AF693-F56A-42C8-AF9B-4BE87E2DB33D}"/>
    <cellStyle name="40% - Accent6 2 2 4 3 4" xfId="13871" xr:uid="{5921B794-D422-45A8-8446-79FC3B20B9C4}"/>
    <cellStyle name="40% - Accent6 2 2 4 4" xfId="26535" xr:uid="{217EC459-9040-4394-B323-45BA7CDEB589}"/>
    <cellStyle name="40% - Accent6 2 2 4 5" xfId="18094" xr:uid="{99FC56C6-BEDB-4935-B6A6-C942630EA5E2}"/>
    <cellStyle name="40% - Accent6 2 2 4 6" xfId="9653" xr:uid="{1B621F82-3528-4B0D-9708-16E0294DBD33}"/>
    <cellStyle name="40% - Accent6 2 2 5" xfId="1527" xr:uid="{00000000-0005-0000-0000-000000070000}"/>
    <cellStyle name="40% - Accent6 2 2 5 2" xfId="3757" xr:uid="{00000000-0005-0000-0000-000001070000}"/>
    <cellStyle name="40% - Accent6 2 2 5 2 2" xfId="7979" xr:uid="{00000000-0005-0000-0000-000002070000}"/>
    <cellStyle name="40% - Accent6 2 2 5 2 2 2" xfId="33311" xr:uid="{944F047F-9D57-4948-88B6-419F185B2F83}"/>
    <cellStyle name="40% - Accent6 2 2 5 2 2 3" xfId="24870" xr:uid="{6DA543B3-ED00-4468-B4A0-72CC938C2248}"/>
    <cellStyle name="40% - Accent6 2 2 5 2 2 4" xfId="16429" xr:uid="{0BDECA38-E9B1-47F1-A7F9-1912E8F4E34C}"/>
    <cellStyle name="40% - Accent6 2 2 5 2 3" xfId="29093" xr:uid="{9B7DA904-F24F-4983-982C-CC02C0CB7844}"/>
    <cellStyle name="40% - Accent6 2 2 5 2 4" xfId="20652" xr:uid="{B1A3E3D9-6635-4B9D-91DA-3E4F67AD65C1}"/>
    <cellStyle name="40% - Accent6 2 2 5 2 5" xfId="12211" xr:uid="{FADACDEC-5F49-4C47-911F-5B47E8F13894}"/>
    <cellStyle name="40% - Accent6 2 2 5 3" xfId="5834" xr:uid="{00000000-0005-0000-0000-000003070000}"/>
    <cellStyle name="40% - Accent6 2 2 5 3 2" xfId="31166" xr:uid="{A2B0F029-C904-4AAD-B7B4-DD3EFAE6B6D3}"/>
    <cellStyle name="40% - Accent6 2 2 5 3 3" xfId="22725" xr:uid="{5807F821-B0A5-47C7-A3DD-67A770D488FA}"/>
    <cellStyle name="40% - Accent6 2 2 5 3 4" xfId="14284" xr:uid="{3655B622-2CE1-4E64-8267-4BF862E62278}"/>
    <cellStyle name="40% - Accent6 2 2 5 4" xfId="26948" xr:uid="{33DD0B05-F9E1-462A-B411-988DCB533C72}"/>
    <cellStyle name="40% - Accent6 2 2 5 5" xfId="18507" xr:uid="{A8FC28FC-5086-411A-AE0D-21A4CB26A5F5}"/>
    <cellStyle name="40% - Accent6 2 2 5 6" xfId="10066" xr:uid="{2583BCDE-D33C-4162-AA7A-360E8B2470C3}"/>
    <cellStyle name="40% - Accent6 2 2 6" xfId="1941" xr:uid="{00000000-0005-0000-0000-000004070000}"/>
    <cellStyle name="40% - Accent6 2 2 6 2" xfId="4170" xr:uid="{00000000-0005-0000-0000-000005070000}"/>
    <cellStyle name="40% - Accent6 2 2 6 2 2" xfId="8392" xr:uid="{00000000-0005-0000-0000-000006070000}"/>
    <cellStyle name="40% - Accent6 2 2 6 2 2 2" xfId="33724" xr:uid="{52D75041-7D06-45A8-89BC-69397E8E625F}"/>
    <cellStyle name="40% - Accent6 2 2 6 2 2 3" xfId="25283" xr:uid="{209BB89B-024C-4472-8474-AE032B6FFDEC}"/>
    <cellStyle name="40% - Accent6 2 2 6 2 2 4" xfId="16842" xr:uid="{E6C26E4F-92D7-493B-8ABC-75CB1E68DB9D}"/>
    <cellStyle name="40% - Accent6 2 2 6 2 3" xfId="29506" xr:uid="{899F6C8E-53B4-4BB2-96BB-372165CF2E5F}"/>
    <cellStyle name="40% - Accent6 2 2 6 2 4" xfId="21065" xr:uid="{F024CD89-8FFA-43F5-BEF3-A000409E05D4}"/>
    <cellStyle name="40% - Accent6 2 2 6 2 5" xfId="12624" xr:uid="{AFE2D460-9551-42AC-B656-6B065F129F35}"/>
    <cellStyle name="40% - Accent6 2 2 6 3" xfId="6247" xr:uid="{00000000-0005-0000-0000-000007070000}"/>
    <cellStyle name="40% - Accent6 2 2 6 3 2" xfId="31579" xr:uid="{0AC82F0C-39C3-4622-BE6D-3E88A4A91CB9}"/>
    <cellStyle name="40% - Accent6 2 2 6 3 3" xfId="23138" xr:uid="{29F5415F-052E-4D8E-A0A8-E8914E7E4124}"/>
    <cellStyle name="40% - Accent6 2 2 6 3 4" xfId="14697" xr:uid="{B521FEE2-EE23-4910-8847-790B3059777D}"/>
    <cellStyle name="40% - Accent6 2 2 6 4" xfId="27361" xr:uid="{4F98908F-15A4-4834-A6E8-6B79C6E9A6DF}"/>
    <cellStyle name="40% - Accent6 2 2 6 5" xfId="18920" xr:uid="{64F5F242-0BFE-4469-A4ED-649CD16203D9}"/>
    <cellStyle name="40% - Accent6 2 2 6 6" xfId="10479" xr:uid="{7EE56D50-4ED4-41FD-95C8-68F708932D5E}"/>
    <cellStyle name="40% - Accent6 2 2 7" xfId="2354" xr:uid="{00000000-0005-0000-0000-000008070000}"/>
    <cellStyle name="40% - Accent6 2 2 7 2" xfId="6660" xr:uid="{00000000-0005-0000-0000-000009070000}"/>
    <cellStyle name="40% - Accent6 2 2 7 2 2" xfId="31992" xr:uid="{4D7A63C2-C471-41E3-9E80-835855D48199}"/>
    <cellStyle name="40% - Accent6 2 2 7 2 3" xfId="23551" xr:uid="{801E1E99-42FB-4321-8959-F8428188F401}"/>
    <cellStyle name="40% - Accent6 2 2 7 2 4" xfId="15110" xr:uid="{81F9C33D-03DD-4F72-9843-FCCF218EC9A4}"/>
    <cellStyle name="40% - Accent6 2 2 7 3" xfId="27774" xr:uid="{D0D0C1D5-C211-42CF-8E4B-D27711C92AC9}"/>
    <cellStyle name="40% - Accent6 2 2 7 4" xfId="19333" xr:uid="{BDDC6048-F76F-4AED-92D7-4BEE371388DF}"/>
    <cellStyle name="40% - Accent6 2 2 7 5" xfId="10892" xr:uid="{BEFB858F-1A9E-47D4-8D19-E660E2598A29}"/>
    <cellStyle name="40% - Accent6 2 2 8" xfId="4594" xr:uid="{00000000-0005-0000-0000-00000A070000}"/>
    <cellStyle name="40% - Accent6 2 2 8 2" xfId="29926" xr:uid="{07C6AD8C-D404-40F7-B10F-69515A91B598}"/>
    <cellStyle name="40% - Accent6 2 2 8 3" xfId="21485" xr:uid="{0F0583E2-FE88-4899-B0D1-31BF5A209ABA}"/>
    <cellStyle name="40% - Accent6 2 2 8 4" xfId="13044" xr:uid="{12C01D79-6353-4290-AE4B-D6B2A759CA8F}"/>
    <cellStyle name="40% - Accent6 2 2 9" xfId="25708" xr:uid="{DAAD1730-3F5B-494F-9C16-11914EA119AA}"/>
    <cellStyle name="40% - Accent6 2 3" xfId="93" xr:uid="{00000000-0005-0000-0000-00000B070000}"/>
    <cellStyle name="40% - Accent6 2 3 10" xfId="8828" xr:uid="{B85100CA-202D-4F24-80B6-4487D85F0217}"/>
    <cellStyle name="40% - Accent6 2 3 2" xfId="662" xr:uid="{00000000-0005-0000-0000-00000C070000}"/>
    <cellStyle name="40% - Accent6 2 3 2 2" xfId="2933" xr:uid="{00000000-0005-0000-0000-00000D070000}"/>
    <cellStyle name="40% - Accent6 2 3 2 2 2" xfId="7155" xr:uid="{00000000-0005-0000-0000-00000E070000}"/>
    <cellStyle name="40% - Accent6 2 3 2 2 2 2" xfId="32487" xr:uid="{889435C8-2AB4-4976-B35D-421640319DBC}"/>
    <cellStyle name="40% - Accent6 2 3 2 2 2 3" xfId="24046" xr:uid="{FF379555-2C4E-4CF1-8310-8E9F3AFA7F5C}"/>
    <cellStyle name="40% - Accent6 2 3 2 2 2 4" xfId="15605" xr:uid="{7A2A6A25-66E5-4F95-941B-EB57BF81DA1C}"/>
    <cellStyle name="40% - Accent6 2 3 2 2 3" xfId="28269" xr:uid="{25824445-15D3-44EB-8B4C-1B06109A596F}"/>
    <cellStyle name="40% - Accent6 2 3 2 2 4" xfId="19828" xr:uid="{36E316D3-C48E-44A1-A6EB-3F70004BDAB4}"/>
    <cellStyle name="40% - Accent6 2 3 2 2 5" xfId="11387" xr:uid="{1F9D25D6-CF9D-4195-84E1-4E67A3A02BF8}"/>
    <cellStyle name="40% - Accent6 2 3 2 3" xfId="5010" xr:uid="{00000000-0005-0000-0000-00000F070000}"/>
    <cellStyle name="40% - Accent6 2 3 2 3 2" xfId="30342" xr:uid="{7C530BAD-A3E5-4013-A8DB-098BB91D9CF2}"/>
    <cellStyle name="40% - Accent6 2 3 2 3 3" xfId="21901" xr:uid="{C21D76A4-8734-41CD-A982-AA6B6C49DC9A}"/>
    <cellStyle name="40% - Accent6 2 3 2 3 4" xfId="13460" xr:uid="{02D58943-5961-45CD-ABD8-55FB2B80AD1A}"/>
    <cellStyle name="40% - Accent6 2 3 2 4" xfId="26124" xr:uid="{5AA538E8-5A54-4D5F-8193-11249F2DEC59}"/>
    <cellStyle name="40% - Accent6 2 3 2 5" xfId="17683" xr:uid="{45F1FDFF-3A55-4426-9A18-09740417DAC4}"/>
    <cellStyle name="40% - Accent6 2 3 2 6" xfId="9242" xr:uid="{3DAE4574-3FB0-4417-87D7-A68B571B5CDE}"/>
    <cellStyle name="40% - Accent6 2 3 3" xfId="1115" xr:uid="{00000000-0005-0000-0000-000010070000}"/>
    <cellStyle name="40% - Accent6 2 3 3 2" xfId="3346" xr:uid="{00000000-0005-0000-0000-000011070000}"/>
    <cellStyle name="40% - Accent6 2 3 3 2 2" xfId="7568" xr:uid="{00000000-0005-0000-0000-000012070000}"/>
    <cellStyle name="40% - Accent6 2 3 3 2 2 2" xfId="32900" xr:uid="{7744A1BF-2EF4-43ED-A0F6-6854319F0BB7}"/>
    <cellStyle name="40% - Accent6 2 3 3 2 2 3" xfId="24459" xr:uid="{52E5BEB6-C754-402D-AB4D-38F2A3508C8D}"/>
    <cellStyle name="40% - Accent6 2 3 3 2 2 4" xfId="16018" xr:uid="{19A763B4-DFD4-4AE9-B498-22E09B8B00A7}"/>
    <cellStyle name="40% - Accent6 2 3 3 2 3" xfId="28682" xr:uid="{4B369C1D-5C37-4009-A1DC-DBD6AF62C974}"/>
    <cellStyle name="40% - Accent6 2 3 3 2 4" xfId="20241" xr:uid="{22506363-B489-4789-AE8D-5FCBE3AE4C63}"/>
    <cellStyle name="40% - Accent6 2 3 3 2 5" xfId="11800" xr:uid="{E0C3F39E-D751-46B7-BF4A-C39F45BDB083}"/>
    <cellStyle name="40% - Accent6 2 3 3 3" xfId="5423" xr:uid="{00000000-0005-0000-0000-000013070000}"/>
    <cellStyle name="40% - Accent6 2 3 3 3 2" xfId="30755" xr:uid="{B05AE565-C051-4E70-9554-EE7F07B843CD}"/>
    <cellStyle name="40% - Accent6 2 3 3 3 3" xfId="22314" xr:uid="{8DB942B4-2A01-429D-9892-4875BDAF23F4}"/>
    <cellStyle name="40% - Accent6 2 3 3 3 4" xfId="13873" xr:uid="{F9C6B61B-6ABD-413C-8CD7-F00F0BF42C02}"/>
    <cellStyle name="40% - Accent6 2 3 3 4" xfId="26537" xr:uid="{95E60645-7616-4832-93EA-CD98A92127F6}"/>
    <cellStyle name="40% - Accent6 2 3 3 5" xfId="18096" xr:uid="{A935D1B0-ECAA-4A95-BA75-61093D84C61D}"/>
    <cellStyle name="40% - Accent6 2 3 3 6" xfId="9655" xr:uid="{BC711C1D-DC6F-43E0-B40F-8D64FDF4D74A}"/>
    <cellStyle name="40% - Accent6 2 3 4" xfId="1529" xr:uid="{00000000-0005-0000-0000-000014070000}"/>
    <cellStyle name="40% - Accent6 2 3 4 2" xfId="3759" xr:uid="{00000000-0005-0000-0000-000015070000}"/>
    <cellStyle name="40% - Accent6 2 3 4 2 2" xfId="7981" xr:uid="{00000000-0005-0000-0000-000016070000}"/>
    <cellStyle name="40% - Accent6 2 3 4 2 2 2" xfId="33313" xr:uid="{FF0B9391-41F5-4069-9414-94BCEADB0622}"/>
    <cellStyle name="40% - Accent6 2 3 4 2 2 3" xfId="24872" xr:uid="{943C6C68-742B-41FE-AC8B-70EAC81B59D1}"/>
    <cellStyle name="40% - Accent6 2 3 4 2 2 4" xfId="16431" xr:uid="{39856302-5DA8-44CF-8CC5-185A209AC27B}"/>
    <cellStyle name="40% - Accent6 2 3 4 2 3" xfId="29095" xr:uid="{A4D9EE86-FD71-46AD-8427-5BEA86100AA1}"/>
    <cellStyle name="40% - Accent6 2 3 4 2 4" xfId="20654" xr:uid="{5E8EE0B8-03C1-4747-8162-8A531CD05DEA}"/>
    <cellStyle name="40% - Accent6 2 3 4 2 5" xfId="12213" xr:uid="{74B20FD3-3B31-4E71-B201-F87E12ABF183}"/>
    <cellStyle name="40% - Accent6 2 3 4 3" xfId="5836" xr:uid="{00000000-0005-0000-0000-000017070000}"/>
    <cellStyle name="40% - Accent6 2 3 4 3 2" xfId="31168" xr:uid="{2776025B-BD6E-4FFC-BB7A-09F3D8EA9414}"/>
    <cellStyle name="40% - Accent6 2 3 4 3 3" xfId="22727" xr:uid="{332D9E8A-37D7-466E-8C43-9FB2AFD53528}"/>
    <cellStyle name="40% - Accent6 2 3 4 3 4" xfId="14286" xr:uid="{1DF76E0B-FEDB-4551-B25D-8A03743BFDF7}"/>
    <cellStyle name="40% - Accent6 2 3 4 4" xfId="26950" xr:uid="{D81C99D3-94DC-4504-A8F1-94ABFD1D581C}"/>
    <cellStyle name="40% - Accent6 2 3 4 5" xfId="18509" xr:uid="{F0CD27A5-7602-4CAD-A77E-EBAA1623A5B8}"/>
    <cellStyle name="40% - Accent6 2 3 4 6" xfId="10068" xr:uid="{F415474D-F871-46D5-A104-E7C4DA49C5EF}"/>
    <cellStyle name="40% - Accent6 2 3 5" xfId="1943" xr:uid="{00000000-0005-0000-0000-000018070000}"/>
    <cellStyle name="40% - Accent6 2 3 5 2" xfId="4172" xr:uid="{00000000-0005-0000-0000-000019070000}"/>
    <cellStyle name="40% - Accent6 2 3 5 2 2" xfId="8394" xr:uid="{00000000-0005-0000-0000-00001A070000}"/>
    <cellStyle name="40% - Accent6 2 3 5 2 2 2" xfId="33726" xr:uid="{A9EC5D3B-DF85-491E-B367-69136ECB0D3F}"/>
    <cellStyle name="40% - Accent6 2 3 5 2 2 3" xfId="25285" xr:uid="{338AF74E-53E4-43DD-9670-ECC94C808D9C}"/>
    <cellStyle name="40% - Accent6 2 3 5 2 2 4" xfId="16844" xr:uid="{6CDD7C44-1974-4392-84FC-8B7C0F7DE760}"/>
    <cellStyle name="40% - Accent6 2 3 5 2 3" xfId="29508" xr:uid="{5C5252D9-53A0-4C9D-819C-61800F0590D5}"/>
    <cellStyle name="40% - Accent6 2 3 5 2 4" xfId="21067" xr:uid="{362AE6C1-D41D-4D48-A99D-335D5F3AEAD6}"/>
    <cellStyle name="40% - Accent6 2 3 5 2 5" xfId="12626" xr:uid="{12E9E300-836D-4ECE-B359-BEAF7E55C6C6}"/>
    <cellStyle name="40% - Accent6 2 3 5 3" xfId="6249" xr:uid="{00000000-0005-0000-0000-00001B070000}"/>
    <cellStyle name="40% - Accent6 2 3 5 3 2" xfId="31581" xr:uid="{F216C340-07D0-4D73-B6B9-6A2F91208FB3}"/>
    <cellStyle name="40% - Accent6 2 3 5 3 3" xfId="23140" xr:uid="{D92ECA7F-51A4-47B0-8511-CA76742EA0B6}"/>
    <cellStyle name="40% - Accent6 2 3 5 3 4" xfId="14699" xr:uid="{B73D2992-8196-4BD0-8C93-2578940CCBED}"/>
    <cellStyle name="40% - Accent6 2 3 5 4" xfId="27363" xr:uid="{4389ACC7-C440-40A1-A8D9-3D200F8A6E65}"/>
    <cellStyle name="40% - Accent6 2 3 5 5" xfId="18922" xr:uid="{B118E383-6F3B-4652-AB20-259F8808FB21}"/>
    <cellStyle name="40% - Accent6 2 3 5 6" xfId="10481" xr:uid="{98890F5E-80D3-4FD2-85F0-CC5E5E3C72A2}"/>
    <cellStyle name="40% - Accent6 2 3 6" xfId="2356" xr:uid="{00000000-0005-0000-0000-00001C070000}"/>
    <cellStyle name="40% - Accent6 2 3 6 2" xfId="6662" xr:uid="{00000000-0005-0000-0000-00001D070000}"/>
    <cellStyle name="40% - Accent6 2 3 6 2 2" xfId="31994" xr:uid="{54C24288-AF80-402C-B3DB-0B883C927114}"/>
    <cellStyle name="40% - Accent6 2 3 6 2 3" xfId="23553" xr:uid="{7F7D030C-9BE5-4E80-BDC3-C642368368CF}"/>
    <cellStyle name="40% - Accent6 2 3 6 2 4" xfId="15112" xr:uid="{3A4BD78A-8483-4CB0-A331-D2A64B9CF28C}"/>
    <cellStyle name="40% - Accent6 2 3 6 3" xfId="27776" xr:uid="{D84FB0E0-9A97-4C66-B2C0-47784C6A8FFC}"/>
    <cellStyle name="40% - Accent6 2 3 6 4" xfId="19335" xr:uid="{9000F21C-D61F-4CBE-9A07-A398B5EEE2C7}"/>
    <cellStyle name="40% - Accent6 2 3 6 5" xfId="10894" xr:uid="{38784286-2075-4E91-8237-97967178EF10}"/>
    <cellStyle name="40% - Accent6 2 3 7" xfId="4596" xr:uid="{00000000-0005-0000-0000-00001E070000}"/>
    <cellStyle name="40% - Accent6 2 3 7 2" xfId="29928" xr:uid="{416781C4-FA5F-4E89-9D5B-4285BAD49883}"/>
    <cellStyle name="40% - Accent6 2 3 7 3" xfId="21487" xr:uid="{ADA1A9C1-40D7-4600-A2CA-4468962E7B58}"/>
    <cellStyle name="40% - Accent6 2 3 7 4" xfId="13046" xr:uid="{08B503A5-02D9-4722-BAAE-831215A62115}"/>
    <cellStyle name="40% - Accent6 2 3 8" xfId="25710" xr:uid="{F6CF235E-4789-4DA4-8D48-F7044A76E36E}"/>
    <cellStyle name="40% - Accent6 2 3 9" xfId="17269" xr:uid="{84AB9399-E203-416A-B146-F492635339FC}"/>
    <cellStyle name="40% - Accent6 2 4" xfId="659" xr:uid="{00000000-0005-0000-0000-00001F070000}"/>
    <cellStyle name="40% - Accent6 2 4 2" xfId="2930" xr:uid="{00000000-0005-0000-0000-000020070000}"/>
    <cellStyle name="40% - Accent6 2 4 2 2" xfId="7152" xr:uid="{00000000-0005-0000-0000-000021070000}"/>
    <cellStyle name="40% - Accent6 2 4 2 2 2" xfId="32484" xr:uid="{41EA6D71-6C2C-4C2A-B7DF-2243839BAF63}"/>
    <cellStyle name="40% - Accent6 2 4 2 2 3" xfId="24043" xr:uid="{5611FA39-FCA7-4859-9F51-494C0D7F80EA}"/>
    <cellStyle name="40% - Accent6 2 4 2 2 4" xfId="15602" xr:uid="{4CCBE2AD-A353-4837-BA30-0BF2B0E7D118}"/>
    <cellStyle name="40% - Accent6 2 4 2 3" xfId="28266" xr:uid="{CC67E45C-472E-4680-A5E0-001523A47C77}"/>
    <cellStyle name="40% - Accent6 2 4 2 4" xfId="19825" xr:uid="{EEFF3FB2-F983-4A42-8493-5EE7DDA2DF4F}"/>
    <cellStyle name="40% - Accent6 2 4 2 5" xfId="11384" xr:uid="{8A86A7F8-99C7-465F-B345-4BBEAAD079A4}"/>
    <cellStyle name="40% - Accent6 2 4 3" xfId="5007" xr:uid="{00000000-0005-0000-0000-000022070000}"/>
    <cellStyle name="40% - Accent6 2 4 3 2" xfId="30339" xr:uid="{C2910F06-4AD2-4824-B5B9-DF258BF8C7B8}"/>
    <cellStyle name="40% - Accent6 2 4 3 3" xfId="21898" xr:uid="{02D9CD87-E6F7-4F15-A6B2-415EA52C4DE0}"/>
    <cellStyle name="40% - Accent6 2 4 3 4" xfId="13457" xr:uid="{5AEC527A-2700-418C-A4A0-B625D91A716B}"/>
    <cellStyle name="40% - Accent6 2 4 4" xfId="26121" xr:uid="{B60C5A2F-A817-4B4B-B141-260C8C107484}"/>
    <cellStyle name="40% - Accent6 2 4 5" xfId="17680" xr:uid="{D0757FD9-1FE0-4169-8CAA-ABA7F94FB014}"/>
    <cellStyle name="40% - Accent6 2 4 6" xfId="9239" xr:uid="{78193E52-4295-477F-ABE2-1655802C8808}"/>
    <cellStyle name="40% - Accent6 2 5" xfId="1112" xr:uid="{00000000-0005-0000-0000-000023070000}"/>
    <cellStyle name="40% - Accent6 2 5 2" xfId="3343" xr:uid="{00000000-0005-0000-0000-000024070000}"/>
    <cellStyle name="40% - Accent6 2 5 2 2" xfId="7565" xr:uid="{00000000-0005-0000-0000-000025070000}"/>
    <cellStyle name="40% - Accent6 2 5 2 2 2" xfId="32897" xr:uid="{61B3024E-5978-4D78-96FB-95560B480D7A}"/>
    <cellStyle name="40% - Accent6 2 5 2 2 3" xfId="24456" xr:uid="{3198459C-A386-4D2B-82DC-55E257448395}"/>
    <cellStyle name="40% - Accent6 2 5 2 2 4" xfId="16015" xr:uid="{9369A144-731B-40B8-949F-CD16383C60AA}"/>
    <cellStyle name="40% - Accent6 2 5 2 3" xfId="28679" xr:uid="{ED2DE7DD-1F51-4053-9FE0-929F82A64760}"/>
    <cellStyle name="40% - Accent6 2 5 2 4" xfId="20238" xr:uid="{1437D562-10C2-4CF6-89BE-1420DCD3290E}"/>
    <cellStyle name="40% - Accent6 2 5 2 5" xfId="11797" xr:uid="{0FF5B056-0AEC-4A9B-B69E-50BAF72E22A7}"/>
    <cellStyle name="40% - Accent6 2 5 3" xfId="5420" xr:uid="{00000000-0005-0000-0000-000026070000}"/>
    <cellStyle name="40% - Accent6 2 5 3 2" xfId="30752" xr:uid="{A7687B19-EE58-4E9E-B23E-9823DE8E1073}"/>
    <cellStyle name="40% - Accent6 2 5 3 3" xfId="22311" xr:uid="{07D681D2-4C34-43C4-AABD-50D454B40765}"/>
    <cellStyle name="40% - Accent6 2 5 3 4" xfId="13870" xr:uid="{1DF4E867-DE1F-4E7B-A77C-77C84D7BB077}"/>
    <cellStyle name="40% - Accent6 2 5 4" xfId="26534" xr:uid="{DF63B20E-1C15-4194-A6E8-E056D7AB7917}"/>
    <cellStyle name="40% - Accent6 2 5 5" xfId="18093" xr:uid="{EE304B7E-EBE6-4006-8027-1C8DDA5A219A}"/>
    <cellStyle name="40% - Accent6 2 5 6" xfId="9652" xr:uid="{71E6CA08-56BE-4F26-81B8-E5A28EC1E2BC}"/>
    <cellStyle name="40% - Accent6 2 6" xfId="1526" xr:uid="{00000000-0005-0000-0000-000027070000}"/>
    <cellStyle name="40% - Accent6 2 6 2" xfId="3756" xr:uid="{00000000-0005-0000-0000-000028070000}"/>
    <cellStyle name="40% - Accent6 2 6 2 2" xfId="7978" xr:uid="{00000000-0005-0000-0000-000029070000}"/>
    <cellStyle name="40% - Accent6 2 6 2 2 2" xfId="33310" xr:uid="{FEC8A5D9-9754-4322-8537-4C50ACBB7F0D}"/>
    <cellStyle name="40% - Accent6 2 6 2 2 3" xfId="24869" xr:uid="{A357F0B8-9D1C-4A46-8CC0-95C43A129EE1}"/>
    <cellStyle name="40% - Accent6 2 6 2 2 4" xfId="16428" xr:uid="{FE3CAE29-05A0-4B28-9CBB-28DDD4B86D0A}"/>
    <cellStyle name="40% - Accent6 2 6 2 3" xfId="29092" xr:uid="{B0A24F86-D7CE-48BA-B816-9497E97F048C}"/>
    <cellStyle name="40% - Accent6 2 6 2 4" xfId="20651" xr:uid="{6DF1E6F4-D13C-4D48-8CE8-F1AAA712203E}"/>
    <cellStyle name="40% - Accent6 2 6 2 5" xfId="12210" xr:uid="{2BE64507-277A-4DA6-AAFA-9B3309620F15}"/>
    <cellStyle name="40% - Accent6 2 6 3" xfId="5833" xr:uid="{00000000-0005-0000-0000-00002A070000}"/>
    <cellStyle name="40% - Accent6 2 6 3 2" xfId="31165" xr:uid="{EF41CDB7-4453-4ED7-A505-E8A0267A2E98}"/>
    <cellStyle name="40% - Accent6 2 6 3 3" xfId="22724" xr:uid="{4275C44D-7ACB-4B1F-B9C5-569908EFB897}"/>
    <cellStyle name="40% - Accent6 2 6 3 4" xfId="14283" xr:uid="{6EB3DDD7-CCF8-41CC-931E-E8AC75E39E39}"/>
    <cellStyle name="40% - Accent6 2 6 4" xfId="26947" xr:uid="{B2E480CA-1B93-4FF4-99C1-E9E62C0350E7}"/>
    <cellStyle name="40% - Accent6 2 6 5" xfId="18506" xr:uid="{214D9009-27FA-4A57-B1C0-618D139BB799}"/>
    <cellStyle name="40% - Accent6 2 6 6" xfId="10065" xr:uid="{81177C54-3715-4A9A-8C6B-A265FEB3ADC8}"/>
    <cellStyle name="40% - Accent6 2 7" xfId="1940" xr:uid="{00000000-0005-0000-0000-00002B070000}"/>
    <cellStyle name="40% - Accent6 2 7 2" xfId="4169" xr:uid="{00000000-0005-0000-0000-00002C070000}"/>
    <cellStyle name="40% - Accent6 2 7 2 2" xfId="8391" xr:uid="{00000000-0005-0000-0000-00002D070000}"/>
    <cellStyle name="40% - Accent6 2 7 2 2 2" xfId="33723" xr:uid="{5C00408A-3A5E-4A04-AEFB-3B36349F91F3}"/>
    <cellStyle name="40% - Accent6 2 7 2 2 3" xfId="25282" xr:uid="{3D6D66BB-24A7-4F62-A14A-C3AAE9C504AE}"/>
    <cellStyle name="40% - Accent6 2 7 2 2 4" xfId="16841" xr:uid="{A6E4F9B3-31F1-4055-8C6C-139EA798B0DA}"/>
    <cellStyle name="40% - Accent6 2 7 2 3" xfId="29505" xr:uid="{48A26D01-ECC5-47DB-B41C-12137CF8EC28}"/>
    <cellStyle name="40% - Accent6 2 7 2 4" xfId="21064" xr:uid="{D23EC43C-A879-44DE-A3A7-6C27B64A3C2C}"/>
    <cellStyle name="40% - Accent6 2 7 2 5" xfId="12623" xr:uid="{CF7F1328-2FA9-44B9-84EB-B59665F0541E}"/>
    <cellStyle name="40% - Accent6 2 7 3" xfId="6246" xr:uid="{00000000-0005-0000-0000-00002E070000}"/>
    <cellStyle name="40% - Accent6 2 7 3 2" xfId="31578" xr:uid="{410DBBF1-6A0B-4EBB-875B-97E75FA5D253}"/>
    <cellStyle name="40% - Accent6 2 7 3 3" xfId="23137" xr:uid="{4A21419F-4118-4733-96BA-AC5B67CB7CE9}"/>
    <cellStyle name="40% - Accent6 2 7 3 4" xfId="14696" xr:uid="{BD8E00E4-8D21-4D5E-B310-888377D6A73E}"/>
    <cellStyle name="40% - Accent6 2 7 4" xfId="27360" xr:uid="{3EA1634C-D221-4356-8E3A-EA96CD948136}"/>
    <cellStyle name="40% - Accent6 2 7 5" xfId="18919" xr:uid="{7DCD7FEB-5CB3-4245-9132-0D61EF693013}"/>
    <cellStyle name="40% - Accent6 2 7 6" xfId="10478" xr:uid="{AC66E853-F3A0-4759-9099-17D86EADC04B}"/>
    <cellStyle name="40% - Accent6 2 8" xfId="2353" xr:uid="{00000000-0005-0000-0000-00002F070000}"/>
    <cellStyle name="40% - Accent6 2 8 2" xfId="6659" xr:uid="{00000000-0005-0000-0000-000030070000}"/>
    <cellStyle name="40% - Accent6 2 8 2 2" xfId="31991" xr:uid="{B4AAF276-FFC4-47A0-B7A5-9EBCEC784E67}"/>
    <cellStyle name="40% - Accent6 2 8 2 3" xfId="23550" xr:uid="{C039C964-AC21-4605-8558-0D7F9F8245D0}"/>
    <cellStyle name="40% - Accent6 2 8 2 4" xfId="15109" xr:uid="{355F3200-AA1E-4A94-BCE9-C43F97569262}"/>
    <cellStyle name="40% - Accent6 2 8 3" xfId="27773" xr:uid="{8DC19101-F0F9-4A7A-A182-9954112F1F79}"/>
    <cellStyle name="40% - Accent6 2 8 4" xfId="19332" xr:uid="{C732B184-9750-42D7-B19C-2B6D9D814BC9}"/>
    <cellStyle name="40% - Accent6 2 8 5" xfId="10891" xr:uid="{550275A9-6417-4FAD-8487-6C8B8C151E28}"/>
    <cellStyle name="40% - Accent6 2 9" xfId="4593" xr:uid="{00000000-0005-0000-0000-000031070000}"/>
    <cellStyle name="40% - Accent6 2 9 2" xfId="29925" xr:uid="{CAD99F98-054E-4C12-A9DC-D8D9847C636D}"/>
    <cellStyle name="40% - Accent6 2 9 3" xfId="21484" xr:uid="{D931DC8E-B4C0-413C-84EC-FF3630AD9EC0}"/>
    <cellStyle name="40% - Accent6 2 9 4" xfId="13043" xr:uid="{D18BE5A8-5354-4CFF-9B44-9F1634779430}"/>
    <cellStyle name="40% - Accent6 3" xfId="94" xr:uid="{00000000-0005-0000-0000-000032070000}"/>
    <cellStyle name="40% - Accent6 3 10" xfId="17270" xr:uid="{ACC95324-9DDD-4FEA-A3F0-17F3AF047164}"/>
    <cellStyle name="40% - Accent6 3 11" xfId="8829" xr:uid="{D0D8BBF6-6D18-455E-806A-CF9EF0B49479}"/>
    <cellStyle name="40% - Accent6 3 2" xfId="95" xr:uid="{00000000-0005-0000-0000-000033070000}"/>
    <cellStyle name="40% - Accent6 3 2 10" xfId="8830" xr:uid="{6B749173-7C88-4B2C-A32A-F4C0C4B00688}"/>
    <cellStyle name="40% - Accent6 3 2 2" xfId="664" xr:uid="{00000000-0005-0000-0000-000034070000}"/>
    <cellStyle name="40% - Accent6 3 2 2 2" xfId="2935" xr:uid="{00000000-0005-0000-0000-000035070000}"/>
    <cellStyle name="40% - Accent6 3 2 2 2 2" xfId="7157" xr:uid="{00000000-0005-0000-0000-000036070000}"/>
    <cellStyle name="40% - Accent6 3 2 2 2 2 2" xfId="32489" xr:uid="{6C450F56-680C-4AC9-82B5-AEAD1FFD76FA}"/>
    <cellStyle name="40% - Accent6 3 2 2 2 2 3" xfId="24048" xr:uid="{2CAE55C7-9F7F-45A1-AE87-1FCDC7CF470D}"/>
    <cellStyle name="40% - Accent6 3 2 2 2 2 4" xfId="15607" xr:uid="{D737E790-9C01-4366-A159-7C0E96DC86F0}"/>
    <cellStyle name="40% - Accent6 3 2 2 2 3" xfId="28271" xr:uid="{7DA34F09-B081-4159-9EAB-5480B0AB2B05}"/>
    <cellStyle name="40% - Accent6 3 2 2 2 4" xfId="19830" xr:uid="{825DEDC4-2C96-4AFC-BD34-6CCF42DA20FC}"/>
    <cellStyle name="40% - Accent6 3 2 2 2 5" xfId="11389" xr:uid="{98878938-76E1-4C2D-B0DA-D81A3BABA2F9}"/>
    <cellStyle name="40% - Accent6 3 2 2 3" xfId="5012" xr:uid="{00000000-0005-0000-0000-000037070000}"/>
    <cellStyle name="40% - Accent6 3 2 2 3 2" xfId="30344" xr:uid="{DECDA635-AFE7-4C5D-93A5-293A7E6F7677}"/>
    <cellStyle name="40% - Accent6 3 2 2 3 3" xfId="21903" xr:uid="{F4160D04-E197-484B-8681-F8CE564DD5E0}"/>
    <cellStyle name="40% - Accent6 3 2 2 3 4" xfId="13462" xr:uid="{0796DFA0-24B4-4407-907F-6152EDCEE577}"/>
    <cellStyle name="40% - Accent6 3 2 2 4" xfId="26126" xr:uid="{68A80710-A0DD-4DE6-A2F0-1CDC2B236D2D}"/>
    <cellStyle name="40% - Accent6 3 2 2 5" xfId="17685" xr:uid="{F82B031E-0FDB-404D-8B06-217195A4EDDB}"/>
    <cellStyle name="40% - Accent6 3 2 2 6" xfId="9244" xr:uid="{2796EF3E-17F8-427D-B5FF-67758FE7A91D}"/>
    <cellStyle name="40% - Accent6 3 2 3" xfId="1117" xr:uid="{00000000-0005-0000-0000-000038070000}"/>
    <cellStyle name="40% - Accent6 3 2 3 2" xfId="3348" xr:uid="{00000000-0005-0000-0000-000039070000}"/>
    <cellStyle name="40% - Accent6 3 2 3 2 2" xfId="7570" xr:uid="{00000000-0005-0000-0000-00003A070000}"/>
    <cellStyle name="40% - Accent6 3 2 3 2 2 2" xfId="32902" xr:uid="{0DC139B8-BC08-452C-BD4E-78BAE26E29B8}"/>
    <cellStyle name="40% - Accent6 3 2 3 2 2 3" xfId="24461" xr:uid="{AC1C431D-916B-44C3-900E-89BEE0E1F1E0}"/>
    <cellStyle name="40% - Accent6 3 2 3 2 2 4" xfId="16020" xr:uid="{CB1CF510-25E9-43CE-B79F-2152A26D726D}"/>
    <cellStyle name="40% - Accent6 3 2 3 2 3" xfId="28684" xr:uid="{3544A517-8DC9-49F9-BDD4-B4EE17DC13B1}"/>
    <cellStyle name="40% - Accent6 3 2 3 2 4" xfId="20243" xr:uid="{CA71C7EB-4033-4541-BF79-CADA214810FB}"/>
    <cellStyle name="40% - Accent6 3 2 3 2 5" xfId="11802" xr:uid="{E26B9C55-EDCB-4129-A78F-3980A2001115}"/>
    <cellStyle name="40% - Accent6 3 2 3 3" xfId="5425" xr:uid="{00000000-0005-0000-0000-00003B070000}"/>
    <cellStyle name="40% - Accent6 3 2 3 3 2" xfId="30757" xr:uid="{CDA39A02-CA7F-4FAA-9D90-58B515DCC7C6}"/>
    <cellStyle name="40% - Accent6 3 2 3 3 3" xfId="22316" xr:uid="{50515261-CC65-4FE7-9BA4-BA91EBAEBFAB}"/>
    <cellStyle name="40% - Accent6 3 2 3 3 4" xfId="13875" xr:uid="{38AF1B93-0E4E-4E13-875A-17D553D5FF05}"/>
    <cellStyle name="40% - Accent6 3 2 3 4" xfId="26539" xr:uid="{450F88A2-CB3E-456E-9FFC-582F158A0019}"/>
    <cellStyle name="40% - Accent6 3 2 3 5" xfId="18098" xr:uid="{A06F05F8-9230-4D34-8D50-6CD57835A3F7}"/>
    <cellStyle name="40% - Accent6 3 2 3 6" xfId="9657" xr:uid="{7715AE7B-D306-4900-A64F-EBC4D7ADC9CF}"/>
    <cellStyle name="40% - Accent6 3 2 4" xfId="1531" xr:uid="{00000000-0005-0000-0000-00003C070000}"/>
    <cellStyle name="40% - Accent6 3 2 4 2" xfId="3761" xr:uid="{00000000-0005-0000-0000-00003D070000}"/>
    <cellStyle name="40% - Accent6 3 2 4 2 2" xfId="7983" xr:uid="{00000000-0005-0000-0000-00003E070000}"/>
    <cellStyle name="40% - Accent6 3 2 4 2 2 2" xfId="33315" xr:uid="{DF5B8039-206A-42D3-946C-27C6A853B38E}"/>
    <cellStyle name="40% - Accent6 3 2 4 2 2 3" xfId="24874" xr:uid="{92EA81D1-52A1-4511-BE62-D19998ABD8C9}"/>
    <cellStyle name="40% - Accent6 3 2 4 2 2 4" xfId="16433" xr:uid="{6A6B3EFC-DF19-408F-8F3F-64AB3D2371A2}"/>
    <cellStyle name="40% - Accent6 3 2 4 2 3" xfId="29097" xr:uid="{3E92E4FC-9574-4E5C-A904-9388CB1429AE}"/>
    <cellStyle name="40% - Accent6 3 2 4 2 4" xfId="20656" xr:uid="{36FC643E-BBFA-47DB-90CA-FEE4B0F7B9FB}"/>
    <cellStyle name="40% - Accent6 3 2 4 2 5" xfId="12215" xr:uid="{FCE931AD-2D9D-4A7F-8198-9297390593D4}"/>
    <cellStyle name="40% - Accent6 3 2 4 3" xfId="5838" xr:uid="{00000000-0005-0000-0000-00003F070000}"/>
    <cellStyle name="40% - Accent6 3 2 4 3 2" xfId="31170" xr:uid="{23EE52AF-DF3C-45A7-85F8-D1D19181E34B}"/>
    <cellStyle name="40% - Accent6 3 2 4 3 3" xfId="22729" xr:uid="{B0DEB9D8-9666-4E81-BF94-C730F06D6330}"/>
    <cellStyle name="40% - Accent6 3 2 4 3 4" xfId="14288" xr:uid="{8E517FCF-1354-407E-A542-81A8DB3DE87B}"/>
    <cellStyle name="40% - Accent6 3 2 4 4" xfId="26952" xr:uid="{999C1F4D-F9B0-4C2B-9D61-D0563C13827D}"/>
    <cellStyle name="40% - Accent6 3 2 4 5" xfId="18511" xr:uid="{E688BABE-1D2D-46F6-95D9-0FD95F52B110}"/>
    <cellStyle name="40% - Accent6 3 2 4 6" xfId="10070" xr:uid="{8B038CB9-E73A-42B2-9719-95293FF402BB}"/>
    <cellStyle name="40% - Accent6 3 2 5" xfId="1945" xr:uid="{00000000-0005-0000-0000-000040070000}"/>
    <cellStyle name="40% - Accent6 3 2 5 2" xfId="4174" xr:uid="{00000000-0005-0000-0000-000041070000}"/>
    <cellStyle name="40% - Accent6 3 2 5 2 2" xfId="8396" xr:uid="{00000000-0005-0000-0000-000042070000}"/>
    <cellStyle name="40% - Accent6 3 2 5 2 2 2" xfId="33728" xr:uid="{BFD2D33F-853E-48F5-AA8D-0387746B59F2}"/>
    <cellStyle name="40% - Accent6 3 2 5 2 2 3" xfId="25287" xr:uid="{249B2D2D-CDB1-4BE6-86DC-29CD309B2100}"/>
    <cellStyle name="40% - Accent6 3 2 5 2 2 4" xfId="16846" xr:uid="{D6F29DD6-F4A3-4CED-AD19-1D47EFAD0796}"/>
    <cellStyle name="40% - Accent6 3 2 5 2 3" xfId="29510" xr:uid="{F1700AD6-C5FA-4D9D-9E42-FEC8D6D243B6}"/>
    <cellStyle name="40% - Accent6 3 2 5 2 4" xfId="21069" xr:uid="{B912DB6E-6D22-412C-82F0-F47985980022}"/>
    <cellStyle name="40% - Accent6 3 2 5 2 5" xfId="12628" xr:uid="{44B05028-ECB1-44A6-8DF4-5621162E0891}"/>
    <cellStyle name="40% - Accent6 3 2 5 3" xfId="6251" xr:uid="{00000000-0005-0000-0000-000043070000}"/>
    <cellStyle name="40% - Accent6 3 2 5 3 2" xfId="31583" xr:uid="{99B8EB92-9EC7-4987-93BB-6892411A2877}"/>
    <cellStyle name="40% - Accent6 3 2 5 3 3" xfId="23142" xr:uid="{C80E98AE-C10E-4EF8-A7B8-FAC98C996C4B}"/>
    <cellStyle name="40% - Accent6 3 2 5 3 4" xfId="14701" xr:uid="{2FABD66A-C18F-4F97-94EB-64D2DEB1803C}"/>
    <cellStyle name="40% - Accent6 3 2 5 4" xfId="27365" xr:uid="{FF6E9A42-8151-41E0-B442-4A72CCBEC799}"/>
    <cellStyle name="40% - Accent6 3 2 5 5" xfId="18924" xr:uid="{EFFFFC6B-3271-4EE2-A1F2-B7E43DF22A1C}"/>
    <cellStyle name="40% - Accent6 3 2 5 6" xfId="10483" xr:uid="{379B7161-03B6-4365-A8EE-E69F2A891598}"/>
    <cellStyle name="40% - Accent6 3 2 6" xfId="2358" xr:uid="{00000000-0005-0000-0000-000044070000}"/>
    <cellStyle name="40% - Accent6 3 2 6 2" xfId="6664" xr:uid="{00000000-0005-0000-0000-000045070000}"/>
    <cellStyle name="40% - Accent6 3 2 6 2 2" xfId="31996" xr:uid="{573F6444-42FA-4103-89F2-9D9AD2E2E6A7}"/>
    <cellStyle name="40% - Accent6 3 2 6 2 3" xfId="23555" xr:uid="{B7F22E44-B99B-4948-9696-CB3E738DB5FC}"/>
    <cellStyle name="40% - Accent6 3 2 6 2 4" xfId="15114" xr:uid="{92621B59-9CE7-4AAE-8D38-F8A3C6DAEF8E}"/>
    <cellStyle name="40% - Accent6 3 2 6 3" xfId="27778" xr:uid="{C7600D88-90F6-44D4-817A-54420C2AF539}"/>
    <cellStyle name="40% - Accent6 3 2 6 4" xfId="19337" xr:uid="{99DD80B6-FBB0-477B-B025-EBCB8922AA49}"/>
    <cellStyle name="40% - Accent6 3 2 6 5" xfId="10896" xr:uid="{DB201BAC-842B-4AEE-9E71-526C227CB1A6}"/>
    <cellStyle name="40% - Accent6 3 2 7" xfId="4598" xr:uid="{00000000-0005-0000-0000-000046070000}"/>
    <cellStyle name="40% - Accent6 3 2 7 2" xfId="29930" xr:uid="{F1971B7A-0CFE-401D-824D-33B39AA9D06C}"/>
    <cellStyle name="40% - Accent6 3 2 7 3" xfId="21489" xr:uid="{6019475A-E7B4-4AF1-A3EC-93F6CED1A10C}"/>
    <cellStyle name="40% - Accent6 3 2 7 4" xfId="13048" xr:uid="{500101D6-1353-4470-B224-878F5178BBFD}"/>
    <cellStyle name="40% - Accent6 3 2 8" xfId="25712" xr:uid="{E85A72D0-8A00-4889-81D0-361E75187B9D}"/>
    <cellStyle name="40% - Accent6 3 2 9" xfId="17271" xr:uid="{401D058D-DC30-468E-9C6A-8D4FA04C9C25}"/>
    <cellStyle name="40% - Accent6 3 3" xfId="663" xr:uid="{00000000-0005-0000-0000-000047070000}"/>
    <cellStyle name="40% - Accent6 3 3 2" xfId="2934" xr:uid="{00000000-0005-0000-0000-000048070000}"/>
    <cellStyle name="40% - Accent6 3 3 2 2" xfId="7156" xr:uid="{00000000-0005-0000-0000-000049070000}"/>
    <cellStyle name="40% - Accent6 3 3 2 2 2" xfId="32488" xr:uid="{B6BE30F7-8CC8-4A53-BEF9-FC2E9C31D51F}"/>
    <cellStyle name="40% - Accent6 3 3 2 2 3" xfId="24047" xr:uid="{6BEBBA98-B062-480A-B1BB-112BAB2300B6}"/>
    <cellStyle name="40% - Accent6 3 3 2 2 4" xfId="15606" xr:uid="{1469778F-90EB-4920-87D7-8C4FAFE3AAF3}"/>
    <cellStyle name="40% - Accent6 3 3 2 3" xfId="28270" xr:uid="{C98345AA-DBBE-4FF2-88EC-843DC9C50EAE}"/>
    <cellStyle name="40% - Accent6 3 3 2 4" xfId="19829" xr:uid="{252E8CF6-5E50-4481-B541-96C86D187F2B}"/>
    <cellStyle name="40% - Accent6 3 3 2 5" xfId="11388" xr:uid="{B768A18B-70CB-4526-A76E-A4E8D4F74AC2}"/>
    <cellStyle name="40% - Accent6 3 3 3" xfId="5011" xr:uid="{00000000-0005-0000-0000-00004A070000}"/>
    <cellStyle name="40% - Accent6 3 3 3 2" xfId="30343" xr:uid="{398F2976-2523-4158-8760-D86B0C2856D3}"/>
    <cellStyle name="40% - Accent6 3 3 3 3" xfId="21902" xr:uid="{2C97743F-521F-4401-82A0-DE14C5198DCF}"/>
    <cellStyle name="40% - Accent6 3 3 3 4" xfId="13461" xr:uid="{E2FE4B11-119A-490D-BED7-EFB416AC15AA}"/>
    <cellStyle name="40% - Accent6 3 3 4" xfId="26125" xr:uid="{B9D9ABBB-082E-48BC-8C95-32C347EE966A}"/>
    <cellStyle name="40% - Accent6 3 3 5" xfId="17684" xr:uid="{C5F5AC92-83B6-4F5B-A5BD-6456F5C206E2}"/>
    <cellStyle name="40% - Accent6 3 3 6" xfId="9243" xr:uid="{9831440B-30FF-4408-9E9F-B4F8EE7BBC14}"/>
    <cellStyle name="40% - Accent6 3 4" xfId="1116" xr:uid="{00000000-0005-0000-0000-00004B070000}"/>
    <cellStyle name="40% - Accent6 3 4 2" xfId="3347" xr:uid="{00000000-0005-0000-0000-00004C070000}"/>
    <cellStyle name="40% - Accent6 3 4 2 2" xfId="7569" xr:uid="{00000000-0005-0000-0000-00004D070000}"/>
    <cellStyle name="40% - Accent6 3 4 2 2 2" xfId="32901" xr:uid="{5B7D2FE7-FAD2-4A42-9C94-858281632EEB}"/>
    <cellStyle name="40% - Accent6 3 4 2 2 3" xfId="24460" xr:uid="{EB691E21-B69E-4AAD-949F-245080D6F816}"/>
    <cellStyle name="40% - Accent6 3 4 2 2 4" xfId="16019" xr:uid="{1D23EAB5-F9CD-4E94-A0EE-F796F688F02C}"/>
    <cellStyle name="40% - Accent6 3 4 2 3" xfId="28683" xr:uid="{6787650C-E485-460A-94BD-26FDF058A015}"/>
    <cellStyle name="40% - Accent6 3 4 2 4" xfId="20242" xr:uid="{34964BEE-6AAD-4690-A730-7FF6945FFEDD}"/>
    <cellStyle name="40% - Accent6 3 4 2 5" xfId="11801" xr:uid="{235F0FDF-AFAA-48FC-8148-10FF92C5CD0F}"/>
    <cellStyle name="40% - Accent6 3 4 3" xfId="5424" xr:uid="{00000000-0005-0000-0000-00004E070000}"/>
    <cellStyle name="40% - Accent6 3 4 3 2" xfId="30756" xr:uid="{05DEF11D-097B-495F-9842-F8539F92CE44}"/>
    <cellStyle name="40% - Accent6 3 4 3 3" xfId="22315" xr:uid="{168EB45C-92B1-4DA4-9576-2CCC9F185833}"/>
    <cellStyle name="40% - Accent6 3 4 3 4" xfId="13874" xr:uid="{A623CDDF-1494-4435-8685-500EB5B5B191}"/>
    <cellStyle name="40% - Accent6 3 4 4" xfId="26538" xr:uid="{72A0B20B-95DF-47E7-A407-49588D0CDCB3}"/>
    <cellStyle name="40% - Accent6 3 4 5" xfId="18097" xr:uid="{FC9ED8EE-CECA-4E0D-966F-60D05F29DA22}"/>
    <cellStyle name="40% - Accent6 3 4 6" xfId="9656" xr:uid="{BD6721F3-9ED2-477F-805C-01419DF164F8}"/>
    <cellStyle name="40% - Accent6 3 5" xfId="1530" xr:uid="{00000000-0005-0000-0000-00004F070000}"/>
    <cellStyle name="40% - Accent6 3 5 2" xfId="3760" xr:uid="{00000000-0005-0000-0000-000050070000}"/>
    <cellStyle name="40% - Accent6 3 5 2 2" xfId="7982" xr:uid="{00000000-0005-0000-0000-000051070000}"/>
    <cellStyle name="40% - Accent6 3 5 2 2 2" xfId="33314" xr:uid="{6A709AA5-295C-4E29-8FB6-21870B08C22B}"/>
    <cellStyle name="40% - Accent6 3 5 2 2 3" xfId="24873" xr:uid="{1735D5EE-CBB4-4793-8277-83CB17F61AA4}"/>
    <cellStyle name="40% - Accent6 3 5 2 2 4" xfId="16432" xr:uid="{65C8B44D-1375-407B-AA2C-403EA7E3D33A}"/>
    <cellStyle name="40% - Accent6 3 5 2 3" xfId="29096" xr:uid="{7D13F191-92FE-483C-AB6F-4851014A31F5}"/>
    <cellStyle name="40% - Accent6 3 5 2 4" xfId="20655" xr:uid="{4A7F7446-B0EF-46A9-9AED-79F4CE2B97EA}"/>
    <cellStyle name="40% - Accent6 3 5 2 5" xfId="12214" xr:uid="{2221B14F-AFEA-4D1A-8410-4C143D0824D6}"/>
    <cellStyle name="40% - Accent6 3 5 3" xfId="5837" xr:uid="{00000000-0005-0000-0000-000052070000}"/>
    <cellStyle name="40% - Accent6 3 5 3 2" xfId="31169" xr:uid="{198A85E4-F01F-4D5B-9DCC-D32D2A793B93}"/>
    <cellStyle name="40% - Accent6 3 5 3 3" xfId="22728" xr:uid="{D170182F-F1D7-474E-8817-1F32191F6FE6}"/>
    <cellStyle name="40% - Accent6 3 5 3 4" xfId="14287" xr:uid="{686501E8-8EE3-4367-8DF9-4DFEDFAB6C85}"/>
    <cellStyle name="40% - Accent6 3 5 4" xfId="26951" xr:uid="{646E208F-5FC5-4840-AC41-09A7034A4A93}"/>
    <cellStyle name="40% - Accent6 3 5 5" xfId="18510" xr:uid="{24095093-613C-4BBC-82E5-8FCCEB1897B2}"/>
    <cellStyle name="40% - Accent6 3 5 6" xfId="10069" xr:uid="{9AC83E03-B6DB-4DC0-98BE-35516A3DBB4B}"/>
    <cellStyle name="40% - Accent6 3 6" xfId="1944" xr:uid="{00000000-0005-0000-0000-000053070000}"/>
    <cellStyle name="40% - Accent6 3 6 2" xfId="4173" xr:uid="{00000000-0005-0000-0000-000054070000}"/>
    <cellStyle name="40% - Accent6 3 6 2 2" xfId="8395" xr:uid="{00000000-0005-0000-0000-000055070000}"/>
    <cellStyle name="40% - Accent6 3 6 2 2 2" xfId="33727" xr:uid="{117A215C-2013-457C-9EAB-CDD3D3831202}"/>
    <cellStyle name="40% - Accent6 3 6 2 2 3" xfId="25286" xr:uid="{F93BE4C4-904A-42FC-AE51-4AB3B9B660A0}"/>
    <cellStyle name="40% - Accent6 3 6 2 2 4" xfId="16845" xr:uid="{65C7CB82-C176-414B-AEEA-16E867728583}"/>
    <cellStyle name="40% - Accent6 3 6 2 3" xfId="29509" xr:uid="{C3F14357-7BA3-4D6F-BEA2-FDABA755250B}"/>
    <cellStyle name="40% - Accent6 3 6 2 4" xfId="21068" xr:uid="{30CF58D4-0545-4794-96B3-FE46E6F03A56}"/>
    <cellStyle name="40% - Accent6 3 6 2 5" xfId="12627" xr:uid="{DD8843F5-F5DB-4134-807F-E2B841840BAC}"/>
    <cellStyle name="40% - Accent6 3 6 3" xfId="6250" xr:uid="{00000000-0005-0000-0000-000056070000}"/>
    <cellStyle name="40% - Accent6 3 6 3 2" xfId="31582" xr:uid="{668CBE86-588C-4C44-AE8B-F8DE533433C1}"/>
    <cellStyle name="40% - Accent6 3 6 3 3" xfId="23141" xr:uid="{E6C58832-A5B9-4A22-812D-29EDB0675147}"/>
    <cellStyle name="40% - Accent6 3 6 3 4" xfId="14700" xr:uid="{27092CA7-3D68-424F-BCD4-5E19C2FA2DDB}"/>
    <cellStyle name="40% - Accent6 3 6 4" xfId="27364" xr:uid="{C457CB53-CF05-4C8D-B5F0-56A19BFA09BA}"/>
    <cellStyle name="40% - Accent6 3 6 5" xfId="18923" xr:uid="{2B899415-4196-42E2-9F1A-A32AD85ADFBC}"/>
    <cellStyle name="40% - Accent6 3 6 6" xfId="10482" xr:uid="{EC80E3FC-D018-42DE-87A4-D8CB38C967FC}"/>
    <cellStyle name="40% - Accent6 3 7" xfId="2357" xr:uid="{00000000-0005-0000-0000-000057070000}"/>
    <cellStyle name="40% - Accent6 3 7 2" xfId="6663" xr:uid="{00000000-0005-0000-0000-000058070000}"/>
    <cellStyle name="40% - Accent6 3 7 2 2" xfId="31995" xr:uid="{30FD8A00-ED1B-4BF8-BBDF-DE1B0A45247B}"/>
    <cellStyle name="40% - Accent6 3 7 2 3" xfId="23554" xr:uid="{D6A6320F-8285-4193-BE32-9935C62D224B}"/>
    <cellStyle name="40% - Accent6 3 7 2 4" xfId="15113" xr:uid="{EEF1834D-DBF1-430E-B0B8-8DAAD86E9F73}"/>
    <cellStyle name="40% - Accent6 3 7 3" xfId="27777" xr:uid="{3FF72A24-D7A3-45C7-9935-8C502F3257BD}"/>
    <cellStyle name="40% - Accent6 3 7 4" xfId="19336" xr:uid="{6C84A687-E168-4E8F-9F24-320AC3F46B5B}"/>
    <cellStyle name="40% - Accent6 3 7 5" xfId="10895" xr:uid="{15F18394-8EE8-4532-9BA7-310F2C7E3A3B}"/>
    <cellStyle name="40% - Accent6 3 8" xfId="4597" xr:uid="{00000000-0005-0000-0000-000059070000}"/>
    <cellStyle name="40% - Accent6 3 8 2" xfId="29929" xr:uid="{DB20B044-0C9D-4A5D-8E28-0ECED5289973}"/>
    <cellStyle name="40% - Accent6 3 8 3" xfId="21488" xr:uid="{D4183A56-1A8B-4AB7-ACE9-FFFDB977A22D}"/>
    <cellStyle name="40% - Accent6 3 8 4" xfId="13047" xr:uid="{365EEDDD-7CF4-451A-A225-3519BDE1DA9B}"/>
    <cellStyle name="40% - Accent6 3 9" xfId="25711" xr:uid="{7EA1957D-9E8D-48EE-BADA-E7CEB2CA53B2}"/>
    <cellStyle name="40% - Accent6 4" xfId="96" xr:uid="{00000000-0005-0000-0000-00005A070000}"/>
    <cellStyle name="40% - Accent6 4 10" xfId="8831" xr:uid="{D1333A59-8B7D-4D08-95FD-5601B241D5FE}"/>
    <cellStyle name="40% - Accent6 4 2" xfId="665" xr:uid="{00000000-0005-0000-0000-00005B070000}"/>
    <cellStyle name="40% - Accent6 4 2 2" xfId="2936" xr:uid="{00000000-0005-0000-0000-00005C070000}"/>
    <cellStyle name="40% - Accent6 4 2 2 2" xfId="7158" xr:uid="{00000000-0005-0000-0000-00005D070000}"/>
    <cellStyle name="40% - Accent6 4 2 2 2 2" xfId="32490" xr:uid="{9E176034-5E26-4C12-80DF-B695157D4D60}"/>
    <cellStyle name="40% - Accent6 4 2 2 2 3" xfId="24049" xr:uid="{9A05838D-6491-45CC-9D9A-C925F0BADEEA}"/>
    <cellStyle name="40% - Accent6 4 2 2 2 4" xfId="15608" xr:uid="{E05ED2EF-2222-43A7-A636-F5769D25BF30}"/>
    <cellStyle name="40% - Accent6 4 2 2 3" xfId="28272" xr:uid="{0E8EE1B5-6512-4340-A17B-55E31AAACBDB}"/>
    <cellStyle name="40% - Accent6 4 2 2 4" xfId="19831" xr:uid="{BE4AFF29-7F23-4674-A0A8-C42105C04628}"/>
    <cellStyle name="40% - Accent6 4 2 2 5" xfId="11390" xr:uid="{9562B3FC-BFC8-4E6E-879F-1ADBDF3345A7}"/>
    <cellStyle name="40% - Accent6 4 2 3" xfId="5013" xr:uid="{00000000-0005-0000-0000-00005E070000}"/>
    <cellStyle name="40% - Accent6 4 2 3 2" xfId="30345" xr:uid="{89CEBE55-558C-434E-9D30-214ADF964CCC}"/>
    <cellStyle name="40% - Accent6 4 2 3 3" xfId="21904" xr:uid="{E39B2C63-D16C-4FC7-994B-19EFFD9E1DD4}"/>
    <cellStyle name="40% - Accent6 4 2 3 4" xfId="13463" xr:uid="{2B0CD521-24CA-4E06-BB34-6B9BE5D15FFE}"/>
    <cellStyle name="40% - Accent6 4 2 4" xfId="26127" xr:uid="{68CEAC29-4012-4FD7-9BA8-09084FE83E02}"/>
    <cellStyle name="40% - Accent6 4 2 5" xfId="17686" xr:uid="{85306F31-914D-4185-8EC5-08CF6FA837C9}"/>
    <cellStyle name="40% - Accent6 4 2 6" xfId="9245" xr:uid="{DF21C416-7432-4042-AE9D-58587FCF6435}"/>
    <cellStyle name="40% - Accent6 4 3" xfId="1118" xr:uid="{00000000-0005-0000-0000-00005F070000}"/>
    <cellStyle name="40% - Accent6 4 3 2" xfId="3349" xr:uid="{00000000-0005-0000-0000-000060070000}"/>
    <cellStyle name="40% - Accent6 4 3 2 2" xfId="7571" xr:uid="{00000000-0005-0000-0000-000061070000}"/>
    <cellStyle name="40% - Accent6 4 3 2 2 2" xfId="32903" xr:uid="{BDCA9BF6-BAEF-493B-B1C4-3625FF716B01}"/>
    <cellStyle name="40% - Accent6 4 3 2 2 3" xfId="24462" xr:uid="{D183946F-3E19-4C9D-A781-49202A0B6F7A}"/>
    <cellStyle name="40% - Accent6 4 3 2 2 4" xfId="16021" xr:uid="{340EA044-21D6-431D-AFD4-5F0ACD78BA5B}"/>
    <cellStyle name="40% - Accent6 4 3 2 3" xfId="28685" xr:uid="{7642CEE3-F8B0-4AE6-BF5D-8CDBC20E33E4}"/>
    <cellStyle name="40% - Accent6 4 3 2 4" xfId="20244" xr:uid="{32E7EF6E-B331-4B34-9C47-248E6FD1189D}"/>
    <cellStyle name="40% - Accent6 4 3 2 5" xfId="11803" xr:uid="{E4D41FFF-6ED3-455D-8B6D-1314BF763670}"/>
    <cellStyle name="40% - Accent6 4 3 3" xfId="5426" xr:uid="{00000000-0005-0000-0000-000062070000}"/>
    <cellStyle name="40% - Accent6 4 3 3 2" xfId="30758" xr:uid="{9993F37E-7848-48D4-89E6-6E946FE94B29}"/>
    <cellStyle name="40% - Accent6 4 3 3 3" xfId="22317" xr:uid="{08A948ED-F03E-4007-B413-E2ED72D8850E}"/>
    <cellStyle name="40% - Accent6 4 3 3 4" xfId="13876" xr:uid="{A4B198A0-ADDE-42E3-98C5-0BD4A3F0932B}"/>
    <cellStyle name="40% - Accent6 4 3 4" xfId="26540" xr:uid="{062935BE-664C-4B83-ADF6-5A9BFD3DFDE8}"/>
    <cellStyle name="40% - Accent6 4 3 5" xfId="18099" xr:uid="{C493A963-123E-4E3D-BE24-31C814A7785E}"/>
    <cellStyle name="40% - Accent6 4 3 6" xfId="9658" xr:uid="{6F7C0D7D-1C80-4559-BAB8-6B8E62DCCCCE}"/>
    <cellStyle name="40% - Accent6 4 4" xfId="1532" xr:uid="{00000000-0005-0000-0000-000063070000}"/>
    <cellStyle name="40% - Accent6 4 4 2" xfId="3762" xr:uid="{00000000-0005-0000-0000-000064070000}"/>
    <cellStyle name="40% - Accent6 4 4 2 2" xfId="7984" xr:uid="{00000000-0005-0000-0000-000065070000}"/>
    <cellStyle name="40% - Accent6 4 4 2 2 2" xfId="33316" xr:uid="{5E37F020-E412-4559-B797-0FF767B2AAB1}"/>
    <cellStyle name="40% - Accent6 4 4 2 2 3" xfId="24875" xr:uid="{95AD1D64-FAA8-450C-B358-570B8063D5AC}"/>
    <cellStyle name="40% - Accent6 4 4 2 2 4" xfId="16434" xr:uid="{23203D21-BD93-4BC8-91C8-CA0003070B6F}"/>
    <cellStyle name="40% - Accent6 4 4 2 3" xfId="29098" xr:uid="{8EF56539-0747-420E-9B09-FEAF9BA23010}"/>
    <cellStyle name="40% - Accent6 4 4 2 4" xfId="20657" xr:uid="{A658D46A-B920-41A8-9E72-E6550539A323}"/>
    <cellStyle name="40% - Accent6 4 4 2 5" xfId="12216" xr:uid="{4EC76DD8-A56B-4847-A8FF-CDF1800376B5}"/>
    <cellStyle name="40% - Accent6 4 4 3" xfId="5839" xr:uid="{00000000-0005-0000-0000-000066070000}"/>
    <cellStyle name="40% - Accent6 4 4 3 2" xfId="31171" xr:uid="{6B403505-405F-47FC-B08F-ED873CC55D4D}"/>
    <cellStyle name="40% - Accent6 4 4 3 3" xfId="22730" xr:uid="{75FD009F-F96B-406F-812F-D914D26A891C}"/>
    <cellStyle name="40% - Accent6 4 4 3 4" xfId="14289" xr:uid="{5641365B-E79B-41EF-BF4E-F1FB7382B02B}"/>
    <cellStyle name="40% - Accent6 4 4 4" xfId="26953" xr:uid="{6B9A36E7-88E5-431F-9D1B-47FAA2405FC4}"/>
    <cellStyle name="40% - Accent6 4 4 5" xfId="18512" xr:uid="{304CAE8D-BC1C-4A34-86D9-C0880D05C1C1}"/>
    <cellStyle name="40% - Accent6 4 4 6" xfId="10071" xr:uid="{D92A2181-F96D-4408-8751-C3A18820EC8E}"/>
    <cellStyle name="40% - Accent6 4 5" xfId="1946" xr:uid="{00000000-0005-0000-0000-000067070000}"/>
    <cellStyle name="40% - Accent6 4 5 2" xfId="4175" xr:uid="{00000000-0005-0000-0000-000068070000}"/>
    <cellStyle name="40% - Accent6 4 5 2 2" xfId="8397" xr:uid="{00000000-0005-0000-0000-000069070000}"/>
    <cellStyle name="40% - Accent6 4 5 2 2 2" xfId="33729" xr:uid="{EAA00CAA-29A0-44EE-B0B0-18E7ED834ECC}"/>
    <cellStyle name="40% - Accent6 4 5 2 2 3" xfId="25288" xr:uid="{DD3AF0C2-1A72-412E-BAC5-9B3688101FF2}"/>
    <cellStyle name="40% - Accent6 4 5 2 2 4" xfId="16847" xr:uid="{24848037-9AE7-4ECE-93C8-DD68A0B15B78}"/>
    <cellStyle name="40% - Accent6 4 5 2 3" xfId="29511" xr:uid="{ECACE2C2-0D1B-45FC-AE25-C40B939632BA}"/>
    <cellStyle name="40% - Accent6 4 5 2 4" xfId="21070" xr:uid="{1998F73C-D05F-483C-901E-D124D277E27D}"/>
    <cellStyle name="40% - Accent6 4 5 2 5" xfId="12629" xr:uid="{1DDF9355-CBB9-4E88-A030-094877EF181C}"/>
    <cellStyle name="40% - Accent6 4 5 3" xfId="6252" xr:uid="{00000000-0005-0000-0000-00006A070000}"/>
    <cellStyle name="40% - Accent6 4 5 3 2" xfId="31584" xr:uid="{784A57FC-0DEE-4F14-B9B2-036868290491}"/>
    <cellStyle name="40% - Accent6 4 5 3 3" xfId="23143" xr:uid="{DFAB3552-71F4-4CDD-84A4-5A1D4EF9DE32}"/>
    <cellStyle name="40% - Accent6 4 5 3 4" xfId="14702" xr:uid="{9BC7220B-C3E4-4F1E-973F-6F293C09D715}"/>
    <cellStyle name="40% - Accent6 4 5 4" xfId="27366" xr:uid="{4ABE5F05-990A-4530-A5B8-AA2041E94390}"/>
    <cellStyle name="40% - Accent6 4 5 5" xfId="18925" xr:uid="{3FC31122-3FAF-42DE-98EC-103737F74B67}"/>
    <cellStyle name="40% - Accent6 4 5 6" xfId="10484" xr:uid="{C9211E84-010F-4EF9-B01B-E390FD8F8FD8}"/>
    <cellStyle name="40% - Accent6 4 6" xfId="2359" xr:uid="{00000000-0005-0000-0000-00006B070000}"/>
    <cellStyle name="40% - Accent6 4 6 2" xfId="6665" xr:uid="{00000000-0005-0000-0000-00006C070000}"/>
    <cellStyle name="40% - Accent6 4 6 2 2" xfId="31997" xr:uid="{3354CD4D-A51F-4900-BE60-71B048F73285}"/>
    <cellStyle name="40% - Accent6 4 6 2 3" xfId="23556" xr:uid="{2AD6EBE4-D551-4D5C-8121-DB5C7F9BF61B}"/>
    <cellStyle name="40% - Accent6 4 6 2 4" xfId="15115" xr:uid="{7B3A325F-A03B-4541-80D3-C8AF5070518D}"/>
    <cellStyle name="40% - Accent6 4 6 3" xfId="27779" xr:uid="{BBBE20BD-D749-4A5F-B9D2-156801F3338D}"/>
    <cellStyle name="40% - Accent6 4 6 4" xfId="19338" xr:uid="{FDAD510B-61F2-47EF-9576-A8D1E77BBA23}"/>
    <cellStyle name="40% - Accent6 4 6 5" xfId="10897" xr:uid="{194CCC0E-8C21-4ACC-953D-83F944577045}"/>
    <cellStyle name="40% - Accent6 4 7" xfId="4599" xr:uid="{00000000-0005-0000-0000-00006D070000}"/>
    <cellStyle name="40% - Accent6 4 7 2" xfId="29931" xr:uid="{945D0ED6-9120-46BF-8C04-D2DA401CB96F}"/>
    <cellStyle name="40% - Accent6 4 7 3" xfId="21490" xr:uid="{002A006B-D77D-4E42-8492-58A6F6F7D739}"/>
    <cellStyle name="40% - Accent6 4 7 4" xfId="13049" xr:uid="{E842643C-0B04-43A9-A12A-1BE5190CDFF7}"/>
    <cellStyle name="40% - Accent6 4 8" xfId="25713" xr:uid="{05727573-1456-43FF-83F6-A1F9E2492418}"/>
    <cellStyle name="40% - Accent6 4 9" xfId="17272" xr:uid="{B790D353-4A07-4187-8E73-43750967D100}"/>
    <cellStyle name="40% - Accent6 5" xfId="658" xr:uid="{00000000-0005-0000-0000-00006E070000}"/>
    <cellStyle name="40% - Accent6 5 2" xfId="2929" xr:uid="{00000000-0005-0000-0000-00006F070000}"/>
    <cellStyle name="40% - Accent6 5 2 2" xfId="7151" xr:uid="{00000000-0005-0000-0000-000070070000}"/>
    <cellStyle name="40% - Accent6 5 2 2 2" xfId="32483" xr:uid="{12D2E8A7-2BAF-4CB6-9FF5-5564176F5F33}"/>
    <cellStyle name="40% - Accent6 5 2 2 3" xfId="24042" xr:uid="{66A21E03-FDE1-4187-A305-B0234F4492E1}"/>
    <cellStyle name="40% - Accent6 5 2 2 4" xfId="15601" xr:uid="{33B53541-E306-4AD2-B680-96572B885F77}"/>
    <cellStyle name="40% - Accent6 5 2 3" xfId="28265" xr:uid="{DF82A18C-DCE7-4CE6-9475-ADC333E2B76C}"/>
    <cellStyle name="40% - Accent6 5 2 4" xfId="19824" xr:uid="{A191EC71-21B8-41D9-875D-F0276BDCA127}"/>
    <cellStyle name="40% - Accent6 5 2 5" xfId="11383" xr:uid="{8592094E-9805-4A9F-A3C2-A46DA80E77C6}"/>
    <cellStyle name="40% - Accent6 5 3" xfId="5006" xr:uid="{00000000-0005-0000-0000-000071070000}"/>
    <cellStyle name="40% - Accent6 5 3 2" xfId="30338" xr:uid="{77286CB2-AB49-476C-A907-A57F242F92B0}"/>
    <cellStyle name="40% - Accent6 5 3 3" xfId="21897" xr:uid="{B4E38C67-919E-4097-AA3B-2ADF76E3E4D0}"/>
    <cellStyle name="40% - Accent6 5 3 4" xfId="13456" xr:uid="{6C614B79-BDCE-4E1C-816C-30BB178928D3}"/>
    <cellStyle name="40% - Accent6 5 4" xfId="26120" xr:uid="{8C559EBD-CB4D-4D1C-9526-97D7A772F520}"/>
    <cellStyle name="40% - Accent6 5 5" xfId="17679" xr:uid="{D26177E8-6799-43E3-A450-BB60F254314A}"/>
    <cellStyle name="40% - Accent6 5 6" xfId="9238" xr:uid="{58D5D9B5-87C5-4581-BE20-5754E3FB8A9D}"/>
    <cellStyle name="40% - Accent6 6" xfId="1111" xr:uid="{00000000-0005-0000-0000-000072070000}"/>
    <cellStyle name="40% - Accent6 6 2" xfId="3342" xr:uid="{00000000-0005-0000-0000-000073070000}"/>
    <cellStyle name="40% - Accent6 6 2 2" xfId="7564" xr:uid="{00000000-0005-0000-0000-000074070000}"/>
    <cellStyle name="40% - Accent6 6 2 2 2" xfId="32896" xr:uid="{5FA1E3D8-4E96-4E32-A6B8-F363B30FD09D}"/>
    <cellStyle name="40% - Accent6 6 2 2 3" xfId="24455" xr:uid="{C7C9B2F8-2817-49CE-81F1-EDE00E82AF0D}"/>
    <cellStyle name="40% - Accent6 6 2 2 4" xfId="16014" xr:uid="{3F14F759-4C99-4388-844C-CCD0CB90CE23}"/>
    <cellStyle name="40% - Accent6 6 2 3" xfId="28678" xr:uid="{F62216C2-8767-4137-A209-8E81D029CED1}"/>
    <cellStyle name="40% - Accent6 6 2 4" xfId="20237" xr:uid="{5559546C-30B7-4C09-BBBC-C608C8E9A5A0}"/>
    <cellStyle name="40% - Accent6 6 2 5" xfId="11796" xr:uid="{37908021-5105-4184-9773-28AB607B0D1D}"/>
    <cellStyle name="40% - Accent6 6 3" xfId="5419" xr:uid="{00000000-0005-0000-0000-000075070000}"/>
    <cellStyle name="40% - Accent6 6 3 2" xfId="30751" xr:uid="{9D77FC54-14A3-428D-98CE-FEB6676D95DC}"/>
    <cellStyle name="40% - Accent6 6 3 3" xfId="22310" xr:uid="{F9DED7FF-57CB-4351-BEDE-EF8DDB307172}"/>
    <cellStyle name="40% - Accent6 6 3 4" xfId="13869" xr:uid="{60431CE6-62B2-44D4-84AF-8E2EA55B5899}"/>
    <cellStyle name="40% - Accent6 6 4" xfId="26533" xr:uid="{8B1DC4EC-C3A3-430A-AEEC-DC1ECAA98A79}"/>
    <cellStyle name="40% - Accent6 6 5" xfId="18092" xr:uid="{81631C47-5E8F-4140-AD3B-B7B2A1C5C52E}"/>
    <cellStyle name="40% - Accent6 6 6" xfId="9651" xr:uid="{42EBCB57-2B96-46D6-ACC9-A9FF4C342371}"/>
    <cellStyle name="40% - Accent6 7" xfId="1525" xr:uid="{00000000-0005-0000-0000-000076070000}"/>
    <cellStyle name="40% - Accent6 7 2" xfId="3755" xr:uid="{00000000-0005-0000-0000-000077070000}"/>
    <cellStyle name="40% - Accent6 7 2 2" xfId="7977" xr:uid="{00000000-0005-0000-0000-000078070000}"/>
    <cellStyle name="40% - Accent6 7 2 2 2" xfId="33309" xr:uid="{5958688B-9EC0-4D4C-97B7-C70EC82300DA}"/>
    <cellStyle name="40% - Accent6 7 2 2 3" xfId="24868" xr:uid="{38D93680-23A6-42BB-9BE5-80FAC9EAF821}"/>
    <cellStyle name="40% - Accent6 7 2 2 4" xfId="16427" xr:uid="{70878413-332B-4F1D-848A-DB54D6B06538}"/>
    <cellStyle name="40% - Accent6 7 2 3" xfId="29091" xr:uid="{CD6AD844-DF7E-46E9-A733-17119C1E41E8}"/>
    <cellStyle name="40% - Accent6 7 2 4" xfId="20650" xr:uid="{1C879902-447F-4AAB-A993-4010E0D77B99}"/>
    <cellStyle name="40% - Accent6 7 2 5" xfId="12209" xr:uid="{574E33BA-4172-4E6E-9A0F-D041A422D013}"/>
    <cellStyle name="40% - Accent6 7 3" xfId="5832" xr:uid="{00000000-0005-0000-0000-000079070000}"/>
    <cellStyle name="40% - Accent6 7 3 2" xfId="31164" xr:uid="{926B2AEE-E619-4D4E-BD4F-EEF712D9D392}"/>
    <cellStyle name="40% - Accent6 7 3 3" xfId="22723" xr:uid="{4E459687-170A-4AA5-811F-AF5771253630}"/>
    <cellStyle name="40% - Accent6 7 3 4" xfId="14282" xr:uid="{0AF938FF-AF11-44B6-A8DF-84BA0C743BB2}"/>
    <cellStyle name="40% - Accent6 7 4" xfId="26946" xr:uid="{5E9E496B-6E2A-40B8-8D27-004D8D340C18}"/>
    <cellStyle name="40% - Accent6 7 5" xfId="18505" xr:uid="{C9AE7BEC-8076-47AD-940A-F418A4F630F6}"/>
    <cellStyle name="40% - Accent6 7 6" xfId="10064" xr:uid="{F5815A9F-AECB-4CC0-AF38-314F8E9DECB3}"/>
    <cellStyle name="40% - Accent6 8" xfId="1939" xr:uid="{00000000-0005-0000-0000-00007A070000}"/>
    <cellStyle name="40% - Accent6 8 2" xfId="4168" xr:uid="{00000000-0005-0000-0000-00007B070000}"/>
    <cellStyle name="40% - Accent6 8 2 2" xfId="8390" xr:uid="{00000000-0005-0000-0000-00007C070000}"/>
    <cellStyle name="40% - Accent6 8 2 2 2" xfId="33722" xr:uid="{D9286EB7-F88F-496E-BD8B-14078FBF939B}"/>
    <cellStyle name="40% - Accent6 8 2 2 3" xfId="25281" xr:uid="{AAF3AB08-2AA5-4242-9D41-003323AA8A96}"/>
    <cellStyle name="40% - Accent6 8 2 2 4" xfId="16840" xr:uid="{7DF96E87-4188-402A-B3AB-B3E28BE6B2AD}"/>
    <cellStyle name="40% - Accent6 8 2 3" xfId="29504" xr:uid="{87AB3D92-D5A0-42F4-929F-60D7C10003D5}"/>
    <cellStyle name="40% - Accent6 8 2 4" xfId="21063" xr:uid="{EC6E1A86-888F-4BAC-B3DD-E7C6C947DA73}"/>
    <cellStyle name="40% - Accent6 8 2 5" xfId="12622" xr:uid="{27FD2D36-40CE-43ED-A5AA-052D8E084FBE}"/>
    <cellStyle name="40% - Accent6 8 3" xfId="6245" xr:uid="{00000000-0005-0000-0000-00007D070000}"/>
    <cellStyle name="40% - Accent6 8 3 2" xfId="31577" xr:uid="{01452688-DE24-4408-B454-E768EC4F75BA}"/>
    <cellStyle name="40% - Accent6 8 3 3" xfId="23136" xr:uid="{25E8807D-EB91-42F7-9910-732A95CD548A}"/>
    <cellStyle name="40% - Accent6 8 3 4" xfId="14695" xr:uid="{98C404BD-12A8-40A8-B0D9-2DAE35188A53}"/>
    <cellStyle name="40% - Accent6 8 4" xfId="27359" xr:uid="{11C42303-4689-406A-8FDD-E335B49B74A0}"/>
    <cellStyle name="40% - Accent6 8 5" xfId="18918" xr:uid="{4913DD95-5352-4F25-97C7-0CAC0AA096F8}"/>
    <cellStyle name="40% - Accent6 8 6" xfId="10477" xr:uid="{52DA6E9F-B49E-48C8-9C44-5350854764A5}"/>
    <cellStyle name="40% - Accent6 9" xfId="2352" xr:uid="{00000000-0005-0000-0000-00007E070000}"/>
    <cellStyle name="40% - Accent6 9 2" xfId="6658" xr:uid="{00000000-0005-0000-0000-00007F070000}"/>
    <cellStyle name="40% - Accent6 9 2 2" xfId="31990" xr:uid="{540C8255-8E16-459F-8AB6-DF28401BEFDF}"/>
    <cellStyle name="40% - Accent6 9 2 3" xfId="23549" xr:uid="{42740A77-7049-46EE-89BA-83267B3FA682}"/>
    <cellStyle name="40% - Accent6 9 2 4" xfId="15108" xr:uid="{23F177DD-4312-4D78-A61E-4F7BA3EBE69C}"/>
    <cellStyle name="40% - Accent6 9 3" xfId="27772" xr:uid="{D05FDB8D-38F2-4DF3-86A4-784BFF733590}"/>
    <cellStyle name="40% - Accent6 9 4" xfId="19331" xr:uid="{92F72215-2C52-4174-A4A8-28DDEE1C3BB9}"/>
    <cellStyle name="40% - Accent6 9 5" xfId="10890" xr:uid="{BC3B6CA4-144A-4870-B631-A768D1CBA2FD}"/>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0 2 2" xfId="32315" xr:uid="{F18FB989-F9C4-4DF2-9D47-C05E12B1595C}"/>
    <cellStyle name="Comma 4 2 2 2 10 2 3" xfId="23874" xr:uid="{003128BB-14DB-4D2B-A64B-D638E0B9AF69}"/>
    <cellStyle name="Comma 4 2 2 2 10 2 4" xfId="15433" xr:uid="{F904505C-EBC6-44B3-ABEE-CCA20B6FEFC5}"/>
    <cellStyle name="Comma 4 2 2 2 10 3" xfId="28097" xr:uid="{0F5B83DA-00E5-443A-969A-38DE476750C8}"/>
    <cellStyle name="Comma 4 2 2 2 10 4" xfId="19656" xr:uid="{9D5F152E-4563-44C1-8977-D630D52A9E5D}"/>
    <cellStyle name="Comma 4 2 2 2 10 5" xfId="11215" xr:uid="{22097FD9-F4F7-4BAF-ACFA-AC03A34EF908}"/>
    <cellStyle name="Comma 4 2 2 2 11" xfId="4600" xr:uid="{00000000-0005-0000-0000-0000A3070000}"/>
    <cellStyle name="Comma 4 2 2 2 11 2" xfId="29932" xr:uid="{FE04B0CD-4214-4C6E-886B-40FDED91BC28}"/>
    <cellStyle name="Comma 4 2 2 2 11 3" xfId="21491" xr:uid="{D447F0BF-3A0D-4B90-B859-2EB76797E555}"/>
    <cellStyle name="Comma 4 2 2 2 11 4" xfId="13050" xr:uid="{074F2A2F-99BC-4A32-82A7-29F9B903CE0B}"/>
    <cellStyle name="Comma 4 2 2 2 12" xfId="25714" xr:uid="{1A34C973-A759-45EE-85C4-719F89CD1B90}"/>
    <cellStyle name="Comma 4 2 2 2 13" xfId="17273" xr:uid="{0F277A9B-CD44-4ADB-A995-FADB55199375}"/>
    <cellStyle name="Comma 4 2 2 2 14" xfId="8832" xr:uid="{F44C2011-9E94-43B4-B7B0-5853016EAA7B}"/>
    <cellStyle name="Comma 4 2 2 2 2" xfId="129" xr:uid="{00000000-0005-0000-0000-0000A4070000}"/>
    <cellStyle name="Comma 4 2 2 2 2 10" xfId="4601" xr:uid="{00000000-0005-0000-0000-0000A5070000}"/>
    <cellStyle name="Comma 4 2 2 2 2 10 2" xfId="29933" xr:uid="{75E5FA33-73C0-45B6-B142-18C263310FD3}"/>
    <cellStyle name="Comma 4 2 2 2 2 10 3" xfId="21492" xr:uid="{645107F9-8B51-4B57-A6F5-7FC8CF889996}"/>
    <cellStyle name="Comma 4 2 2 2 2 10 4" xfId="13051" xr:uid="{3894FA3D-3C69-4344-8DB9-DBBDF3F29E91}"/>
    <cellStyle name="Comma 4 2 2 2 2 11" xfId="25715" xr:uid="{AB2A72EF-6535-4AEC-A301-7FE0A9AFF341}"/>
    <cellStyle name="Comma 4 2 2 2 2 12" xfId="17274" xr:uid="{21D4A915-7478-4BED-B78B-9C3B8285F9F9}"/>
    <cellStyle name="Comma 4 2 2 2 2 13" xfId="8833" xr:uid="{8978B0D6-6833-4690-9910-509C9E87BD0E}"/>
    <cellStyle name="Comma 4 2 2 2 2 2" xfId="130" xr:uid="{00000000-0005-0000-0000-0000A6070000}"/>
    <cellStyle name="Comma 4 2 2 2 2 2 10" xfId="25716" xr:uid="{FDDA04A3-6BDD-4FB3-BE49-5E8489FEAAD2}"/>
    <cellStyle name="Comma 4 2 2 2 2 2 11" xfId="17275" xr:uid="{854F49C9-FE88-40AF-87C6-E927F0253299}"/>
    <cellStyle name="Comma 4 2 2 2 2 2 12" xfId="8834" xr:uid="{40648E49-D612-4B57-B4B0-9B772D5DF2D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2 2 2" xfId="32493" xr:uid="{3151A499-691B-4CCE-9FE2-A75F34434B3A}"/>
    <cellStyle name="Comma 4 2 2 2 2 2 2 2 2 3" xfId="24052" xr:uid="{C5010560-DA29-4B5C-A7AA-7F0C2E851450}"/>
    <cellStyle name="Comma 4 2 2 2 2 2 2 2 2 4" xfId="15611" xr:uid="{6D3A17DC-D6A8-4BBA-9979-7C17096A8B3C}"/>
    <cellStyle name="Comma 4 2 2 2 2 2 2 2 3" xfId="28275" xr:uid="{007E040C-8EC6-4EA3-AF0D-0DF9782EA78C}"/>
    <cellStyle name="Comma 4 2 2 2 2 2 2 2 4" xfId="19834" xr:uid="{85E4CA8E-B2AB-4043-833C-96C54D0C2920}"/>
    <cellStyle name="Comma 4 2 2 2 2 2 2 2 5" xfId="11393" xr:uid="{5217DEDF-C297-4EA0-AB92-09971EDA4CAF}"/>
    <cellStyle name="Comma 4 2 2 2 2 2 2 3" xfId="5016" xr:uid="{00000000-0005-0000-0000-0000AA070000}"/>
    <cellStyle name="Comma 4 2 2 2 2 2 2 3 2" xfId="30348" xr:uid="{F4E45C03-2666-416C-83F9-B1174A7469B7}"/>
    <cellStyle name="Comma 4 2 2 2 2 2 2 3 3" xfId="21907" xr:uid="{ABF90F2C-3F1E-437C-BDEE-A6D0E27D6E3C}"/>
    <cellStyle name="Comma 4 2 2 2 2 2 2 3 4" xfId="13466" xr:uid="{BADC7229-7C3E-4BE7-9CA5-2D287F818B84}"/>
    <cellStyle name="Comma 4 2 2 2 2 2 2 4" xfId="26130" xr:uid="{81ACDFF2-0A33-4E72-99E5-F8D933B0E56E}"/>
    <cellStyle name="Comma 4 2 2 2 2 2 2 5" xfId="17689" xr:uid="{F152C98D-4E00-4CA5-A6B5-A4744D16DE20}"/>
    <cellStyle name="Comma 4 2 2 2 2 2 2 6" xfId="9248" xr:uid="{0459DCF6-A8BD-4488-A390-C65877CB56A9}"/>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2 2 2" xfId="32906" xr:uid="{573AF94A-38EF-462B-A7B5-738BBEF0AB06}"/>
    <cellStyle name="Comma 4 2 2 2 2 2 3 2 2 3" xfId="24465" xr:uid="{749551E2-D52C-4BEA-8DB0-132BE8DC3727}"/>
    <cellStyle name="Comma 4 2 2 2 2 2 3 2 2 4" xfId="16024" xr:uid="{D2190366-0C4E-42F9-96C6-EDEE88AA55E4}"/>
    <cellStyle name="Comma 4 2 2 2 2 2 3 2 3" xfId="28688" xr:uid="{5EFA59EA-40ED-4EBC-8A42-CD298ECBA254}"/>
    <cellStyle name="Comma 4 2 2 2 2 2 3 2 4" xfId="20247" xr:uid="{E6B1AEEB-9382-4CBC-99C4-38701EF881A8}"/>
    <cellStyle name="Comma 4 2 2 2 2 2 3 2 5" xfId="11806" xr:uid="{2535E2CD-79CC-45FC-AC37-22BEC0D96C5A}"/>
    <cellStyle name="Comma 4 2 2 2 2 2 3 3" xfId="5429" xr:uid="{00000000-0005-0000-0000-0000AE070000}"/>
    <cellStyle name="Comma 4 2 2 2 2 2 3 3 2" xfId="30761" xr:uid="{5FB5F612-1350-471E-8588-80B9EF45804C}"/>
    <cellStyle name="Comma 4 2 2 2 2 2 3 3 3" xfId="22320" xr:uid="{0F0B94D5-6446-4D36-B226-ECF90E687C6D}"/>
    <cellStyle name="Comma 4 2 2 2 2 2 3 3 4" xfId="13879" xr:uid="{2E91C4CE-7C28-4D5A-9416-AD368561611C}"/>
    <cellStyle name="Comma 4 2 2 2 2 2 3 4" xfId="26543" xr:uid="{65D2FA15-614A-48EB-A28F-CDF9F85387DB}"/>
    <cellStyle name="Comma 4 2 2 2 2 2 3 5" xfId="18102" xr:uid="{F4E74782-6059-4CA4-BD75-0E90F514F367}"/>
    <cellStyle name="Comma 4 2 2 2 2 2 3 6" xfId="9661" xr:uid="{79EBA64D-B1D6-4BFF-82EB-CEBEA7E9D48F}"/>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2 2 2" xfId="33319" xr:uid="{72E6C48D-DFC5-4358-8B70-B227C4E0DA5B}"/>
    <cellStyle name="Comma 4 2 2 2 2 2 4 2 2 3" xfId="24878" xr:uid="{8D1411D7-088C-4C10-B4D6-A1E0330305E5}"/>
    <cellStyle name="Comma 4 2 2 2 2 2 4 2 2 4" xfId="16437" xr:uid="{544E0B90-AE3D-4003-BE53-30A59E0CC3E9}"/>
    <cellStyle name="Comma 4 2 2 2 2 2 4 2 3" xfId="29101" xr:uid="{C4756FE8-4A60-45C7-A06B-23B997C12455}"/>
    <cellStyle name="Comma 4 2 2 2 2 2 4 2 4" xfId="20660" xr:uid="{3C91EEB8-C0A8-472B-BB32-215B28DB46F7}"/>
    <cellStyle name="Comma 4 2 2 2 2 2 4 2 5" xfId="12219" xr:uid="{64DDEFB1-14A6-4A1C-9E52-825BF3ABD220}"/>
    <cellStyle name="Comma 4 2 2 2 2 2 4 3" xfId="5842" xr:uid="{00000000-0005-0000-0000-0000B2070000}"/>
    <cellStyle name="Comma 4 2 2 2 2 2 4 3 2" xfId="31174" xr:uid="{0C482A7F-AC43-4470-8494-6E977100EC1B}"/>
    <cellStyle name="Comma 4 2 2 2 2 2 4 3 3" xfId="22733" xr:uid="{BEB8FEA4-E4A7-430E-8241-1BAFF71C6CEA}"/>
    <cellStyle name="Comma 4 2 2 2 2 2 4 3 4" xfId="14292" xr:uid="{82974B98-3708-4991-9830-CC82ADE9CE59}"/>
    <cellStyle name="Comma 4 2 2 2 2 2 4 4" xfId="26956" xr:uid="{C712F0A2-B84E-440E-A55F-C9C62DBDC8C2}"/>
    <cellStyle name="Comma 4 2 2 2 2 2 4 5" xfId="18515" xr:uid="{2F5D3017-0E8C-4349-9381-5F0B4F07F568}"/>
    <cellStyle name="Comma 4 2 2 2 2 2 4 6" xfId="10074" xr:uid="{B89FE0CF-E3EC-45D1-952F-1C9B04BAE56C}"/>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2 2 2" xfId="33732" xr:uid="{F04217E3-C76D-4CE8-86FD-D753914476FA}"/>
    <cellStyle name="Comma 4 2 2 2 2 2 5 2 2 3" xfId="25291" xr:uid="{D3C0BAAE-3A21-49B5-AB87-5A116805B7ED}"/>
    <cellStyle name="Comma 4 2 2 2 2 2 5 2 2 4" xfId="16850" xr:uid="{BEE1F802-33D8-4540-BF52-7F1873698215}"/>
    <cellStyle name="Comma 4 2 2 2 2 2 5 2 3" xfId="29514" xr:uid="{F7156E19-DB07-4DAB-890C-BE0E8A9A532B}"/>
    <cellStyle name="Comma 4 2 2 2 2 2 5 2 4" xfId="21073" xr:uid="{945C8713-30A1-4F5A-BBF1-0F9986EB5F28}"/>
    <cellStyle name="Comma 4 2 2 2 2 2 5 2 5" xfId="12632" xr:uid="{3EF75C26-5947-49C1-8BC8-627621918E29}"/>
    <cellStyle name="Comma 4 2 2 2 2 2 5 3" xfId="6255" xr:uid="{00000000-0005-0000-0000-0000B6070000}"/>
    <cellStyle name="Comma 4 2 2 2 2 2 5 3 2" xfId="31587" xr:uid="{E83BD259-2957-449A-BA9F-3AFAF3B98F71}"/>
    <cellStyle name="Comma 4 2 2 2 2 2 5 3 3" xfId="23146" xr:uid="{70974AAF-33AF-46DD-AB4B-5934A2B1C98D}"/>
    <cellStyle name="Comma 4 2 2 2 2 2 5 3 4" xfId="14705" xr:uid="{365C633E-DA01-4B10-95C5-A7D1EA40033F}"/>
    <cellStyle name="Comma 4 2 2 2 2 2 5 4" xfId="27369" xr:uid="{9D25CBAB-82CB-4187-AF0A-A31FE1B25615}"/>
    <cellStyle name="Comma 4 2 2 2 2 2 5 5" xfId="18928" xr:uid="{AD96662F-40D2-48A2-86FD-BEDA9E6062ED}"/>
    <cellStyle name="Comma 4 2 2 2 2 2 5 6" xfId="10487" xr:uid="{AF901A35-D865-40D7-98F5-FDF8EF4A76D2}"/>
    <cellStyle name="Comma 4 2 2 2 2 2 6" xfId="2384" xr:uid="{00000000-0005-0000-0000-0000B7070000}"/>
    <cellStyle name="Comma 4 2 2 2 2 2 6 2" xfId="6668" xr:uid="{00000000-0005-0000-0000-0000B8070000}"/>
    <cellStyle name="Comma 4 2 2 2 2 2 6 2 2" xfId="32000" xr:uid="{9E984326-D8DA-4506-9A99-5C2B7983F575}"/>
    <cellStyle name="Comma 4 2 2 2 2 2 6 2 3" xfId="23559" xr:uid="{C85CDA00-45B4-40F2-8909-35F6383826BE}"/>
    <cellStyle name="Comma 4 2 2 2 2 2 6 2 4" xfId="15118" xr:uid="{43CF1DCF-6D0D-46FF-B331-13C7F35AA549}"/>
    <cellStyle name="Comma 4 2 2 2 2 2 6 3" xfId="27782" xr:uid="{7C3100EB-9562-4400-B970-37850D152520}"/>
    <cellStyle name="Comma 4 2 2 2 2 2 6 4" xfId="19341" xr:uid="{DB5D3BB7-3042-4657-B8A1-E7B5C8F58B68}"/>
    <cellStyle name="Comma 4 2 2 2 2 2 6 5" xfId="10900" xr:uid="{5BA1DC2C-926D-44DF-8A8C-581094FE57DA}"/>
    <cellStyle name="Comma 4 2 2 2 2 2 7" xfId="2379" xr:uid="{00000000-0005-0000-0000-0000B9070000}"/>
    <cellStyle name="Comma 4 2 2 2 2 2 8" xfId="2762" xr:uid="{00000000-0005-0000-0000-0000BA070000}"/>
    <cellStyle name="Comma 4 2 2 2 2 2 8 2" xfId="6985" xr:uid="{00000000-0005-0000-0000-0000BB070000}"/>
    <cellStyle name="Comma 4 2 2 2 2 2 8 2 2" xfId="32317" xr:uid="{419B137D-241A-4DB9-87D1-734C7DB67C89}"/>
    <cellStyle name="Comma 4 2 2 2 2 2 8 2 3" xfId="23876" xr:uid="{CD3D12EE-0C42-4D75-A6B2-08A5C7774921}"/>
    <cellStyle name="Comma 4 2 2 2 2 2 8 2 4" xfId="15435" xr:uid="{F28E4AD1-936F-4083-9B10-DD5E807DC759}"/>
    <cellStyle name="Comma 4 2 2 2 2 2 8 3" xfId="28099" xr:uid="{C5BCB2AD-85F5-4A2C-AE38-60948A126A3B}"/>
    <cellStyle name="Comma 4 2 2 2 2 2 8 4" xfId="19658" xr:uid="{3D96B25A-9509-493E-9C0D-BF76963A977E}"/>
    <cellStyle name="Comma 4 2 2 2 2 2 8 5" xfId="11217" xr:uid="{2CC38834-3985-4F97-89DD-2C020C88035A}"/>
    <cellStyle name="Comma 4 2 2 2 2 2 9" xfId="4602" xr:uid="{00000000-0005-0000-0000-0000BC070000}"/>
    <cellStyle name="Comma 4 2 2 2 2 2 9 2" xfId="29934" xr:uid="{5DDFFF3A-6949-4348-8107-5F4E7A3B8890}"/>
    <cellStyle name="Comma 4 2 2 2 2 2 9 3" xfId="21493" xr:uid="{CA336EF9-9417-4A63-8ED7-21A0D1422409}"/>
    <cellStyle name="Comma 4 2 2 2 2 2 9 4" xfId="13052" xr:uid="{B9A36DA8-A015-4917-8D4C-06A2DC323D46}"/>
    <cellStyle name="Comma 4 2 2 2 2 3" xfId="667" xr:uid="{00000000-0005-0000-0000-0000BD070000}"/>
    <cellStyle name="Comma 4 2 2 2 2 3 2" xfId="2938" xr:uid="{00000000-0005-0000-0000-0000BE070000}"/>
    <cellStyle name="Comma 4 2 2 2 2 3 2 2" xfId="7160" xr:uid="{00000000-0005-0000-0000-0000BF070000}"/>
    <cellStyle name="Comma 4 2 2 2 2 3 2 2 2" xfId="32492" xr:uid="{8EEF4F4A-BCB1-4FE0-BAB1-24D1BF5830AF}"/>
    <cellStyle name="Comma 4 2 2 2 2 3 2 2 3" xfId="24051" xr:uid="{19A34A14-344D-4F62-8798-F733D26BDCD9}"/>
    <cellStyle name="Comma 4 2 2 2 2 3 2 2 4" xfId="15610" xr:uid="{D67FD836-D97D-47E6-AFF0-075A62E6411A}"/>
    <cellStyle name="Comma 4 2 2 2 2 3 2 3" xfId="28274" xr:uid="{14A3A0AB-CE68-4A2C-A5F6-C0C74CA3E830}"/>
    <cellStyle name="Comma 4 2 2 2 2 3 2 4" xfId="19833" xr:uid="{BED03C2E-7DF5-4633-AFA3-1144A068C3CE}"/>
    <cellStyle name="Comma 4 2 2 2 2 3 2 5" xfId="11392" xr:uid="{259D6108-14EA-47B6-A4BF-AD88358EE74F}"/>
    <cellStyle name="Comma 4 2 2 2 2 3 3" xfId="5015" xr:uid="{00000000-0005-0000-0000-0000C0070000}"/>
    <cellStyle name="Comma 4 2 2 2 2 3 3 2" xfId="30347" xr:uid="{053C88B7-360F-499E-BC9A-E387478BF507}"/>
    <cellStyle name="Comma 4 2 2 2 2 3 3 3" xfId="21906" xr:uid="{DA75569A-7550-414D-B7F2-815724D7B421}"/>
    <cellStyle name="Comma 4 2 2 2 2 3 3 4" xfId="13465" xr:uid="{681C2A6F-44BE-4D71-93E8-1740629D8DB6}"/>
    <cellStyle name="Comma 4 2 2 2 2 3 4" xfId="26129" xr:uid="{8414DE80-2324-411B-889B-D25B481856DC}"/>
    <cellStyle name="Comma 4 2 2 2 2 3 5" xfId="17688" xr:uid="{55459AB8-743C-498D-AC45-E21D985FB8F7}"/>
    <cellStyle name="Comma 4 2 2 2 2 3 6" xfId="9247" xr:uid="{61CFAE3F-D188-4766-913C-0620BD661414}"/>
    <cellStyle name="Comma 4 2 2 2 2 4" xfId="1120" xr:uid="{00000000-0005-0000-0000-0000C1070000}"/>
    <cellStyle name="Comma 4 2 2 2 2 4 2" xfId="3351" xr:uid="{00000000-0005-0000-0000-0000C2070000}"/>
    <cellStyle name="Comma 4 2 2 2 2 4 2 2" xfId="7573" xr:uid="{00000000-0005-0000-0000-0000C3070000}"/>
    <cellStyle name="Comma 4 2 2 2 2 4 2 2 2" xfId="32905" xr:uid="{F3D4267D-CFC9-4FBB-908E-579D8A9F4B52}"/>
    <cellStyle name="Comma 4 2 2 2 2 4 2 2 3" xfId="24464" xr:uid="{953A59CC-E423-4184-A119-BB5E581DC6E7}"/>
    <cellStyle name="Comma 4 2 2 2 2 4 2 2 4" xfId="16023" xr:uid="{76F8D4D9-AE1F-45FF-8162-DC9DD4E22051}"/>
    <cellStyle name="Comma 4 2 2 2 2 4 2 3" xfId="28687" xr:uid="{EBFAF5B2-CFAB-4CD9-AC2E-5BCB852CF68F}"/>
    <cellStyle name="Comma 4 2 2 2 2 4 2 4" xfId="20246" xr:uid="{05D03A0B-41BB-4D49-9E51-8B35DA59314C}"/>
    <cellStyle name="Comma 4 2 2 2 2 4 2 5" xfId="11805" xr:uid="{80E52A79-AC21-422A-887D-3EF15B12A856}"/>
    <cellStyle name="Comma 4 2 2 2 2 4 3" xfId="5428" xr:uid="{00000000-0005-0000-0000-0000C4070000}"/>
    <cellStyle name="Comma 4 2 2 2 2 4 3 2" xfId="30760" xr:uid="{1C551854-DE24-4D2D-8EE4-17F45886612D}"/>
    <cellStyle name="Comma 4 2 2 2 2 4 3 3" xfId="22319" xr:uid="{153565DA-46A1-4215-89CB-4C0EF9D5B482}"/>
    <cellStyle name="Comma 4 2 2 2 2 4 3 4" xfId="13878" xr:uid="{454AEF0A-8734-49D4-BC3C-7D9C866F59DB}"/>
    <cellStyle name="Comma 4 2 2 2 2 4 4" xfId="26542" xr:uid="{360B82E9-759D-4A44-A597-183C447D107C}"/>
    <cellStyle name="Comma 4 2 2 2 2 4 5" xfId="18101" xr:uid="{7C2FC2D7-A5F3-41C4-B9C4-2747AFF3679E}"/>
    <cellStyle name="Comma 4 2 2 2 2 4 6" xfId="9660" xr:uid="{5B96C93B-78C6-473B-B5AF-A50E019F51DE}"/>
    <cellStyle name="Comma 4 2 2 2 2 5" xfId="1534" xr:uid="{00000000-0005-0000-0000-0000C5070000}"/>
    <cellStyle name="Comma 4 2 2 2 2 5 2" xfId="3764" xr:uid="{00000000-0005-0000-0000-0000C6070000}"/>
    <cellStyle name="Comma 4 2 2 2 2 5 2 2" xfId="7986" xr:uid="{00000000-0005-0000-0000-0000C7070000}"/>
    <cellStyle name="Comma 4 2 2 2 2 5 2 2 2" xfId="33318" xr:uid="{1DA9EE6B-DFC5-45C3-8748-97D778206EA6}"/>
    <cellStyle name="Comma 4 2 2 2 2 5 2 2 3" xfId="24877" xr:uid="{F7DB2EE7-BCD2-46CB-8A74-0DB7E46B6EDA}"/>
    <cellStyle name="Comma 4 2 2 2 2 5 2 2 4" xfId="16436" xr:uid="{34E4B65C-2CF3-476C-8BD3-4AC7EA6A05A8}"/>
    <cellStyle name="Comma 4 2 2 2 2 5 2 3" xfId="29100" xr:uid="{90D06112-F509-4D93-8AFF-A3879EB77841}"/>
    <cellStyle name="Comma 4 2 2 2 2 5 2 4" xfId="20659" xr:uid="{2327FE18-4E2A-4050-ACA3-B50094D60C64}"/>
    <cellStyle name="Comma 4 2 2 2 2 5 2 5" xfId="12218" xr:uid="{5456A372-920D-49DA-B82D-D5CF68144F58}"/>
    <cellStyle name="Comma 4 2 2 2 2 5 3" xfId="5841" xr:uid="{00000000-0005-0000-0000-0000C8070000}"/>
    <cellStyle name="Comma 4 2 2 2 2 5 3 2" xfId="31173" xr:uid="{4EFAA58F-856B-4101-92DC-3988CD4F32D7}"/>
    <cellStyle name="Comma 4 2 2 2 2 5 3 3" xfId="22732" xr:uid="{983315C3-705B-4B06-97D8-83FBD0615D36}"/>
    <cellStyle name="Comma 4 2 2 2 2 5 3 4" xfId="14291" xr:uid="{249BE02A-14C8-4C20-9715-81292865F724}"/>
    <cellStyle name="Comma 4 2 2 2 2 5 4" xfId="26955" xr:uid="{CEA982C6-926C-436A-A5A2-61B6593CE188}"/>
    <cellStyle name="Comma 4 2 2 2 2 5 5" xfId="18514" xr:uid="{12A676BE-B035-4F4B-8354-3748746BAF7D}"/>
    <cellStyle name="Comma 4 2 2 2 2 5 6" xfId="10073" xr:uid="{113CDA85-5B25-4B4F-80E5-075C465C81F3}"/>
    <cellStyle name="Comma 4 2 2 2 2 6" xfId="1948" xr:uid="{00000000-0005-0000-0000-0000C9070000}"/>
    <cellStyle name="Comma 4 2 2 2 2 6 2" xfId="4177" xr:uid="{00000000-0005-0000-0000-0000CA070000}"/>
    <cellStyle name="Comma 4 2 2 2 2 6 2 2" xfId="8399" xr:uid="{00000000-0005-0000-0000-0000CB070000}"/>
    <cellStyle name="Comma 4 2 2 2 2 6 2 2 2" xfId="33731" xr:uid="{B88A70A7-63C7-4403-8E34-1E9AA465291A}"/>
    <cellStyle name="Comma 4 2 2 2 2 6 2 2 3" xfId="25290" xr:uid="{7EE708A7-C3B2-4CB8-8AE9-A110C7E5276F}"/>
    <cellStyle name="Comma 4 2 2 2 2 6 2 2 4" xfId="16849" xr:uid="{709D67CA-1833-41FD-BC0D-0C60D9304E4D}"/>
    <cellStyle name="Comma 4 2 2 2 2 6 2 3" xfId="29513" xr:uid="{4EF905F4-B0FD-4870-AB6C-DEDF139E5053}"/>
    <cellStyle name="Comma 4 2 2 2 2 6 2 4" xfId="21072" xr:uid="{35D6FDC6-B30A-4A8E-8E3C-ED7051D7DD3D}"/>
    <cellStyle name="Comma 4 2 2 2 2 6 2 5" xfId="12631" xr:uid="{BBB47B0B-402F-425C-A8E3-DCAE781CD0A1}"/>
    <cellStyle name="Comma 4 2 2 2 2 6 3" xfId="6254" xr:uid="{00000000-0005-0000-0000-0000CC070000}"/>
    <cellStyle name="Comma 4 2 2 2 2 6 3 2" xfId="31586" xr:uid="{D1C08EB5-2BF5-415B-B65B-512BBD30A001}"/>
    <cellStyle name="Comma 4 2 2 2 2 6 3 3" xfId="23145" xr:uid="{0A6F7645-D135-49FB-A838-1B5065018CC2}"/>
    <cellStyle name="Comma 4 2 2 2 2 6 3 4" xfId="14704" xr:uid="{E7986AAE-64C4-4F2C-B39A-8E74C7BDDE96}"/>
    <cellStyle name="Comma 4 2 2 2 2 6 4" xfId="27368" xr:uid="{5B29EE8B-7C54-489A-A94D-5D37C337B16A}"/>
    <cellStyle name="Comma 4 2 2 2 2 6 5" xfId="18927" xr:uid="{A9C15189-7CD7-4864-A637-D7C17B201753}"/>
    <cellStyle name="Comma 4 2 2 2 2 6 6" xfId="10486" xr:uid="{8390A4A7-1F08-4A5B-9EB4-F660DB691CC8}"/>
    <cellStyle name="Comma 4 2 2 2 2 7" xfId="2383" xr:uid="{00000000-0005-0000-0000-0000CD070000}"/>
    <cellStyle name="Comma 4 2 2 2 2 7 2" xfId="6667" xr:uid="{00000000-0005-0000-0000-0000CE070000}"/>
    <cellStyle name="Comma 4 2 2 2 2 7 2 2" xfId="31999" xr:uid="{926B9AD4-63CD-479F-9F16-215948D0E905}"/>
    <cellStyle name="Comma 4 2 2 2 2 7 2 3" xfId="23558" xr:uid="{8DC5874F-03B1-49C9-9C05-E523D89BA985}"/>
    <cellStyle name="Comma 4 2 2 2 2 7 2 4" xfId="15117" xr:uid="{2DF8DBAD-D85E-40BD-A1DC-3EEE540D761D}"/>
    <cellStyle name="Comma 4 2 2 2 2 7 3" xfId="27781" xr:uid="{C5D8955C-FF88-463A-8D04-F83C68071B18}"/>
    <cellStyle name="Comma 4 2 2 2 2 7 4" xfId="19340" xr:uid="{109A0F0B-6519-4E25-8C4E-BB31B5573C7A}"/>
    <cellStyle name="Comma 4 2 2 2 2 7 5" xfId="10899" xr:uid="{40623147-9D47-4F80-BCB6-02A018514B46}"/>
    <cellStyle name="Comma 4 2 2 2 2 8" xfId="2380" xr:uid="{00000000-0005-0000-0000-0000CF070000}"/>
    <cellStyle name="Comma 4 2 2 2 2 9" xfId="2761" xr:uid="{00000000-0005-0000-0000-0000D0070000}"/>
    <cellStyle name="Comma 4 2 2 2 2 9 2" xfId="6984" xr:uid="{00000000-0005-0000-0000-0000D1070000}"/>
    <cellStyle name="Comma 4 2 2 2 2 9 2 2" xfId="32316" xr:uid="{FEAF7A1F-FF0A-49ED-AE8C-F03E64EAAF1A}"/>
    <cellStyle name="Comma 4 2 2 2 2 9 2 3" xfId="23875" xr:uid="{B2E41D54-AB0D-421E-BB67-6D61D29E5D2A}"/>
    <cellStyle name="Comma 4 2 2 2 2 9 2 4" xfId="15434" xr:uid="{79333D09-651D-4A17-8174-D5C514BEC3CA}"/>
    <cellStyle name="Comma 4 2 2 2 2 9 3" xfId="28098" xr:uid="{98DB1405-5E39-4BEF-9DF7-C0978AC3406C}"/>
    <cellStyle name="Comma 4 2 2 2 2 9 4" xfId="19657" xr:uid="{3939FA13-B3CA-4062-A04F-4E0C328B2311}"/>
    <cellStyle name="Comma 4 2 2 2 2 9 5" xfId="11216" xr:uid="{1270969E-0412-45C3-B108-D8B204DB52BF}"/>
    <cellStyle name="Comma 4 2 2 2 3" xfId="131" xr:uid="{00000000-0005-0000-0000-0000D2070000}"/>
    <cellStyle name="Comma 4 2 2 2 3 10" xfId="25717" xr:uid="{6EDF6754-57FB-4982-90E0-32C18FE44203}"/>
    <cellStyle name="Comma 4 2 2 2 3 11" xfId="17276" xr:uid="{9C790D1C-DD34-482B-90BA-4D146B1D1584}"/>
    <cellStyle name="Comma 4 2 2 2 3 12" xfId="8835" xr:uid="{3D0D83ED-FAC5-4980-BE7E-C301F8D51E1A}"/>
    <cellStyle name="Comma 4 2 2 2 3 2" xfId="669" xr:uid="{00000000-0005-0000-0000-0000D3070000}"/>
    <cellStyle name="Comma 4 2 2 2 3 2 2" xfId="2940" xr:uid="{00000000-0005-0000-0000-0000D4070000}"/>
    <cellStyle name="Comma 4 2 2 2 3 2 2 2" xfId="7162" xr:uid="{00000000-0005-0000-0000-0000D5070000}"/>
    <cellStyle name="Comma 4 2 2 2 3 2 2 2 2" xfId="32494" xr:uid="{7351623F-0036-43C7-923C-D47A3353AF37}"/>
    <cellStyle name="Comma 4 2 2 2 3 2 2 2 3" xfId="24053" xr:uid="{4911265E-D46C-4C17-9653-9CEABA16975B}"/>
    <cellStyle name="Comma 4 2 2 2 3 2 2 2 4" xfId="15612" xr:uid="{10319168-571D-4E4C-AE74-AC16EE53A6B5}"/>
    <cellStyle name="Comma 4 2 2 2 3 2 2 3" xfId="28276" xr:uid="{8594D8F2-BF77-4590-954A-A7B69F2BA9E9}"/>
    <cellStyle name="Comma 4 2 2 2 3 2 2 4" xfId="19835" xr:uid="{4698F663-E41C-4017-85C7-3D694CB36F9C}"/>
    <cellStyle name="Comma 4 2 2 2 3 2 2 5" xfId="11394" xr:uid="{F89F1610-6032-49D9-917D-6EF482A55788}"/>
    <cellStyle name="Comma 4 2 2 2 3 2 3" xfId="5017" xr:uid="{00000000-0005-0000-0000-0000D6070000}"/>
    <cellStyle name="Comma 4 2 2 2 3 2 3 2" xfId="30349" xr:uid="{DDCD9BCA-C6D8-4558-9E5D-6DCD413B4060}"/>
    <cellStyle name="Comma 4 2 2 2 3 2 3 3" xfId="21908" xr:uid="{4AEA7A32-F18E-4186-8224-AF7A991E4A56}"/>
    <cellStyle name="Comma 4 2 2 2 3 2 3 4" xfId="13467" xr:uid="{36E87C08-0AD2-4420-A270-8A4D72D741B2}"/>
    <cellStyle name="Comma 4 2 2 2 3 2 4" xfId="26131" xr:uid="{EB7EBE2C-38F0-4D6C-8610-302F2769E58C}"/>
    <cellStyle name="Comma 4 2 2 2 3 2 5" xfId="17690" xr:uid="{E88E17FA-D9C7-447D-854B-22132BC3FE13}"/>
    <cellStyle name="Comma 4 2 2 2 3 2 6" xfId="9249" xr:uid="{C685803D-DF34-437D-8E6C-8D4EDCF09806}"/>
    <cellStyle name="Comma 4 2 2 2 3 3" xfId="1122" xr:uid="{00000000-0005-0000-0000-0000D7070000}"/>
    <cellStyle name="Comma 4 2 2 2 3 3 2" xfId="3353" xr:uid="{00000000-0005-0000-0000-0000D8070000}"/>
    <cellStyle name="Comma 4 2 2 2 3 3 2 2" xfId="7575" xr:uid="{00000000-0005-0000-0000-0000D9070000}"/>
    <cellStyle name="Comma 4 2 2 2 3 3 2 2 2" xfId="32907" xr:uid="{49582985-3D21-41BA-A3F3-11A864B93433}"/>
    <cellStyle name="Comma 4 2 2 2 3 3 2 2 3" xfId="24466" xr:uid="{4695C11E-757E-4984-B9F4-D623AF1F46DA}"/>
    <cellStyle name="Comma 4 2 2 2 3 3 2 2 4" xfId="16025" xr:uid="{B0160477-5F1F-44F1-AF22-EFC6C0197F92}"/>
    <cellStyle name="Comma 4 2 2 2 3 3 2 3" xfId="28689" xr:uid="{65CBBB4A-0A1B-4C34-9A41-87C9EF5BE198}"/>
    <cellStyle name="Comma 4 2 2 2 3 3 2 4" xfId="20248" xr:uid="{F6B062F6-9092-4BC6-96B5-4837D2FFDFD4}"/>
    <cellStyle name="Comma 4 2 2 2 3 3 2 5" xfId="11807" xr:uid="{C42895A7-D3F7-4086-A94D-689F0F32D84D}"/>
    <cellStyle name="Comma 4 2 2 2 3 3 3" xfId="5430" xr:uid="{00000000-0005-0000-0000-0000DA070000}"/>
    <cellStyle name="Comma 4 2 2 2 3 3 3 2" xfId="30762" xr:uid="{6B1926F6-B2C8-4581-B3E7-30D38E8D424E}"/>
    <cellStyle name="Comma 4 2 2 2 3 3 3 3" xfId="22321" xr:uid="{2EB15C14-1D14-4F12-8548-1F5020B0B081}"/>
    <cellStyle name="Comma 4 2 2 2 3 3 3 4" xfId="13880" xr:uid="{3CB4AEA3-9676-4B6E-964F-7027BC34131F}"/>
    <cellStyle name="Comma 4 2 2 2 3 3 4" xfId="26544" xr:uid="{6F46DD38-2052-4263-924A-A37A743F3B6E}"/>
    <cellStyle name="Comma 4 2 2 2 3 3 5" xfId="18103" xr:uid="{24953129-EB13-4BCB-839A-69CC210FE266}"/>
    <cellStyle name="Comma 4 2 2 2 3 3 6" xfId="9662" xr:uid="{BBC25A58-B8C0-48E3-811F-811FFF1FDCE8}"/>
    <cellStyle name="Comma 4 2 2 2 3 4" xfId="1536" xr:uid="{00000000-0005-0000-0000-0000DB070000}"/>
    <cellStyle name="Comma 4 2 2 2 3 4 2" xfId="3766" xr:uid="{00000000-0005-0000-0000-0000DC070000}"/>
    <cellStyle name="Comma 4 2 2 2 3 4 2 2" xfId="7988" xr:uid="{00000000-0005-0000-0000-0000DD070000}"/>
    <cellStyle name="Comma 4 2 2 2 3 4 2 2 2" xfId="33320" xr:uid="{2E74F7E6-5FBE-4914-A53B-082ACCAADBB8}"/>
    <cellStyle name="Comma 4 2 2 2 3 4 2 2 3" xfId="24879" xr:uid="{321802F9-2B31-48E3-A76D-0F73CED66E24}"/>
    <cellStyle name="Comma 4 2 2 2 3 4 2 2 4" xfId="16438" xr:uid="{974C752C-6189-43BB-BB3B-654FDC51BC3D}"/>
    <cellStyle name="Comma 4 2 2 2 3 4 2 3" xfId="29102" xr:uid="{991BA6FE-0B20-467F-84F1-D35F1B989B28}"/>
    <cellStyle name="Comma 4 2 2 2 3 4 2 4" xfId="20661" xr:uid="{A63A3881-A4BC-4E05-9AF3-919C11F704F6}"/>
    <cellStyle name="Comma 4 2 2 2 3 4 2 5" xfId="12220" xr:uid="{ACAAD62F-F21D-4429-8590-E5EB4274BC80}"/>
    <cellStyle name="Comma 4 2 2 2 3 4 3" xfId="5843" xr:uid="{00000000-0005-0000-0000-0000DE070000}"/>
    <cellStyle name="Comma 4 2 2 2 3 4 3 2" xfId="31175" xr:uid="{6AEF7B6D-0E96-488A-ABBA-A39FE0A3EDE8}"/>
    <cellStyle name="Comma 4 2 2 2 3 4 3 3" xfId="22734" xr:uid="{54098762-F51A-4857-8725-8D46435756A6}"/>
    <cellStyle name="Comma 4 2 2 2 3 4 3 4" xfId="14293" xr:uid="{E77082E9-7CDE-4FA3-9549-5CED8C3F5896}"/>
    <cellStyle name="Comma 4 2 2 2 3 4 4" xfId="26957" xr:uid="{757285D4-3502-491E-B932-7DC5CE50EFFC}"/>
    <cellStyle name="Comma 4 2 2 2 3 4 5" xfId="18516" xr:uid="{866EE981-F0B4-424C-B7C1-27F6E58F7B1D}"/>
    <cellStyle name="Comma 4 2 2 2 3 4 6" xfId="10075" xr:uid="{860255FE-942B-40C3-B57F-0164623AB0B2}"/>
    <cellStyle name="Comma 4 2 2 2 3 5" xfId="1950" xr:uid="{00000000-0005-0000-0000-0000DF070000}"/>
    <cellStyle name="Comma 4 2 2 2 3 5 2" xfId="4179" xr:uid="{00000000-0005-0000-0000-0000E0070000}"/>
    <cellStyle name="Comma 4 2 2 2 3 5 2 2" xfId="8401" xr:uid="{00000000-0005-0000-0000-0000E1070000}"/>
    <cellStyle name="Comma 4 2 2 2 3 5 2 2 2" xfId="33733" xr:uid="{FE71ADE8-6429-4DB4-96BF-1BDE7F2DFFBD}"/>
    <cellStyle name="Comma 4 2 2 2 3 5 2 2 3" xfId="25292" xr:uid="{43672C96-14F7-4050-AC6A-6F24859D3484}"/>
    <cellStyle name="Comma 4 2 2 2 3 5 2 2 4" xfId="16851" xr:uid="{B43F2EB7-CEA9-46DE-84AE-E2EE79996A91}"/>
    <cellStyle name="Comma 4 2 2 2 3 5 2 3" xfId="29515" xr:uid="{4FCD2087-0F47-47D5-82D5-110DCD95325F}"/>
    <cellStyle name="Comma 4 2 2 2 3 5 2 4" xfId="21074" xr:uid="{125E8360-B095-4038-8F04-C1C33E11389D}"/>
    <cellStyle name="Comma 4 2 2 2 3 5 2 5" xfId="12633" xr:uid="{AB5C35A8-8A7E-4E59-9102-ADFFE7E780B9}"/>
    <cellStyle name="Comma 4 2 2 2 3 5 3" xfId="6256" xr:uid="{00000000-0005-0000-0000-0000E2070000}"/>
    <cellStyle name="Comma 4 2 2 2 3 5 3 2" xfId="31588" xr:uid="{D388D013-F220-4370-A061-912BFC6A2B0B}"/>
    <cellStyle name="Comma 4 2 2 2 3 5 3 3" xfId="23147" xr:uid="{66FF9A8A-7664-49F0-818E-6916653088B5}"/>
    <cellStyle name="Comma 4 2 2 2 3 5 3 4" xfId="14706" xr:uid="{80834333-83A5-4E6D-925E-9991C4723337}"/>
    <cellStyle name="Comma 4 2 2 2 3 5 4" xfId="27370" xr:uid="{593AC173-83D3-4C5D-A9AE-8D0A35F5C2A7}"/>
    <cellStyle name="Comma 4 2 2 2 3 5 5" xfId="18929" xr:uid="{BCE97878-F2CF-4372-A7DD-A351F99C9B7B}"/>
    <cellStyle name="Comma 4 2 2 2 3 5 6" xfId="10488" xr:uid="{6997D972-EE0C-4931-BBDA-11AC3408FA1F}"/>
    <cellStyle name="Comma 4 2 2 2 3 6" xfId="2385" xr:uid="{00000000-0005-0000-0000-0000E3070000}"/>
    <cellStyle name="Comma 4 2 2 2 3 6 2" xfId="6669" xr:uid="{00000000-0005-0000-0000-0000E4070000}"/>
    <cellStyle name="Comma 4 2 2 2 3 6 2 2" xfId="32001" xr:uid="{091E4BF3-F9EA-4196-8AB7-8FB80D622A37}"/>
    <cellStyle name="Comma 4 2 2 2 3 6 2 3" xfId="23560" xr:uid="{B6E8C159-EC35-4D4A-8F70-21B930D5DB4F}"/>
    <cellStyle name="Comma 4 2 2 2 3 6 2 4" xfId="15119" xr:uid="{750BB1BD-65E2-482E-BCE6-9DD2DC74309D}"/>
    <cellStyle name="Comma 4 2 2 2 3 6 3" xfId="27783" xr:uid="{4385F2E4-5418-44B3-9706-9AE281E1D580}"/>
    <cellStyle name="Comma 4 2 2 2 3 6 4" xfId="19342" xr:uid="{2EF4BF15-4020-4709-BA95-8563798EF166}"/>
    <cellStyle name="Comma 4 2 2 2 3 6 5" xfId="10901" xr:uid="{BFACE0EE-BD8F-4A78-98B3-ACC1390EE1CA}"/>
    <cellStyle name="Comma 4 2 2 2 3 7" xfId="2378" xr:uid="{00000000-0005-0000-0000-0000E5070000}"/>
    <cellStyle name="Comma 4 2 2 2 3 8" xfId="2763" xr:uid="{00000000-0005-0000-0000-0000E6070000}"/>
    <cellStyle name="Comma 4 2 2 2 3 8 2" xfId="6986" xr:uid="{00000000-0005-0000-0000-0000E7070000}"/>
    <cellStyle name="Comma 4 2 2 2 3 8 2 2" xfId="32318" xr:uid="{23C76DC4-2EBA-46FB-B78F-9302BCDB459E}"/>
    <cellStyle name="Comma 4 2 2 2 3 8 2 3" xfId="23877" xr:uid="{88011EFF-932B-4885-94A6-08C7D948552D}"/>
    <cellStyle name="Comma 4 2 2 2 3 8 2 4" xfId="15436" xr:uid="{59FEF2D8-3795-4796-8D6A-09921D824F88}"/>
    <cellStyle name="Comma 4 2 2 2 3 8 3" xfId="28100" xr:uid="{9E20C0FF-BA79-4D83-A560-6E664B40CB64}"/>
    <cellStyle name="Comma 4 2 2 2 3 8 4" xfId="19659" xr:uid="{62472848-5BBC-4CC7-A6CE-81AD709256CD}"/>
    <cellStyle name="Comma 4 2 2 2 3 8 5" xfId="11218" xr:uid="{23C7C825-2262-463C-9D6C-1DDDDF995799}"/>
    <cellStyle name="Comma 4 2 2 2 3 9" xfId="4603" xr:uid="{00000000-0005-0000-0000-0000E8070000}"/>
    <cellStyle name="Comma 4 2 2 2 3 9 2" xfId="29935" xr:uid="{C3B8BE66-79A6-4EF1-990C-0942B00AEBA2}"/>
    <cellStyle name="Comma 4 2 2 2 3 9 3" xfId="21494" xr:uid="{6158211A-BD81-4D88-8E98-98B54BE31EC4}"/>
    <cellStyle name="Comma 4 2 2 2 3 9 4" xfId="13053" xr:uid="{45477B6C-C3F9-4408-97BC-6C68E1468647}"/>
    <cellStyle name="Comma 4 2 2 2 4" xfId="666" xr:uid="{00000000-0005-0000-0000-0000E9070000}"/>
    <cellStyle name="Comma 4 2 2 2 4 2" xfId="2937" xr:uid="{00000000-0005-0000-0000-0000EA070000}"/>
    <cellStyle name="Comma 4 2 2 2 4 2 2" xfId="7159" xr:uid="{00000000-0005-0000-0000-0000EB070000}"/>
    <cellStyle name="Comma 4 2 2 2 4 2 2 2" xfId="32491" xr:uid="{42C4FC41-D79E-4515-A893-1995E804E2EA}"/>
    <cellStyle name="Comma 4 2 2 2 4 2 2 3" xfId="24050" xr:uid="{7145463C-5E4A-4512-8F4E-68F8175213CA}"/>
    <cellStyle name="Comma 4 2 2 2 4 2 2 4" xfId="15609" xr:uid="{23A86067-AB63-4705-BE38-66139DB04FDA}"/>
    <cellStyle name="Comma 4 2 2 2 4 2 3" xfId="28273" xr:uid="{4F6B9CE2-8BFB-4C69-B97C-8097BB3F4F27}"/>
    <cellStyle name="Comma 4 2 2 2 4 2 4" xfId="19832" xr:uid="{7FD5A865-9A20-4544-8F82-CF6BEA057B49}"/>
    <cellStyle name="Comma 4 2 2 2 4 2 5" xfId="11391" xr:uid="{53DAEA87-E5FD-408B-B7ED-4270A0D15D23}"/>
    <cellStyle name="Comma 4 2 2 2 4 3" xfId="5014" xr:uid="{00000000-0005-0000-0000-0000EC070000}"/>
    <cellStyle name="Comma 4 2 2 2 4 3 2" xfId="30346" xr:uid="{F5D77B8F-70EC-4E72-8774-3DFBA7F1EB77}"/>
    <cellStyle name="Comma 4 2 2 2 4 3 3" xfId="21905" xr:uid="{E76F4EB0-C8DE-4DCB-816B-809DE661BEE6}"/>
    <cellStyle name="Comma 4 2 2 2 4 3 4" xfId="13464" xr:uid="{AE9B7DF7-0809-4A11-9421-80A3CC4FCDA3}"/>
    <cellStyle name="Comma 4 2 2 2 4 4" xfId="26128" xr:uid="{5A9EB43A-1633-4DE5-B272-A2A01762D39D}"/>
    <cellStyle name="Comma 4 2 2 2 4 5" xfId="17687" xr:uid="{DA3255E1-854A-4408-A3C5-DABC3A215F5B}"/>
    <cellStyle name="Comma 4 2 2 2 4 6" xfId="9246" xr:uid="{47179998-AA0E-44E5-8FDF-AAA3886C4E1C}"/>
    <cellStyle name="Comma 4 2 2 2 5" xfId="1119" xr:uid="{00000000-0005-0000-0000-0000ED070000}"/>
    <cellStyle name="Comma 4 2 2 2 5 2" xfId="3350" xr:uid="{00000000-0005-0000-0000-0000EE070000}"/>
    <cellStyle name="Comma 4 2 2 2 5 2 2" xfId="7572" xr:uid="{00000000-0005-0000-0000-0000EF070000}"/>
    <cellStyle name="Comma 4 2 2 2 5 2 2 2" xfId="32904" xr:uid="{1C589008-A70C-4173-BA3B-587B0AAC585B}"/>
    <cellStyle name="Comma 4 2 2 2 5 2 2 3" xfId="24463" xr:uid="{6D2E9C67-DF2A-42E3-92DC-52D086237145}"/>
    <cellStyle name="Comma 4 2 2 2 5 2 2 4" xfId="16022" xr:uid="{428B5E75-CFCD-4A0B-9B75-5367CB137AE9}"/>
    <cellStyle name="Comma 4 2 2 2 5 2 3" xfId="28686" xr:uid="{35F2B95E-33F8-44C5-9C08-B544EB198803}"/>
    <cellStyle name="Comma 4 2 2 2 5 2 4" xfId="20245" xr:uid="{60502EBA-1638-4BB0-9F29-1E1C7627706B}"/>
    <cellStyle name="Comma 4 2 2 2 5 2 5" xfId="11804" xr:uid="{38EC9986-0FCF-4683-B6F2-E3A33D8EC449}"/>
    <cellStyle name="Comma 4 2 2 2 5 3" xfId="5427" xr:uid="{00000000-0005-0000-0000-0000F0070000}"/>
    <cellStyle name="Comma 4 2 2 2 5 3 2" xfId="30759" xr:uid="{DD49BB58-7CDA-414E-A158-C09F2D6D2455}"/>
    <cellStyle name="Comma 4 2 2 2 5 3 3" xfId="22318" xr:uid="{1C94077E-0A04-4C5E-8F56-39AD65E83A0B}"/>
    <cellStyle name="Comma 4 2 2 2 5 3 4" xfId="13877" xr:uid="{3108F94E-0BCD-47AB-A8D0-D3E2C9BE3A05}"/>
    <cellStyle name="Comma 4 2 2 2 5 4" xfId="26541" xr:uid="{11048A95-7C94-4CE1-9834-E015875AC25B}"/>
    <cellStyle name="Comma 4 2 2 2 5 5" xfId="18100" xr:uid="{B5C69533-6657-4BA8-A78D-5CDD8E580A0F}"/>
    <cellStyle name="Comma 4 2 2 2 5 6" xfId="9659" xr:uid="{1A7754A9-455A-490C-B49F-C85865B61F40}"/>
    <cellStyle name="Comma 4 2 2 2 6" xfId="1533" xr:uid="{00000000-0005-0000-0000-0000F1070000}"/>
    <cellStyle name="Comma 4 2 2 2 6 2" xfId="3763" xr:uid="{00000000-0005-0000-0000-0000F2070000}"/>
    <cellStyle name="Comma 4 2 2 2 6 2 2" xfId="7985" xr:uid="{00000000-0005-0000-0000-0000F3070000}"/>
    <cellStyle name="Comma 4 2 2 2 6 2 2 2" xfId="33317" xr:uid="{7D5266CF-631B-4C86-AB7D-DDF5B6F83AAA}"/>
    <cellStyle name="Comma 4 2 2 2 6 2 2 3" xfId="24876" xr:uid="{B14330F7-FDA1-4272-BA03-08D8C729819A}"/>
    <cellStyle name="Comma 4 2 2 2 6 2 2 4" xfId="16435" xr:uid="{F526FD0C-1A0B-4A65-8651-A343B28235B9}"/>
    <cellStyle name="Comma 4 2 2 2 6 2 3" xfId="29099" xr:uid="{8897F94E-6F64-4117-9161-B90AB87B8100}"/>
    <cellStyle name="Comma 4 2 2 2 6 2 4" xfId="20658" xr:uid="{958BC277-92F8-4460-BB3F-FF7631819231}"/>
    <cellStyle name="Comma 4 2 2 2 6 2 5" xfId="12217" xr:uid="{9EC850F4-9A60-405B-A3D1-23B79DA24CAA}"/>
    <cellStyle name="Comma 4 2 2 2 6 3" xfId="5840" xr:uid="{00000000-0005-0000-0000-0000F4070000}"/>
    <cellStyle name="Comma 4 2 2 2 6 3 2" xfId="31172" xr:uid="{82BED808-60F2-463A-8F71-30DEE598135E}"/>
    <cellStyle name="Comma 4 2 2 2 6 3 3" xfId="22731" xr:uid="{401C7F5E-7FBF-4B41-88A0-787AFC86A763}"/>
    <cellStyle name="Comma 4 2 2 2 6 3 4" xfId="14290" xr:uid="{5B42FA8D-B4C1-48D9-90D0-9EC23483F051}"/>
    <cellStyle name="Comma 4 2 2 2 6 4" xfId="26954" xr:uid="{A19C4803-34AA-47E0-89C0-CF6F194A4B9E}"/>
    <cellStyle name="Comma 4 2 2 2 6 5" xfId="18513" xr:uid="{59D306C4-54F2-428F-B395-986DEEA3F098}"/>
    <cellStyle name="Comma 4 2 2 2 6 6" xfId="10072" xr:uid="{C09341DE-F275-4A11-900B-C636F9F48205}"/>
    <cellStyle name="Comma 4 2 2 2 7" xfId="1947" xr:uid="{00000000-0005-0000-0000-0000F5070000}"/>
    <cellStyle name="Comma 4 2 2 2 7 2" xfId="4176" xr:uid="{00000000-0005-0000-0000-0000F6070000}"/>
    <cellStyle name="Comma 4 2 2 2 7 2 2" xfId="8398" xr:uid="{00000000-0005-0000-0000-0000F7070000}"/>
    <cellStyle name="Comma 4 2 2 2 7 2 2 2" xfId="33730" xr:uid="{A65F3991-A2F5-41ED-A0AC-D93993DB450E}"/>
    <cellStyle name="Comma 4 2 2 2 7 2 2 3" xfId="25289" xr:uid="{BF755845-B64B-4492-A153-8760998B97FC}"/>
    <cellStyle name="Comma 4 2 2 2 7 2 2 4" xfId="16848" xr:uid="{24AF9245-5848-4627-A5AC-2A281F18FB67}"/>
    <cellStyle name="Comma 4 2 2 2 7 2 3" xfId="29512" xr:uid="{93B86E1C-9821-481F-83F8-3C61E8420B42}"/>
    <cellStyle name="Comma 4 2 2 2 7 2 4" xfId="21071" xr:uid="{FC42C3DE-2D4B-4C41-9167-0EDEC39521C8}"/>
    <cellStyle name="Comma 4 2 2 2 7 2 5" xfId="12630" xr:uid="{D95CCE70-6C3B-4685-AA46-C8A3CBAA81EA}"/>
    <cellStyle name="Comma 4 2 2 2 7 3" xfId="6253" xr:uid="{00000000-0005-0000-0000-0000F8070000}"/>
    <cellStyle name="Comma 4 2 2 2 7 3 2" xfId="31585" xr:uid="{6D96CC9D-9559-49C3-8170-602FA7FA7C1A}"/>
    <cellStyle name="Comma 4 2 2 2 7 3 3" xfId="23144" xr:uid="{5D762F82-6AEF-4CE7-9C0B-1DF1AC954728}"/>
    <cellStyle name="Comma 4 2 2 2 7 3 4" xfId="14703" xr:uid="{6C57B21D-919E-49A4-8CE2-ADD9F9704AEF}"/>
    <cellStyle name="Comma 4 2 2 2 7 4" xfId="27367" xr:uid="{C672F6C7-E8EC-4F3D-B77B-082E7FE1DBE4}"/>
    <cellStyle name="Comma 4 2 2 2 7 5" xfId="18926" xr:uid="{53EBECA3-5903-48C7-B4CD-62DFA4ECB0A7}"/>
    <cellStyle name="Comma 4 2 2 2 7 6" xfId="10485" xr:uid="{DFE8ADB9-9E67-4CB9-B0AB-0DAA9F6978C2}"/>
    <cellStyle name="Comma 4 2 2 2 8" xfId="2382" xr:uid="{00000000-0005-0000-0000-0000F9070000}"/>
    <cellStyle name="Comma 4 2 2 2 8 2" xfId="6666" xr:uid="{00000000-0005-0000-0000-0000FA070000}"/>
    <cellStyle name="Comma 4 2 2 2 8 2 2" xfId="31998" xr:uid="{05590EE8-7235-47AA-84A0-4E5DFAC43F14}"/>
    <cellStyle name="Comma 4 2 2 2 8 2 3" xfId="23557" xr:uid="{93C40C87-A892-482D-8371-FB8182578340}"/>
    <cellStyle name="Comma 4 2 2 2 8 2 4" xfId="15116" xr:uid="{0DFAF5DB-FA33-4C40-B59D-288C51F1C530}"/>
    <cellStyle name="Comma 4 2 2 2 8 3" xfId="27780" xr:uid="{75C20438-8764-4D7D-9840-45EAD703234B}"/>
    <cellStyle name="Comma 4 2 2 2 8 4" xfId="19339" xr:uid="{90B87218-AF84-45D1-A518-7FC402F06BA7}"/>
    <cellStyle name="Comma 4 2 2 2 8 5" xfId="10898" xr:uid="{7E2D3455-03B4-47C4-87FF-3E0A1184A782}"/>
    <cellStyle name="Comma 4 2 2 2 9" xfId="2381" xr:uid="{00000000-0005-0000-0000-0000FB070000}"/>
    <cellStyle name="Comma 4 2 2 3" xfId="132" xr:uid="{00000000-0005-0000-0000-0000FC070000}"/>
    <cellStyle name="Comma 4 2 2 3 10" xfId="4604" xr:uid="{00000000-0005-0000-0000-0000FD070000}"/>
    <cellStyle name="Comma 4 2 2 3 10 2" xfId="29936" xr:uid="{FE702F76-F1E2-4F98-8F66-DDD64D5216FD}"/>
    <cellStyle name="Comma 4 2 2 3 10 3" xfId="21495" xr:uid="{A6EE0002-7F1F-4B90-A06A-6AD7866ADFAB}"/>
    <cellStyle name="Comma 4 2 2 3 10 4" xfId="13054" xr:uid="{B9E1AE7F-0880-4641-8936-4179775F0B8C}"/>
    <cellStyle name="Comma 4 2 2 3 11" xfId="25718" xr:uid="{F34A78D2-2CB7-4FAD-A2D2-F320EEF40254}"/>
    <cellStyle name="Comma 4 2 2 3 12" xfId="17277" xr:uid="{EA51AD5E-A47B-4C75-A8F5-E7A3991037EB}"/>
    <cellStyle name="Comma 4 2 2 3 13" xfId="8836" xr:uid="{E9BD96F6-7CC1-47A7-9DE6-6164E6A1A265}"/>
    <cellStyle name="Comma 4 2 2 3 2" xfId="133" xr:uid="{00000000-0005-0000-0000-0000FE070000}"/>
    <cellStyle name="Comma 4 2 2 3 2 10" xfId="25719" xr:uid="{F80ED1CC-4700-4499-B599-087E340FAF66}"/>
    <cellStyle name="Comma 4 2 2 3 2 11" xfId="17278" xr:uid="{165614A8-27F6-49CF-9019-49341DDECB32}"/>
    <cellStyle name="Comma 4 2 2 3 2 12" xfId="8837" xr:uid="{6B7558E1-3B61-4E69-997F-030802CB17D8}"/>
    <cellStyle name="Comma 4 2 2 3 2 2" xfId="671" xr:uid="{00000000-0005-0000-0000-0000FF070000}"/>
    <cellStyle name="Comma 4 2 2 3 2 2 2" xfId="2942" xr:uid="{00000000-0005-0000-0000-000000080000}"/>
    <cellStyle name="Comma 4 2 2 3 2 2 2 2" xfId="7164" xr:uid="{00000000-0005-0000-0000-000001080000}"/>
    <cellStyle name="Comma 4 2 2 3 2 2 2 2 2" xfId="32496" xr:uid="{4A2AAB59-B7A6-43AB-BE0D-295C5CFA165B}"/>
    <cellStyle name="Comma 4 2 2 3 2 2 2 2 3" xfId="24055" xr:uid="{1A338A75-16D6-4B6E-912F-8D0103D73BBA}"/>
    <cellStyle name="Comma 4 2 2 3 2 2 2 2 4" xfId="15614" xr:uid="{BDB9C86B-53EA-4B73-9AD2-1002CB1F67E3}"/>
    <cellStyle name="Comma 4 2 2 3 2 2 2 3" xfId="28278" xr:uid="{9B8BF2A5-F779-45B4-8962-0BDBD757B51C}"/>
    <cellStyle name="Comma 4 2 2 3 2 2 2 4" xfId="19837" xr:uid="{D324EE2A-C40D-4F4B-9544-706D32C3BD92}"/>
    <cellStyle name="Comma 4 2 2 3 2 2 2 5" xfId="11396" xr:uid="{BC33E935-42DF-47F1-B4E3-96883F58EEA5}"/>
    <cellStyle name="Comma 4 2 2 3 2 2 3" xfId="5019" xr:uid="{00000000-0005-0000-0000-000002080000}"/>
    <cellStyle name="Comma 4 2 2 3 2 2 3 2" xfId="30351" xr:uid="{CC501C4F-D0A2-4B8C-BD14-35F0C95259FA}"/>
    <cellStyle name="Comma 4 2 2 3 2 2 3 3" xfId="21910" xr:uid="{8A56E3AD-4E90-4624-A901-80B79DE96E8D}"/>
    <cellStyle name="Comma 4 2 2 3 2 2 3 4" xfId="13469" xr:uid="{1DB3589B-3B9D-47DE-A7F7-21635C4CE159}"/>
    <cellStyle name="Comma 4 2 2 3 2 2 4" xfId="26133" xr:uid="{D4042749-97EB-4734-863C-5258D72F0132}"/>
    <cellStyle name="Comma 4 2 2 3 2 2 5" xfId="17692" xr:uid="{FD76540E-08F4-44D9-824B-1AC7C6DC5C07}"/>
    <cellStyle name="Comma 4 2 2 3 2 2 6" xfId="9251" xr:uid="{23444E05-80EA-4E7F-A5C9-CEFB79388277}"/>
    <cellStyle name="Comma 4 2 2 3 2 3" xfId="1124" xr:uid="{00000000-0005-0000-0000-000003080000}"/>
    <cellStyle name="Comma 4 2 2 3 2 3 2" xfId="3355" xr:uid="{00000000-0005-0000-0000-000004080000}"/>
    <cellStyle name="Comma 4 2 2 3 2 3 2 2" xfId="7577" xr:uid="{00000000-0005-0000-0000-000005080000}"/>
    <cellStyle name="Comma 4 2 2 3 2 3 2 2 2" xfId="32909" xr:uid="{E561ECF8-86D0-490B-B8D0-980413FC2FE7}"/>
    <cellStyle name="Comma 4 2 2 3 2 3 2 2 3" xfId="24468" xr:uid="{4F8D77BF-32B8-4A77-A739-35E4052B73AF}"/>
    <cellStyle name="Comma 4 2 2 3 2 3 2 2 4" xfId="16027" xr:uid="{F42E45DD-9B72-42C2-A728-F2E64F6F3428}"/>
    <cellStyle name="Comma 4 2 2 3 2 3 2 3" xfId="28691" xr:uid="{F8E51FF5-1A53-4B2B-BEAF-7607DB3965F2}"/>
    <cellStyle name="Comma 4 2 2 3 2 3 2 4" xfId="20250" xr:uid="{48A0B755-04CE-4F66-8C2E-97741F06D54E}"/>
    <cellStyle name="Comma 4 2 2 3 2 3 2 5" xfId="11809" xr:uid="{91F6AB25-6447-4D26-92CD-0A05C8B74C5F}"/>
    <cellStyle name="Comma 4 2 2 3 2 3 3" xfId="5432" xr:uid="{00000000-0005-0000-0000-000006080000}"/>
    <cellStyle name="Comma 4 2 2 3 2 3 3 2" xfId="30764" xr:uid="{146D6D36-D44B-476E-A372-4B8F5B3981F3}"/>
    <cellStyle name="Comma 4 2 2 3 2 3 3 3" xfId="22323" xr:uid="{98F62A8E-EC1F-4A25-9FBB-970B04EF197F}"/>
    <cellStyle name="Comma 4 2 2 3 2 3 3 4" xfId="13882" xr:uid="{32A08597-1F3F-417F-B7B7-AC867267A263}"/>
    <cellStyle name="Comma 4 2 2 3 2 3 4" xfId="26546" xr:uid="{9F24B051-B934-4D60-B82E-AC6074F574FF}"/>
    <cellStyle name="Comma 4 2 2 3 2 3 5" xfId="18105" xr:uid="{F01ED1D7-6FD3-4203-BD95-2EB437874423}"/>
    <cellStyle name="Comma 4 2 2 3 2 3 6" xfId="9664" xr:uid="{995763F4-9184-428F-AF46-A4E466FBF216}"/>
    <cellStyle name="Comma 4 2 2 3 2 4" xfId="1538" xr:uid="{00000000-0005-0000-0000-000007080000}"/>
    <cellStyle name="Comma 4 2 2 3 2 4 2" xfId="3768" xr:uid="{00000000-0005-0000-0000-000008080000}"/>
    <cellStyle name="Comma 4 2 2 3 2 4 2 2" xfId="7990" xr:uid="{00000000-0005-0000-0000-000009080000}"/>
    <cellStyle name="Comma 4 2 2 3 2 4 2 2 2" xfId="33322" xr:uid="{30D5CBB6-BB29-4F63-92F7-72D93D89C572}"/>
    <cellStyle name="Comma 4 2 2 3 2 4 2 2 3" xfId="24881" xr:uid="{B034254F-249F-4BEF-B163-206324666120}"/>
    <cellStyle name="Comma 4 2 2 3 2 4 2 2 4" xfId="16440" xr:uid="{621A70D3-B61C-424B-AEF7-33CDB1BF1853}"/>
    <cellStyle name="Comma 4 2 2 3 2 4 2 3" xfId="29104" xr:uid="{87CA7DC3-BAA0-4033-BD76-D993C95A96DA}"/>
    <cellStyle name="Comma 4 2 2 3 2 4 2 4" xfId="20663" xr:uid="{C2E2EC1D-0DC2-495C-AA39-9BE4AFDB5EDE}"/>
    <cellStyle name="Comma 4 2 2 3 2 4 2 5" xfId="12222" xr:uid="{75F26467-B1EA-47C4-A1B7-DE28551143F9}"/>
    <cellStyle name="Comma 4 2 2 3 2 4 3" xfId="5845" xr:uid="{00000000-0005-0000-0000-00000A080000}"/>
    <cellStyle name="Comma 4 2 2 3 2 4 3 2" xfId="31177" xr:uid="{DD7D7AAC-98BA-463F-B3A3-395D8F12C70A}"/>
    <cellStyle name="Comma 4 2 2 3 2 4 3 3" xfId="22736" xr:uid="{7C674C97-62A3-4A2E-A781-D2E0BB0147A4}"/>
    <cellStyle name="Comma 4 2 2 3 2 4 3 4" xfId="14295" xr:uid="{75D67373-F8C8-44D0-9191-37F18E06F02F}"/>
    <cellStyle name="Comma 4 2 2 3 2 4 4" xfId="26959" xr:uid="{D03524A9-C02F-4507-BB76-58724C2ABD53}"/>
    <cellStyle name="Comma 4 2 2 3 2 4 5" xfId="18518" xr:uid="{111591CC-22FE-409F-829D-A5921208D678}"/>
    <cellStyle name="Comma 4 2 2 3 2 4 6" xfId="10077" xr:uid="{707F9DA1-FC5F-4EB1-A1C1-4AB15B15BA28}"/>
    <cellStyle name="Comma 4 2 2 3 2 5" xfId="1952" xr:uid="{00000000-0005-0000-0000-00000B080000}"/>
    <cellStyle name="Comma 4 2 2 3 2 5 2" xfId="4181" xr:uid="{00000000-0005-0000-0000-00000C080000}"/>
    <cellStyle name="Comma 4 2 2 3 2 5 2 2" xfId="8403" xr:uid="{00000000-0005-0000-0000-00000D080000}"/>
    <cellStyle name="Comma 4 2 2 3 2 5 2 2 2" xfId="33735" xr:uid="{EA1E8DC5-DD93-4F89-92F7-45951D5CC244}"/>
    <cellStyle name="Comma 4 2 2 3 2 5 2 2 3" xfId="25294" xr:uid="{AE0B966E-A946-4206-BFE1-71B717F14CE5}"/>
    <cellStyle name="Comma 4 2 2 3 2 5 2 2 4" xfId="16853" xr:uid="{1E5E26AE-2508-4DB8-8BD4-A9173F98B25D}"/>
    <cellStyle name="Comma 4 2 2 3 2 5 2 3" xfId="29517" xr:uid="{A22FB4D6-02A2-4FED-B1A6-FE15D298D52F}"/>
    <cellStyle name="Comma 4 2 2 3 2 5 2 4" xfId="21076" xr:uid="{6E9F0115-300D-4B8C-9C62-5173ED797E75}"/>
    <cellStyle name="Comma 4 2 2 3 2 5 2 5" xfId="12635" xr:uid="{5AC44A79-086D-47D6-9AF7-C8F658B24C24}"/>
    <cellStyle name="Comma 4 2 2 3 2 5 3" xfId="6258" xr:uid="{00000000-0005-0000-0000-00000E080000}"/>
    <cellStyle name="Comma 4 2 2 3 2 5 3 2" xfId="31590" xr:uid="{81D9F6E6-A9FA-45A2-902B-D8A582C71396}"/>
    <cellStyle name="Comma 4 2 2 3 2 5 3 3" xfId="23149" xr:uid="{D0D556FE-A54C-4E9D-BD26-2093AF08243F}"/>
    <cellStyle name="Comma 4 2 2 3 2 5 3 4" xfId="14708" xr:uid="{AFF322C9-0D95-4410-BF20-B8337B4498CD}"/>
    <cellStyle name="Comma 4 2 2 3 2 5 4" xfId="27372" xr:uid="{3FB2766F-70EB-4E01-A1E4-FCD72669D35C}"/>
    <cellStyle name="Comma 4 2 2 3 2 5 5" xfId="18931" xr:uid="{049CB167-9F04-426C-BA7F-B504046EEEEF}"/>
    <cellStyle name="Comma 4 2 2 3 2 5 6" xfId="10490" xr:uid="{3248734B-3280-4E29-B909-3934945DEFC2}"/>
    <cellStyle name="Comma 4 2 2 3 2 6" xfId="2387" xr:uid="{00000000-0005-0000-0000-00000F080000}"/>
    <cellStyle name="Comma 4 2 2 3 2 6 2" xfId="6671" xr:uid="{00000000-0005-0000-0000-000010080000}"/>
    <cellStyle name="Comma 4 2 2 3 2 6 2 2" xfId="32003" xr:uid="{F8EB6528-68BA-4663-9105-44AC657C9AED}"/>
    <cellStyle name="Comma 4 2 2 3 2 6 2 3" xfId="23562" xr:uid="{A3F6D9A5-FB59-43C8-BA27-202DF3E81567}"/>
    <cellStyle name="Comma 4 2 2 3 2 6 2 4" xfId="15121" xr:uid="{064AEF64-7253-4830-91A3-DB7BC36074C1}"/>
    <cellStyle name="Comma 4 2 2 3 2 6 3" xfId="27785" xr:uid="{D3330B90-F14D-4E2A-8E28-16FDFF508CC9}"/>
    <cellStyle name="Comma 4 2 2 3 2 6 4" xfId="19344" xr:uid="{D03D09D2-3117-4CD7-902E-1E494D0B8EC4}"/>
    <cellStyle name="Comma 4 2 2 3 2 6 5" xfId="10903" xr:uid="{8484A86F-3FED-4D14-9B4F-50244EC0196A}"/>
    <cellStyle name="Comma 4 2 2 3 2 7" xfId="2376" xr:uid="{00000000-0005-0000-0000-000011080000}"/>
    <cellStyle name="Comma 4 2 2 3 2 8" xfId="2765" xr:uid="{00000000-0005-0000-0000-000012080000}"/>
    <cellStyle name="Comma 4 2 2 3 2 8 2" xfId="6988" xr:uid="{00000000-0005-0000-0000-000013080000}"/>
    <cellStyle name="Comma 4 2 2 3 2 8 2 2" xfId="32320" xr:uid="{57F828B9-8936-47FE-8437-639810F428B6}"/>
    <cellStyle name="Comma 4 2 2 3 2 8 2 3" xfId="23879" xr:uid="{3F08E3B6-47F7-474E-BD08-EE41D2B70DFE}"/>
    <cellStyle name="Comma 4 2 2 3 2 8 2 4" xfId="15438" xr:uid="{77D19558-8001-430D-AC70-86CA2C169617}"/>
    <cellStyle name="Comma 4 2 2 3 2 8 3" xfId="28102" xr:uid="{7F579763-31FD-4401-8023-E74343218AD4}"/>
    <cellStyle name="Comma 4 2 2 3 2 8 4" xfId="19661" xr:uid="{9AFFE87C-9C0F-4510-979E-80D288BEF42C}"/>
    <cellStyle name="Comma 4 2 2 3 2 8 5" xfId="11220" xr:uid="{77135937-EE40-443F-9286-92443E5F019C}"/>
    <cellStyle name="Comma 4 2 2 3 2 9" xfId="4605" xr:uid="{00000000-0005-0000-0000-000014080000}"/>
    <cellStyle name="Comma 4 2 2 3 2 9 2" xfId="29937" xr:uid="{F15DEC84-D061-458E-9126-D84F4257F3EE}"/>
    <cellStyle name="Comma 4 2 2 3 2 9 3" xfId="21496" xr:uid="{6B9975FC-4D66-4476-9385-61BC3FB28BEC}"/>
    <cellStyle name="Comma 4 2 2 3 2 9 4" xfId="13055" xr:uid="{43BEC83D-78B9-471A-B472-696F0F388EEE}"/>
    <cellStyle name="Comma 4 2 2 3 3" xfId="670" xr:uid="{00000000-0005-0000-0000-000015080000}"/>
    <cellStyle name="Comma 4 2 2 3 3 2" xfId="2941" xr:uid="{00000000-0005-0000-0000-000016080000}"/>
    <cellStyle name="Comma 4 2 2 3 3 2 2" xfId="7163" xr:uid="{00000000-0005-0000-0000-000017080000}"/>
    <cellStyle name="Comma 4 2 2 3 3 2 2 2" xfId="32495" xr:uid="{180C5641-21EC-4C8A-A988-87EF5655C461}"/>
    <cellStyle name="Comma 4 2 2 3 3 2 2 3" xfId="24054" xr:uid="{BFDBA93B-13E1-4A34-AE8F-D99443AE8177}"/>
    <cellStyle name="Comma 4 2 2 3 3 2 2 4" xfId="15613" xr:uid="{359EF456-B5F5-43EB-91DF-7B3593E31036}"/>
    <cellStyle name="Comma 4 2 2 3 3 2 3" xfId="28277" xr:uid="{E931FB49-E76E-4E91-9534-FD0B37C34EEE}"/>
    <cellStyle name="Comma 4 2 2 3 3 2 4" xfId="19836" xr:uid="{B7530AB6-CD65-49F5-BDFF-AA5EDBB1A843}"/>
    <cellStyle name="Comma 4 2 2 3 3 2 5" xfId="11395" xr:uid="{5D5D2D73-EC10-4D96-A611-DBD5ECDB7272}"/>
    <cellStyle name="Comma 4 2 2 3 3 3" xfId="5018" xr:uid="{00000000-0005-0000-0000-000018080000}"/>
    <cellStyle name="Comma 4 2 2 3 3 3 2" xfId="30350" xr:uid="{B9FA5697-6134-43A0-BF7E-10E3A66A1A04}"/>
    <cellStyle name="Comma 4 2 2 3 3 3 3" xfId="21909" xr:uid="{666540AF-F5BF-4150-AE7F-73F0DC6989A7}"/>
    <cellStyle name="Comma 4 2 2 3 3 3 4" xfId="13468" xr:uid="{D42A7DFC-2DBF-4D5F-9C2D-647C969FBE39}"/>
    <cellStyle name="Comma 4 2 2 3 3 4" xfId="26132" xr:uid="{398CCBC1-CE7F-4A81-B5E2-1CA9695BE3ED}"/>
    <cellStyle name="Comma 4 2 2 3 3 5" xfId="17691" xr:uid="{7F060A38-989A-4109-BF37-421412933B16}"/>
    <cellStyle name="Comma 4 2 2 3 3 6" xfId="9250" xr:uid="{6C5CFFEE-BE24-4FA1-8196-0ACE2E669CAA}"/>
    <cellStyle name="Comma 4 2 2 3 4" xfId="1123" xr:uid="{00000000-0005-0000-0000-000019080000}"/>
    <cellStyle name="Comma 4 2 2 3 4 2" xfId="3354" xr:uid="{00000000-0005-0000-0000-00001A080000}"/>
    <cellStyle name="Comma 4 2 2 3 4 2 2" xfId="7576" xr:uid="{00000000-0005-0000-0000-00001B080000}"/>
    <cellStyle name="Comma 4 2 2 3 4 2 2 2" xfId="32908" xr:uid="{DD80560D-45C3-4F9D-A618-E24C0F70F417}"/>
    <cellStyle name="Comma 4 2 2 3 4 2 2 3" xfId="24467" xr:uid="{8DCE7F89-2DD5-4F4A-99DC-62ABC4EE0434}"/>
    <cellStyle name="Comma 4 2 2 3 4 2 2 4" xfId="16026" xr:uid="{1513A671-868C-4D92-B77C-86DE897E204C}"/>
    <cellStyle name="Comma 4 2 2 3 4 2 3" xfId="28690" xr:uid="{AB389897-3F9C-43EE-A04C-E03F141878C4}"/>
    <cellStyle name="Comma 4 2 2 3 4 2 4" xfId="20249" xr:uid="{0FBE9A29-B4C3-4554-AA72-96681FF744F9}"/>
    <cellStyle name="Comma 4 2 2 3 4 2 5" xfId="11808" xr:uid="{B1151B34-3A5E-4235-AE07-DCAB51325510}"/>
    <cellStyle name="Comma 4 2 2 3 4 3" xfId="5431" xr:uid="{00000000-0005-0000-0000-00001C080000}"/>
    <cellStyle name="Comma 4 2 2 3 4 3 2" xfId="30763" xr:uid="{3C513E98-18BA-4BB5-943D-A4DD497ECD0F}"/>
    <cellStyle name="Comma 4 2 2 3 4 3 3" xfId="22322" xr:uid="{B8C7A140-E18E-43AE-AD72-CA1E9D0C4262}"/>
    <cellStyle name="Comma 4 2 2 3 4 3 4" xfId="13881" xr:uid="{88FDA623-7690-4270-8D3B-5328ADFDABCA}"/>
    <cellStyle name="Comma 4 2 2 3 4 4" xfId="26545" xr:uid="{E7255B34-0412-4F6D-BCC4-0AB2BAA1F20F}"/>
    <cellStyle name="Comma 4 2 2 3 4 5" xfId="18104" xr:uid="{2E76EF8E-F720-4C56-9035-8FAFB7868F04}"/>
    <cellStyle name="Comma 4 2 2 3 4 6" xfId="9663" xr:uid="{C00D6A20-91B2-4A23-B60A-7F723BA812AB}"/>
    <cellStyle name="Comma 4 2 2 3 5" xfId="1537" xr:uid="{00000000-0005-0000-0000-00001D080000}"/>
    <cellStyle name="Comma 4 2 2 3 5 2" xfId="3767" xr:uid="{00000000-0005-0000-0000-00001E080000}"/>
    <cellStyle name="Comma 4 2 2 3 5 2 2" xfId="7989" xr:uid="{00000000-0005-0000-0000-00001F080000}"/>
    <cellStyle name="Comma 4 2 2 3 5 2 2 2" xfId="33321" xr:uid="{3712C891-09FC-4DC5-9D2C-D49D47146ACA}"/>
    <cellStyle name="Comma 4 2 2 3 5 2 2 3" xfId="24880" xr:uid="{CA81D782-8C2E-4682-A3C2-7299AD0CCA88}"/>
    <cellStyle name="Comma 4 2 2 3 5 2 2 4" xfId="16439" xr:uid="{6B262702-66C3-4324-B0A2-09BE68BC00E8}"/>
    <cellStyle name="Comma 4 2 2 3 5 2 3" xfId="29103" xr:uid="{F10F31E1-5A86-4435-A21D-F26ACF1BA7B7}"/>
    <cellStyle name="Comma 4 2 2 3 5 2 4" xfId="20662" xr:uid="{AC793F93-7B43-4D45-8173-CA73FE857162}"/>
    <cellStyle name="Comma 4 2 2 3 5 2 5" xfId="12221" xr:uid="{06F9CEAB-928F-4DC0-84FF-659529E95F4F}"/>
    <cellStyle name="Comma 4 2 2 3 5 3" xfId="5844" xr:uid="{00000000-0005-0000-0000-000020080000}"/>
    <cellStyle name="Comma 4 2 2 3 5 3 2" xfId="31176" xr:uid="{F530313F-C8F8-44A8-BD7E-7B56AF8A3BF1}"/>
    <cellStyle name="Comma 4 2 2 3 5 3 3" xfId="22735" xr:uid="{455888E2-3C41-4FA1-B032-E77D46ABC73D}"/>
    <cellStyle name="Comma 4 2 2 3 5 3 4" xfId="14294" xr:uid="{114BFC9A-7465-4E44-8885-C30AF13F3C60}"/>
    <cellStyle name="Comma 4 2 2 3 5 4" xfId="26958" xr:uid="{0133AD47-ABD9-48B3-A360-BAB91D51C99A}"/>
    <cellStyle name="Comma 4 2 2 3 5 5" xfId="18517" xr:uid="{4056B87A-85DF-4E83-B8B7-D37E1D29FAAD}"/>
    <cellStyle name="Comma 4 2 2 3 5 6" xfId="10076" xr:uid="{B1002ED2-AAC8-4E40-9CDE-A678D7F245AD}"/>
    <cellStyle name="Comma 4 2 2 3 6" xfId="1951" xr:uid="{00000000-0005-0000-0000-000021080000}"/>
    <cellStyle name="Comma 4 2 2 3 6 2" xfId="4180" xr:uid="{00000000-0005-0000-0000-000022080000}"/>
    <cellStyle name="Comma 4 2 2 3 6 2 2" xfId="8402" xr:uid="{00000000-0005-0000-0000-000023080000}"/>
    <cellStyle name="Comma 4 2 2 3 6 2 2 2" xfId="33734" xr:uid="{575040B3-CBE4-48CC-A962-AF4445E04BCC}"/>
    <cellStyle name="Comma 4 2 2 3 6 2 2 3" xfId="25293" xr:uid="{6B5080B3-AA13-41F5-9666-D976A221A292}"/>
    <cellStyle name="Comma 4 2 2 3 6 2 2 4" xfId="16852" xr:uid="{B69FFB05-861D-4E30-BEAC-18EF0551E6AB}"/>
    <cellStyle name="Comma 4 2 2 3 6 2 3" xfId="29516" xr:uid="{3BBAF329-47A7-4C52-9D4F-D679534C0F9E}"/>
    <cellStyle name="Comma 4 2 2 3 6 2 4" xfId="21075" xr:uid="{57977D9C-8438-41B8-A2AB-A78BD0A3AEBB}"/>
    <cellStyle name="Comma 4 2 2 3 6 2 5" xfId="12634" xr:uid="{756F443B-1E30-46C6-BA85-9ACDC4416084}"/>
    <cellStyle name="Comma 4 2 2 3 6 3" xfId="6257" xr:uid="{00000000-0005-0000-0000-000024080000}"/>
    <cellStyle name="Comma 4 2 2 3 6 3 2" xfId="31589" xr:uid="{54B95ECA-16BD-482B-A058-A335FCAC0FE1}"/>
    <cellStyle name="Comma 4 2 2 3 6 3 3" xfId="23148" xr:uid="{C43E0855-95F4-4D4C-B090-F2E1075C51EC}"/>
    <cellStyle name="Comma 4 2 2 3 6 3 4" xfId="14707" xr:uid="{75755A19-FDD1-457A-8727-48689D8C8A77}"/>
    <cellStyle name="Comma 4 2 2 3 6 4" xfId="27371" xr:uid="{B91B3CBA-C1BF-48B3-A32E-2855DA9DA825}"/>
    <cellStyle name="Comma 4 2 2 3 6 5" xfId="18930" xr:uid="{44D81382-344B-4A63-B417-64B0B75CA9F9}"/>
    <cellStyle name="Comma 4 2 2 3 6 6" xfId="10489" xr:uid="{CA586148-3818-4E58-8D3B-4AAF06B315FC}"/>
    <cellStyle name="Comma 4 2 2 3 7" xfId="2386" xr:uid="{00000000-0005-0000-0000-000025080000}"/>
    <cellStyle name="Comma 4 2 2 3 7 2" xfId="6670" xr:uid="{00000000-0005-0000-0000-000026080000}"/>
    <cellStyle name="Comma 4 2 2 3 7 2 2" xfId="32002" xr:uid="{F256BD6E-F9B2-4B2D-96FE-C9F8F35B7418}"/>
    <cellStyle name="Comma 4 2 2 3 7 2 3" xfId="23561" xr:uid="{87D8A044-0B27-41D9-AB78-FDC32BF0656B}"/>
    <cellStyle name="Comma 4 2 2 3 7 2 4" xfId="15120" xr:uid="{F8FBDEFE-05B8-49D1-AE4F-0A9AAAA2423A}"/>
    <cellStyle name="Comma 4 2 2 3 7 3" xfId="27784" xr:uid="{2F47BA70-737A-4690-A864-B546E1E27A50}"/>
    <cellStyle name="Comma 4 2 2 3 7 4" xfId="19343" xr:uid="{3583E4BD-3395-47C7-A340-046073E39C13}"/>
    <cellStyle name="Comma 4 2 2 3 7 5" xfId="10902" xr:uid="{E920468D-F5C4-40A0-BD4E-3ACF4995884A}"/>
    <cellStyle name="Comma 4 2 2 3 8" xfId="2377" xr:uid="{00000000-0005-0000-0000-000027080000}"/>
    <cellStyle name="Comma 4 2 2 3 9" xfId="2764" xr:uid="{00000000-0005-0000-0000-000028080000}"/>
    <cellStyle name="Comma 4 2 2 3 9 2" xfId="6987" xr:uid="{00000000-0005-0000-0000-000029080000}"/>
    <cellStyle name="Comma 4 2 2 3 9 2 2" xfId="32319" xr:uid="{F37E7BA3-7E02-46BE-8465-246A8350662D}"/>
    <cellStyle name="Comma 4 2 2 3 9 2 3" xfId="23878" xr:uid="{E019A5B4-E536-4B19-84D7-73F0B0CF3F0B}"/>
    <cellStyle name="Comma 4 2 2 3 9 2 4" xfId="15437" xr:uid="{AA047B5E-2796-441A-9563-4649D5DF1C69}"/>
    <cellStyle name="Comma 4 2 2 3 9 3" xfId="28101" xr:uid="{E0B7B75D-7E3E-4909-9608-30376DC9FCE7}"/>
    <cellStyle name="Comma 4 2 2 3 9 4" xfId="19660" xr:uid="{D533DE8C-C7C3-4EFE-98C1-3533DD191899}"/>
    <cellStyle name="Comma 4 2 2 3 9 5" xfId="11219" xr:uid="{04E91F96-0EAC-4DA1-865E-AFA7CD849D8D}"/>
    <cellStyle name="Comma 4 2 2 4" xfId="134" xr:uid="{00000000-0005-0000-0000-00002A080000}"/>
    <cellStyle name="Comma 4 2 2 4 10" xfId="25720" xr:uid="{6963A84C-BE21-485E-A413-A10F54446DC8}"/>
    <cellStyle name="Comma 4 2 2 4 11" xfId="17279" xr:uid="{B171A7FD-5BBF-4188-B237-517A3347740A}"/>
    <cellStyle name="Comma 4 2 2 4 12" xfId="8838" xr:uid="{3EF5B463-BA2E-473A-9B44-3EA325314975}"/>
    <cellStyle name="Comma 4 2 2 4 2" xfId="672" xr:uid="{00000000-0005-0000-0000-00002B080000}"/>
    <cellStyle name="Comma 4 2 2 4 2 2" xfId="2943" xr:uid="{00000000-0005-0000-0000-00002C080000}"/>
    <cellStyle name="Comma 4 2 2 4 2 2 2" xfId="7165" xr:uid="{00000000-0005-0000-0000-00002D080000}"/>
    <cellStyle name="Comma 4 2 2 4 2 2 2 2" xfId="32497" xr:uid="{DAAD4D8B-B04D-4C88-B5D0-6C18FB140017}"/>
    <cellStyle name="Comma 4 2 2 4 2 2 2 3" xfId="24056" xr:uid="{D7A4AD41-8E9B-4660-AECF-A81282D3903D}"/>
    <cellStyle name="Comma 4 2 2 4 2 2 2 4" xfId="15615" xr:uid="{5AD9BEA5-F1D9-4481-8AA9-5886D46DAAB9}"/>
    <cellStyle name="Comma 4 2 2 4 2 2 3" xfId="28279" xr:uid="{F91A693D-458C-4129-8883-27CD95B94531}"/>
    <cellStyle name="Comma 4 2 2 4 2 2 4" xfId="19838" xr:uid="{AC6D9891-636D-47D7-803A-A01443F8E0F2}"/>
    <cellStyle name="Comma 4 2 2 4 2 2 5" xfId="11397" xr:uid="{908C1FED-44B1-4F84-ABE4-F3D311394A67}"/>
    <cellStyle name="Comma 4 2 2 4 2 3" xfId="5020" xr:uid="{00000000-0005-0000-0000-00002E080000}"/>
    <cellStyle name="Comma 4 2 2 4 2 3 2" xfId="30352" xr:uid="{B834186C-DF06-4BED-9C3A-00BDF2C9352E}"/>
    <cellStyle name="Comma 4 2 2 4 2 3 3" xfId="21911" xr:uid="{97343F81-0751-42A3-BFC1-32322F378151}"/>
    <cellStyle name="Comma 4 2 2 4 2 3 4" xfId="13470" xr:uid="{55A96B8C-9B28-476D-8D59-3B8409897EF2}"/>
    <cellStyle name="Comma 4 2 2 4 2 4" xfId="26134" xr:uid="{83944D97-7306-44C7-A023-B78640B51CCC}"/>
    <cellStyle name="Comma 4 2 2 4 2 5" xfId="17693" xr:uid="{A51F4601-6658-4974-93BA-5DDDC24564D2}"/>
    <cellStyle name="Comma 4 2 2 4 2 6" xfId="9252" xr:uid="{B647F36F-4FF9-4FAD-A363-9BB263CBC35F}"/>
    <cellStyle name="Comma 4 2 2 4 3" xfId="1125" xr:uid="{00000000-0005-0000-0000-00002F080000}"/>
    <cellStyle name="Comma 4 2 2 4 3 2" xfId="3356" xr:uid="{00000000-0005-0000-0000-000030080000}"/>
    <cellStyle name="Comma 4 2 2 4 3 2 2" xfId="7578" xr:uid="{00000000-0005-0000-0000-000031080000}"/>
    <cellStyle name="Comma 4 2 2 4 3 2 2 2" xfId="32910" xr:uid="{D1A6817A-7FCB-4D48-B474-D3640B4B9771}"/>
    <cellStyle name="Comma 4 2 2 4 3 2 2 3" xfId="24469" xr:uid="{5E44F3AB-076A-49DF-9823-FB9391C210E8}"/>
    <cellStyle name="Comma 4 2 2 4 3 2 2 4" xfId="16028" xr:uid="{9E7A0F59-FD06-498D-B527-A1488FC47FBB}"/>
    <cellStyle name="Comma 4 2 2 4 3 2 3" xfId="28692" xr:uid="{A5CCDDC1-0D8C-4724-BFE4-4F81FF3F70D8}"/>
    <cellStyle name="Comma 4 2 2 4 3 2 4" xfId="20251" xr:uid="{09ED9129-3D02-4990-92F7-83601066B0EC}"/>
    <cellStyle name="Comma 4 2 2 4 3 2 5" xfId="11810" xr:uid="{E66202AF-E216-4589-80B4-F3A983115FD4}"/>
    <cellStyle name="Comma 4 2 2 4 3 3" xfId="5433" xr:uid="{00000000-0005-0000-0000-000032080000}"/>
    <cellStyle name="Comma 4 2 2 4 3 3 2" xfId="30765" xr:uid="{E0E6F7BE-0C6B-4A14-890E-CABA46A867C5}"/>
    <cellStyle name="Comma 4 2 2 4 3 3 3" xfId="22324" xr:uid="{C186E80F-3D5F-474D-BDD5-64E26D8783A2}"/>
    <cellStyle name="Comma 4 2 2 4 3 3 4" xfId="13883" xr:uid="{25EBDFA6-A562-4264-BFBF-FDF467E19B83}"/>
    <cellStyle name="Comma 4 2 2 4 3 4" xfId="26547" xr:uid="{D070A0A1-699B-4C17-B278-CA97DCAA61CC}"/>
    <cellStyle name="Comma 4 2 2 4 3 5" xfId="18106" xr:uid="{D7CDA955-5C76-4784-8E14-AEA9412D0C17}"/>
    <cellStyle name="Comma 4 2 2 4 3 6" xfId="9665" xr:uid="{C7E46C5C-8E53-4F83-BDF0-CE74B2DFDAC4}"/>
    <cellStyle name="Comma 4 2 2 4 4" xfId="1539" xr:uid="{00000000-0005-0000-0000-000033080000}"/>
    <cellStyle name="Comma 4 2 2 4 4 2" xfId="3769" xr:uid="{00000000-0005-0000-0000-000034080000}"/>
    <cellStyle name="Comma 4 2 2 4 4 2 2" xfId="7991" xr:uid="{00000000-0005-0000-0000-000035080000}"/>
    <cellStyle name="Comma 4 2 2 4 4 2 2 2" xfId="33323" xr:uid="{3B9EF176-1EE3-45F0-A981-BC2C0695AD07}"/>
    <cellStyle name="Comma 4 2 2 4 4 2 2 3" xfId="24882" xr:uid="{35A216EC-4886-4977-B3CF-265BE2E70742}"/>
    <cellStyle name="Comma 4 2 2 4 4 2 2 4" xfId="16441" xr:uid="{26AED5AF-0EBD-4D95-A1AF-5B4D23AF7E74}"/>
    <cellStyle name="Comma 4 2 2 4 4 2 3" xfId="29105" xr:uid="{C69456EF-CDB5-4F4A-A376-977BBAC02559}"/>
    <cellStyle name="Comma 4 2 2 4 4 2 4" xfId="20664" xr:uid="{547163A5-8908-4BFD-A1F2-2A95465A242A}"/>
    <cellStyle name="Comma 4 2 2 4 4 2 5" xfId="12223" xr:uid="{5EDBAB31-7375-484F-A90D-ED816B32C99E}"/>
    <cellStyle name="Comma 4 2 2 4 4 3" xfId="5846" xr:uid="{00000000-0005-0000-0000-000036080000}"/>
    <cellStyle name="Comma 4 2 2 4 4 3 2" xfId="31178" xr:uid="{290DD77D-47F7-4907-92A0-F31E72D28867}"/>
    <cellStyle name="Comma 4 2 2 4 4 3 3" xfId="22737" xr:uid="{1EF119BB-F751-46DC-BD00-43A5DD9F58EF}"/>
    <cellStyle name="Comma 4 2 2 4 4 3 4" xfId="14296" xr:uid="{6D8F5695-5C11-431A-B231-770BDB223203}"/>
    <cellStyle name="Comma 4 2 2 4 4 4" xfId="26960" xr:uid="{0B33437A-323C-4222-8714-D09C75AA2358}"/>
    <cellStyle name="Comma 4 2 2 4 4 5" xfId="18519" xr:uid="{2A91FD95-2EE1-49CA-AA4E-2CB65B466123}"/>
    <cellStyle name="Comma 4 2 2 4 4 6" xfId="10078" xr:uid="{5B793F5E-FFF4-4009-B16F-DB2D0AECAB59}"/>
    <cellStyle name="Comma 4 2 2 4 5" xfId="1953" xr:uid="{00000000-0005-0000-0000-000037080000}"/>
    <cellStyle name="Comma 4 2 2 4 5 2" xfId="4182" xr:uid="{00000000-0005-0000-0000-000038080000}"/>
    <cellStyle name="Comma 4 2 2 4 5 2 2" xfId="8404" xr:uid="{00000000-0005-0000-0000-000039080000}"/>
    <cellStyle name="Comma 4 2 2 4 5 2 2 2" xfId="33736" xr:uid="{33EB348E-A4C1-43F4-9B77-084416F050E6}"/>
    <cellStyle name="Comma 4 2 2 4 5 2 2 3" xfId="25295" xr:uid="{86D77998-F8C7-41AD-A4A1-4990FE0E1D1B}"/>
    <cellStyle name="Comma 4 2 2 4 5 2 2 4" xfId="16854" xr:uid="{25711257-BE7D-4F87-8BE9-A1FD2694119F}"/>
    <cellStyle name="Comma 4 2 2 4 5 2 3" xfId="29518" xr:uid="{3910DEFD-C4CB-4B09-B816-B7BC528315EE}"/>
    <cellStyle name="Comma 4 2 2 4 5 2 4" xfId="21077" xr:uid="{AB958A20-305F-433B-A2CB-CF469A035C7B}"/>
    <cellStyle name="Comma 4 2 2 4 5 2 5" xfId="12636" xr:uid="{21E9C107-C4B6-40B6-BC64-AA8A1BE2BE22}"/>
    <cellStyle name="Comma 4 2 2 4 5 3" xfId="6259" xr:uid="{00000000-0005-0000-0000-00003A080000}"/>
    <cellStyle name="Comma 4 2 2 4 5 3 2" xfId="31591" xr:uid="{1D95620C-3C3B-4EC1-A74C-D488A3394FA6}"/>
    <cellStyle name="Comma 4 2 2 4 5 3 3" xfId="23150" xr:uid="{6A1002E8-9674-4282-81EE-F1D67387CF8E}"/>
    <cellStyle name="Comma 4 2 2 4 5 3 4" xfId="14709" xr:uid="{01EBC460-A467-498D-963B-D00927A7421F}"/>
    <cellStyle name="Comma 4 2 2 4 5 4" xfId="27373" xr:uid="{A52FBB75-1C1E-413F-B4A5-056E2DD1FF60}"/>
    <cellStyle name="Comma 4 2 2 4 5 5" xfId="18932" xr:uid="{986E401B-E96D-4412-BC4D-B122121F97B1}"/>
    <cellStyle name="Comma 4 2 2 4 5 6" xfId="10491" xr:uid="{48B7676D-1939-4FC5-9E73-5D497D26152F}"/>
    <cellStyle name="Comma 4 2 2 4 6" xfId="2388" xr:uid="{00000000-0005-0000-0000-00003B080000}"/>
    <cellStyle name="Comma 4 2 2 4 6 2" xfId="6672" xr:uid="{00000000-0005-0000-0000-00003C080000}"/>
    <cellStyle name="Comma 4 2 2 4 6 2 2" xfId="32004" xr:uid="{88C35F24-3C2C-4C53-916E-BC87F397F56B}"/>
    <cellStyle name="Comma 4 2 2 4 6 2 3" xfId="23563" xr:uid="{C2269782-DDB6-4F50-BAEF-DBDAD4A12F10}"/>
    <cellStyle name="Comma 4 2 2 4 6 2 4" xfId="15122" xr:uid="{0D91202E-BAEA-4FFB-8658-F8435A672C66}"/>
    <cellStyle name="Comma 4 2 2 4 6 3" xfId="27786" xr:uid="{49FFDDA1-3057-411D-A833-B7F0D76AD902}"/>
    <cellStyle name="Comma 4 2 2 4 6 4" xfId="19345" xr:uid="{B1869318-B890-4BD9-A885-0175FFFE087B}"/>
    <cellStyle name="Comma 4 2 2 4 6 5" xfId="10904" xr:uid="{1CE0C7F3-A6FB-46D0-8F69-99BE280F4A2E}"/>
    <cellStyle name="Comma 4 2 2 4 7" xfId="2375" xr:uid="{00000000-0005-0000-0000-00003D080000}"/>
    <cellStyle name="Comma 4 2 2 4 8" xfId="2766" xr:uid="{00000000-0005-0000-0000-00003E080000}"/>
    <cellStyle name="Comma 4 2 2 4 8 2" xfId="6989" xr:uid="{00000000-0005-0000-0000-00003F080000}"/>
    <cellStyle name="Comma 4 2 2 4 8 2 2" xfId="32321" xr:uid="{B4654C53-A95E-4438-B0F0-8B96F0C2F458}"/>
    <cellStyle name="Comma 4 2 2 4 8 2 3" xfId="23880" xr:uid="{B116A1B8-4E62-4E30-9F72-2FA71CA30BE2}"/>
    <cellStyle name="Comma 4 2 2 4 8 2 4" xfId="15439" xr:uid="{C302D3E5-5B10-434C-AB5D-65FE720071A1}"/>
    <cellStyle name="Comma 4 2 2 4 8 3" xfId="28103" xr:uid="{D8FDBCE3-8420-4909-BA44-17C728DE735B}"/>
    <cellStyle name="Comma 4 2 2 4 8 4" xfId="19662" xr:uid="{20FF57D5-AD66-4651-BCC8-93DD0670365F}"/>
    <cellStyle name="Comma 4 2 2 4 8 5" xfId="11221" xr:uid="{89A8E77D-99A7-42A9-8272-6D9804051B1A}"/>
    <cellStyle name="Comma 4 2 2 4 9" xfId="4606" xr:uid="{00000000-0005-0000-0000-000040080000}"/>
    <cellStyle name="Comma 4 2 2 4 9 2" xfId="29938" xr:uid="{655D3473-1056-4ADA-9581-CA0CB3B7A276}"/>
    <cellStyle name="Comma 4 2 2 4 9 3" xfId="21497" xr:uid="{DB7CE799-810D-4211-BE41-7188E3DA4E3A}"/>
    <cellStyle name="Comma 4 2 2 4 9 4" xfId="13056" xr:uid="{AA2B7A8A-05C8-4E4B-A052-5E94D1C129F6}"/>
    <cellStyle name="Comma 4 2 2 5" xfId="135" xr:uid="{00000000-0005-0000-0000-000041080000}"/>
    <cellStyle name="Comma 4 2 2 5 10" xfId="25721" xr:uid="{A458C5F1-0A3E-4B37-841A-0BACD3AE3C72}"/>
    <cellStyle name="Comma 4 2 2 5 11" xfId="17280" xr:uid="{FE26F803-15A7-40F7-B9EC-58E267E336D8}"/>
    <cellStyle name="Comma 4 2 2 5 12" xfId="8839" xr:uid="{80FA4BA0-F146-4E31-ACF5-7C00961138A6}"/>
    <cellStyle name="Comma 4 2 2 5 2" xfId="673" xr:uid="{00000000-0005-0000-0000-000042080000}"/>
    <cellStyle name="Comma 4 2 2 5 2 2" xfId="2944" xr:uid="{00000000-0005-0000-0000-000043080000}"/>
    <cellStyle name="Comma 4 2 2 5 2 2 2" xfId="7166" xr:uid="{00000000-0005-0000-0000-000044080000}"/>
    <cellStyle name="Comma 4 2 2 5 2 2 2 2" xfId="32498" xr:uid="{0CD8E66D-5205-4DF8-8CE0-FAA8F8470736}"/>
    <cellStyle name="Comma 4 2 2 5 2 2 2 3" xfId="24057" xr:uid="{913D3E5F-5215-4585-9592-48196A245A9B}"/>
    <cellStyle name="Comma 4 2 2 5 2 2 2 4" xfId="15616" xr:uid="{FB62B2F1-A9A7-4ECE-8FC6-EE7DF1C14E2F}"/>
    <cellStyle name="Comma 4 2 2 5 2 2 3" xfId="28280" xr:uid="{5E1310B6-0630-4C10-B539-8069BB28A3D7}"/>
    <cellStyle name="Comma 4 2 2 5 2 2 4" xfId="19839" xr:uid="{4270655A-FD4D-463B-9E95-117E5B221C5D}"/>
    <cellStyle name="Comma 4 2 2 5 2 2 5" xfId="11398" xr:uid="{FCE54C9C-117A-4736-AED0-03EFA5EBC35B}"/>
    <cellStyle name="Comma 4 2 2 5 2 3" xfId="5021" xr:uid="{00000000-0005-0000-0000-000045080000}"/>
    <cellStyle name="Comma 4 2 2 5 2 3 2" xfId="30353" xr:uid="{00226AF5-CA14-4FC6-B8BD-C43310E00545}"/>
    <cellStyle name="Comma 4 2 2 5 2 3 3" xfId="21912" xr:uid="{B2095B31-3D68-4E6B-93C7-394802E352D5}"/>
    <cellStyle name="Comma 4 2 2 5 2 3 4" xfId="13471" xr:uid="{B281204B-55B9-425C-B706-9192E2B88A1F}"/>
    <cellStyle name="Comma 4 2 2 5 2 4" xfId="26135" xr:uid="{C5F69866-DCA8-4243-B7BF-F126327F9BF4}"/>
    <cellStyle name="Comma 4 2 2 5 2 5" xfId="17694" xr:uid="{AC8B3378-D500-45DD-ACB9-838111055297}"/>
    <cellStyle name="Comma 4 2 2 5 2 6" xfId="9253" xr:uid="{8E90198F-7146-4BD0-A8C8-DA6838A611E4}"/>
    <cellStyle name="Comma 4 2 2 5 3" xfId="1126" xr:uid="{00000000-0005-0000-0000-000046080000}"/>
    <cellStyle name="Comma 4 2 2 5 3 2" xfId="3357" xr:uid="{00000000-0005-0000-0000-000047080000}"/>
    <cellStyle name="Comma 4 2 2 5 3 2 2" xfId="7579" xr:uid="{00000000-0005-0000-0000-000048080000}"/>
    <cellStyle name="Comma 4 2 2 5 3 2 2 2" xfId="32911" xr:uid="{A1D2F62D-30AC-47E2-8664-852298ABF655}"/>
    <cellStyle name="Comma 4 2 2 5 3 2 2 3" xfId="24470" xr:uid="{A4537D8C-022B-4FC1-855B-2C988393837A}"/>
    <cellStyle name="Comma 4 2 2 5 3 2 2 4" xfId="16029" xr:uid="{88721788-494B-42C8-B4F9-5C6FA2002B7C}"/>
    <cellStyle name="Comma 4 2 2 5 3 2 3" xfId="28693" xr:uid="{330EF8A7-C2AB-4ECF-9175-843DD87A4D87}"/>
    <cellStyle name="Comma 4 2 2 5 3 2 4" xfId="20252" xr:uid="{26BD4A27-2463-457F-AFC4-291C97E32C16}"/>
    <cellStyle name="Comma 4 2 2 5 3 2 5" xfId="11811" xr:uid="{10B5A53C-9E82-4E50-BC6A-A15886A39D49}"/>
    <cellStyle name="Comma 4 2 2 5 3 3" xfId="5434" xr:uid="{00000000-0005-0000-0000-000049080000}"/>
    <cellStyle name="Comma 4 2 2 5 3 3 2" xfId="30766" xr:uid="{EAD8F201-DD7B-4557-9261-A530BEB346F1}"/>
    <cellStyle name="Comma 4 2 2 5 3 3 3" xfId="22325" xr:uid="{860F35DC-3137-47D9-924D-774663960B4B}"/>
    <cellStyle name="Comma 4 2 2 5 3 3 4" xfId="13884" xr:uid="{C13F24F9-8BAA-43C0-B717-14C19B905260}"/>
    <cellStyle name="Comma 4 2 2 5 3 4" xfId="26548" xr:uid="{F04ED8F6-512E-42F5-BC19-4CE7AE7FEBD8}"/>
    <cellStyle name="Comma 4 2 2 5 3 5" xfId="18107" xr:uid="{1C0F0207-AE4B-40E1-94A1-BA11F7AF14B3}"/>
    <cellStyle name="Comma 4 2 2 5 3 6" xfId="9666" xr:uid="{97CFE051-8769-4189-8347-701D31160FFC}"/>
    <cellStyle name="Comma 4 2 2 5 4" xfId="1540" xr:uid="{00000000-0005-0000-0000-00004A080000}"/>
    <cellStyle name="Comma 4 2 2 5 4 2" xfId="3770" xr:uid="{00000000-0005-0000-0000-00004B080000}"/>
    <cellStyle name="Comma 4 2 2 5 4 2 2" xfId="7992" xr:uid="{00000000-0005-0000-0000-00004C080000}"/>
    <cellStyle name="Comma 4 2 2 5 4 2 2 2" xfId="33324" xr:uid="{BC7A4C93-1276-4498-B439-69EEF9E9A886}"/>
    <cellStyle name="Comma 4 2 2 5 4 2 2 3" xfId="24883" xr:uid="{C3A18740-B9F3-4652-B0BD-3306C1298633}"/>
    <cellStyle name="Comma 4 2 2 5 4 2 2 4" xfId="16442" xr:uid="{F88886C0-B953-455B-B0AD-B39176903F99}"/>
    <cellStyle name="Comma 4 2 2 5 4 2 3" xfId="29106" xr:uid="{12866229-CD12-4C5E-9236-7FEE261F50AE}"/>
    <cellStyle name="Comma 4 2 2 5 4 2 4" xfId="20665" xr:uid="{22494846-9D55-447F-B166-16864B24A170}"/>
    <cellStyle name="Comma 4 2 2 5 4 2 5" xfId="12224" xr:uid="{EA78A0D7-E1C0-4252-800C-7C930F281DD1}"/>
    <cellStyle name="Comma 4 2 2 5 4 3" xfId="5847" xr:uid="{00000000-0005-0000-0000-00004D080000}"/>
    <cellStyle name="Comma 4 2 2 5 4 3 2" xfId="31179" xr:uid="{AE9A02CB-3A79-4671-8A13-23246CC3267A}"/>
    <cellStyle name="Comma 4 2 2 5 4 3 3" xfId="22738" xr:uid="{70B060CA-50F2-470C-8823-2811366C599B}"/>
    <cellStyle name="Comma 4 2 2 5 4 3 4" xfId="14297" xr:uid="{431FFEAF-3E32-45D6-BF1F-8F5669AC56C9}"/>
    <cellStyle name="Comma 4 2 2 5 4 4" xfId="26961" xr:uid="{8C635BA9-E391-41C7-8F5E-57FAF5A84090}"/>
    <cellStyle name="Comma 4 2 2 5 4 5" xfId="18520" xr:uid="{63544B7D-69ED-4897-A434-512AE7FE4E47}"/>
    <cellStyle name="Comma 4 2 2 5 4 6" xfId="10079" xr:uid="{149A416C-DF0A-450C-8E38-9B9075C62A4F}"/>
    <cellStyle name="Comma 4 2 2 5 5" xfId="1954" xr:uid="{00000000-0005-0000-0000-00004E080000}"/>
    <cellStyle name="Comma 4 2 2 5 5 2" xfId="4183" xr:uid="{00000000-0005-0000-0000-00004F080000}"/>
    <cellStyle name="Comma 4 2 2 5 5 2 2" xfId="8405" xr:uid="{00000000-0005-0000-0000-000050080000}"/>
    <cellStyle name="Comma 4 2 2 5 5 2 2 2" xfId="33737" xr:uid="{7A7F3BD3-179D-40A7-87B4-B9E722D12798}"/>
    <cellStyle name="Comma 4 2 2 5 5 2 2 3" xfId="25296" xr:uid="{C9B785C7-36AE-49D0-A898-DE0EB4CB2B06}"/>
    <cellStyle name="Comma 4 2 2 5 5 2 2 4" xfId="16855" xr:uid="{1CC41B88-F70F-4D38-A64D-7BCC828EAA8D}"/>
    <cellStyle name="Comma 4 2 2 5 5 2 3" xfId="29519" xr:uid="{118F7080-495B-4E9E-B1D8-DEDEB65DB268}"/>
    <cellStyle name="Comma 4 2 2 5 5 2 4" xfId="21078" xr:uid="{D9688B83-DF9F-4A08-B3C4-4C6641B26107}"/>
    <cellStyle name="Comma 4 2 2 5 5 2 5" xfId="12637" xr:uid="{D1749297-8A1C-44C8-AF8D-610FFFE03955}"/>
    <cellStyle name="Comma 4 2 2 5 5 3" xfId="6260" xr:uid="{00000000-0005-0000-0000-000051080000}"/>
    <cellStyle name="Comma 4 2 2 5 5 3 2" xfId="31592" xr:uid="{2E84EB75-B4A6-49DF-A284-DE3342922C0D}"/>
    <cellStyle name="Comma 4 2 2 5 5 3 3" xfId="23151" xr:uid="{A525D597-808A-42A9-ADE0-37084555F212}"/>
    <cellStyle name="Comma 4 2 2 5 5 3 4" xfId="14710" xr:uid="{6637ACEF-A18D-458E-BBE8-3D863167CAB4}"/>
    <cellStyle name="Comma 4 2 2 5 5 4" xfId="27374" xr:uid="{F76540FB-DCF7-4E62-86FB-60D4940E3D5A}"/>
    <cellStyle name="Comma 4 2 2 5 5 5" xfId="18933" xr:uid="{1928971C-CE9A-4308-99F8-758DB252170B}"/>
    <cellStyle name="Comma 4 2 2 5 5 6" xfId="10492" xr:uid="{5A2E760A-A813-485A-BFE5-43A10BF9ED42}"/>
    <cellStyle name="Comma 4 2 2 5 6" xfId="2389" xr:uid="{00000000-0005-0000-0000-000052080000}"/>
    <cellStyle name="Comma 4 2 2 5 6 2" xfId="6673" xr:uid="{00000000-0005-0000-0000-000053080000}"/>
    <cellStyle name="Comma 4 2 2 5 6 2 2" xfId="32005" xr:uid="{DA9F9441-A7E9-4BB2-A7D8-D4A408F22AA3}"/>
    <cellStyle name="Comma 4 2 2 5 6 2 3" xfId="23564" xr:uid="{C70B7E99-25DF-4B72-B9A4-6D02C9CB9F4E}"/>
    <cellStyle name="Comma 4 2 2 5 6 2 4" xfId="15123" xr:uid="{5DB7EF68-B03B-4F02-A74D-F604401372AF}"/>
    <cellStyle name="Comma 4 2 2 5 6 3" xfId="27787" xr:uid="{6A8B2367-7E44-4F2C-8FF4-C3A52FAA6D6A}"/>
    <cellStyle name="Comma 4 2 2 5 6 4" xfId="19346" xr:uid="{2A09B8FC-D17D-4DDD-A06D-4B57F4B38D4A}"/>
    <cellStyle name="Comma 4 2 2 5 6 5" xfId="10905" xr:uid="{9077E205-BA99-42C6-9EF9-F341400AFE60}"/>
    <cellStyle name="Comma 4 2 2 5 7" xfId="2374" xr:uid="{00000000-0005-0000-0000-000054080000}"/>
    <cellStyle name="Comma 4 2 2 5 8" xfId="2767" xr:uid="{00000000-0005-0000-0000-000055080000}"/>
    <cellStyle name="Comma 4 2 2 5 8 2" xfId="6990" xr:uid="{00000000-0005-0000-0000-000056080000}"/>
    <cellStyle name="Comma 4 2 2 5 8 2 2" xfId="32322" xr:uid="{249ED621-0F03-4C92-9CAD-3B49BF4FBACF}"/>
    <cellStyle name="Comma 4 2 2 5 8 2 3" xfId="23881" xr:uid="{C2C68807-3DA5-42F0-BA36-19F79B8E1574}"/>
    <cellStyle name="Comma 4 2 2 5 8 2 4" xfId="15440" xr:uid="{B5CB5378-3D90-4CEE-B248-308D1B064174}"/>
    <cellStyle name="Comma 4 2 2 5 8 3" xfId="28104" xr:uid="{1C137C26-A3A2-45C8-B4F0-1775E9B060F7}"/>
    <cellStyle name="Comma 4 2 2 5 8 4" xfId="19663" xr:uid="{051E0DB1-357C-455F-AA40-569E207F3359}"/>
    <cellStyle name="Comma 4 2 2 5 8 5" xfId="11222" xr:uid="{34A4DBA3-BB7A-4F6F-B86D-4810508CF961}"/>
    <cellStyle name="Comma 4 2 2 5 9" xfId="4607" xr:uid="{00000000-0005-0000-0000-000057080000}"/>
    <cellStyle name="Comma 4 2 2 5 9 2" xfId="29939" xr:uid="{11FC592B-CAE1-48A7-89F1-47F68BE929DF}"/>
    <cellStyle name="Comma 4 2 2 5 9 3" xfId="21498" xr:uid="{25CEF640-B77E-460A-A728-7E965544B344}"/>
    <cellStyle name="Comma 4 2 2 5 9 4" xfId="13057" xr:uid="{15268BAB-CD76-4343-8BA3-4B06D163D611}"/>
    <cellStyle name="Comma 4 2 3" xfId="136" xr:uid="{00000000-0005-0000-0000-000058080000}"/>
    <cellStyle name="Comma 4 2 3 10" xfId="2768" xr:uid="{00000000-0005-0000-0000-000059080000}"/>
    <cellStyle name="Comma 4 2 3 10 2" xfId="6991" xr:uid="{00000000-0005-0000-0000-00005A080000}"/>
    <cellStyle name="Comma 4 2 3 10 2 2" xfId="32323" xr:uid="{3A9A77B2-F52E-4FB1-A74A-8DEAF5EBD58D}"/>
    <cellStyle name="Comma 4 2 3 10 2 3" xfId="23882" xr:uid="{27DE6299-FB62-4014-964D-8ED402DABFFB}"/>
    <cellStyle name="Comma 4 2 3 10 2 4" xfId="15441" xr:uid="{C6928621-00BD-4884-8DCC-7DF544D2DA28}"/>
    <cellStyle name="Comma 4 2 3 10 3" xfId="28105" xr:uid="{DD886ED2-82F8-4CAE-A77A-25F598EF847D}"/>
    <cellStyle name="Comma 4 2 3 10 4" xfId="19664" xr:uid="{54B984FD-93AD-4054-BFF0-851BF2F2F289}"/>
    <cellStyle name="Comma 4 2 3 10 5" xfId="11223" xr:uid="{EA7F659A-3AA5-4319-8146-10548138EB65}"/>
    <cellStyle name="Comma 4 2 3 11" xfId="4608" xr:uid="{00000000-0005-0000-0000-00005B080000}"/>
    <cellStyle name="Comma 4 2 3 11 2" xfId="29940" xr:uid="{1E1C3A9D-2E7C-4EB3-99F6-F64F108079F6}"/>
    <cellStyle name="Comma 4 2 3 11 3" xfId="21499" xr:uid="{420D87A5-217D-4149-8D4B-1B1D57163CFD}"/>
    <cellStyle name="Comma 4 2 3 11 4" xfId="13058" xr:uid="{6301DDA8-F340-42D3-8E8D-C6D16D2E030C}"/>
    <cellStyle name="Comma 4 2 3 12" xfId="25722" xr:uid="{43CFDAE3-C3A7-4738-A95B-5097546EFF67}"/>
    <cellStyle name="Comma 4 2 3 13" xfId="17281" xr:uid="{9B68E90B-FA54-4FC4-8019-89711EE545D5}"/>
    <cellStyle name="Comma 4 2 3 14" xfId="8840" xr:uid="{F1E89188-29E7-487F-A312-FE388D706A12}"/>
    <cellStyle name="Comma 4 2 3 2" xfId="137" xr:uid="{00000000-0005-0000-0000-00005C080000}"/>
    <cellStyle name="Comma 4 2 3 2 10" xfId="4609" xr:uid="{00000000-0005-0000-0000-00005D080000}"/>
    <cellStyle name="Comma 4 2 3 2 10 2" xfId="29941" xr:uid="{48FD5C08-F274-470C-A5C0-C878252B8BC0}"/>
    <cellStyle name="Comma 4 2 3 2 10 3" xfId="21500" xr:uid="{D2A269CA-86EA-4A99-819D-9FCB92F2C909}"/>
    <cellStyle name="Comma 4 2 3 2 10 4" xfId="13059" xr:uid="{AFBBB7F0-CC6B-4119-9C3E-DF09F108FBB0}"/>
    <cellStyle name="Comma 4 2 3 2 11" xfId="25723" xr:uid="{3EFDE5C1-55D5-4750-B210-EBE352A7D02D}"/>
    <cellStyle name="Comma 4 2 3 2 12" xfId="17282" xr:uid="{0F30F60E-03CD-4E27-8C7F-8654C007A60A}"/>
    <cellStyle name="Comma 4 2 3 2 13" xfId="8841" xr:uid="{CF2B85BF-4B2A-47CB-9F3D-6412A5EF6F2A}"/>
    <cellStyle name="Comma 4 2 3 2 2" xfId="138" xr:uid="{00000000-0005-0000-0000-00005E080000}"/>
    <cellStyle name="Comma 4 2 3 2 2 10" xfId="25724" xr:uid="{BF4E5D56-68BA-482D-BE17-AD172564DA6C}"/>
    <cellStyle name="Comma 4 2 3 2 2 11" xfId="17283" xr:uid="{26BBB1D7-5352-40D0-AE0C-6DCCD4E4E10A}"/>
    <cellStyle name="Comma 4 2 3 2 2 12" xfId="8842" xr:uid="{E0221E62-79AD-418D-8D49-A35E7FF8358B}"/>
    <cellStyle name="Comma 4 2 3 2 2 2" xfId="676" xr:uid="{00000000-0005-0000-0000-00005F080000}"/>
    <cellStyle name="Comma 4 2 3 2 2 2 2" xfId="2947" xr:uid="{00000000-0005-0000-0000-000060080000}"/>
    <cellStyle name="Comma 4 2 3 2 2 2 2 2" xfId="7169" xr:uid="{00000000-0005-0000-0000-000061080000}"/>
    <cellStyle name="Comma 4 2 3 2 2 2 2 2 2" xfId="32501" xr:uid="{2AFABFC6-D373-4409-9828-B1BB007D3672}"/>
    <cellStyle name="Comma 4 2 3 2 2 2 2 2 3" xfId="24060" xr:uid="{FB64C3E3-0C9A-49B9-A8B7-1FCA9A4FD853}"/>
    <cellStyle name="Comma 4 2 3 2 2 2 2 2 4" xfId="15619" xr:uid="{9C88B39F-42FA-4BB0-B20A-019A83CE9E69}"/>
    <cellStyle name="Comma 4 2 3 2 2 2 2 3" xfId="28283" xr:uid="{4BE5ADEA-366F-4B9B-97D7-AEF8ADFE2ABD}"/>
    <cellStyle name="Comma 4 2 3 2 2 2 2 4" xfId="19842" xr:uid="{AD7577FD-0D35-4C4B-8B2E-6730923FF03D}"/>
    <cellStyle name="Comma 4 2 3 2 2 2 2 5" xfId="11401" xr:uid="{EC54FF76-CB77-44C2-AF1B-897B775BCFEE}"/>
    <cellStyle name="Comma 4 2 3 2 2 2 3" xfId="5024" xr:uid="{00000000-0005-0000-0000-000062080000}"/>
    <cellStyle name="Comma 4 2 3 2 2 2 3 2" xfId="30356" xr:uid="{202391FE-C9C3-487E-82C3-AA82F9044A28}"/>
    <cellStyle name="Comma 4 2 3 2 2 2 3 3" xfId="21915" xr:uid="{1EC3757D-78FE-48D6-91F0-976BA51BF242}"/>
    <cellStyle name="Comma 4 2 3 2 2 2 3 4" xfId="13474" xr:uid="{AB731513-48C4-4ABA-B2BA-54AF368068DC}"/>
    <cellStyle name="Comma 4 2 3 2 2 2 4" xfId="26138" xr:uid="{C60C75A3-2E8E-4A9A-8EA1-CAF867E9552F}"/>
    <cellStyle name="Comma 4 2 3 2 2 2 5" xfId="17697" xr:uid="{B51566E4-7190-428A-9548-B21B91C8142E}"/>
    <cellStyle name="Comma 4 2 3 2 2 2 6" xfId="9256" xr:uid="{29968112-7F10-40FE-81B0-13CAEFED2860}"/>
    <cellStyle name="Comma 4 2 3 2 2 3" xfId="1129" xr:uid="{00000000-0005-0000-0000-000063080000}"/>
    <cellStyle name="Comma 4 2 3 2 2 3 2" xfId="3360" xr:uid="{00000000-0005-0000-0000-000064080000}"/>
    <cellStyle name="Comma 4 2 3 2 2 3 2 2" xfId="7582" xr:uid="{00000000-0005-0000-0000-000065080000}"/>
    <cellStyle name="Comma 4 2 3 2 2 3 2 2 2" xfId="32914" xr:uid="{96579C63-0513-4A05-8C87-38E95DEC65E3}"/>
    <cellStyle name="Comma 4 2 3 2 2 3 2 2 3" xfId="24473" xr:uid="{D75DBA59-63EC-42F0-901E-EF35BF5F2086}"/>
    <cellStyle name="Comma 4 2 3 2 2 3 2 2 4" xfId="16032" xr:uid="{BB1F9E5C-98E9-4B58-9157-004AC32CA4A1}"/>
    <cellStyle name="Comma 4 2 3 2 2 3 2 3" xfId="28696" xr:uid="{1D8E7D90-B616-4A45-8160-486CF3076014}"/>
    <cellStyle name="Comma 4 2 3 2 2 3 2 4" xfId="20255" xr:uid="{A727DB4B-D683-4F13-B3DC-F6D486DB86D5}"/>
    <cellStyle name="Comma 4 2 3 2 2 3 2 5" xfId="11814" xr:uid="{B512386D-4068-432E-BE9A-ECDA29749AA7}"/>
    <cellStyle name="Comma 4 2 3 2 2 3 3" xfId="5437" xr:uid="{00000000-0005-0000-0000-000066080000}"/>
    <cellStyle name="Comma 4 2 3 2 2 3 3 2" xfId="30769" xr:uid="{63DA00AE-8505-4E82-8836-FE25382D3DF4}"/>
    <cellStyle name="Comma 4 2 3 2 2 3 3 3" xfId="22328" xr:uid="{3649711F-CA5F-45BF-BF81-D72463CC8336}"/>
    <cellStyle name="Comma 4 2 3 2 2 3 3 4" xfId="13887" xr:uid="{06EC9BE7-81A9-4758-9418-ACEDE198DD1A}"/>
    <cellStyle name="Comma 4 2 3 2 2 3 4" xfId="26551" xr:uid="{4C417529-565B-4982-A160-B8EA23EB93C8}"/>
    <cellStyle name="Comma 4 2 3 2 2 3 5" xfId="18110" xr:uid="{6A77AFBA-CAF8-46C8-8609-D6633ACC3D02}"/>
    <cellStyle name="Comma 4 2 3 2 2 3 6" xfId="9669" xr:uid="{5645A9FD-13C0-483B-B57D-93F5E0BF3803}"/>
    <cellStyle name="Comma 4 2 3 2 2 4" xfId="1543" xr:uid="{00000000-0005-0000-0000-000067080000}"/>
    <cellStyle name="Comma 4 2 3 2 2 4 2" xfId="3773" xr:uid="{00000000-0005-0000-0000-000068080000}"/>
    <cellStyle name="Comma 4 2 3 2 2 4 2 2" xfId="7995" xr:uid="{00000000-0005-0000-0000-000069080000}"/>
    <cellStyle name="Comma 4 2 3 2 2 4 2 2 2" xfId="33327" xr:uid="{AB3167A3-D615-4512-8617-A5D9BD4E6713}"/>
    <cellStyle name="Comma 4 2 3 2 2 4 2 2 3" xfId="24886" xr:uid="{EE19DA64-AA4D-4B9C-85B3-62BAEB06B946}"/>
    <cellStyle name="Comma 4 2 3 2 2 4 2 2 4" xfId="16445" xr:uid="{E223C8D0-7672-4CEE-802A-778931BAE4AE}"/>
    <cellStyle name="Comma 4 2 3 2 2 4 2 3" xfId="29109" xr:uid="{7B441E0C-B7CA-498A-B79D-E9CB8B9FFE04}"/>
    <cellStyle name="Comma 4 2 3 2 2 4 2 4" xfId="20668" xr:uid="{68170485-A14E-462F-857C-A9D3F90D1B6F}"/>
    <cellStyle name="Comma 4 2 3 2 2 4 2 5" xfId="12227" xr:uid="{72977685-EB37-44C5-B910-39C7A8A3BF03}"/>
    <cellStyle name="Comma 4 2 3 2 2 4 3" xfId="5850" xr:uid="{00000000-0005-0000-0000-00006A080000}"/>
    <cellStyle name="Comma 4 2 3 2 2 4 3 2" xfId="31182" xr:uid="{0E547290-20C7-4562-B7AA-FDFD853F34EC}"/>
    <cellStyle name="Comma 4 2 3 2 2 4 3 3" xfId="22741" xr:uid="{1A3AF46E-B98C-48B7-B4C2-E7B7ECDE9123}"/>
    <cellStyle name="Comma 4 2 3 2 2 4 3 4" xfId="14300" xr:uid="{55CD18B6-A9B1-4ABD-A17C-2D552F2F8AF3}"/>
    <cellStyle name="Comma 4 2 3 2 2 4 4" xfId="26964" xr:uid="{D765C06B-096A-446E-AA5A-7B5FE77AAE7D}"/>
    <cellStyle name="Comma 4 2 3 2 2 4 5" xfId="18523" xr:uid="{561840FB-E0EC-4BB9-BE2F-CCE8F89699EF}"/>
    <cellStyle name="Comma 4 2 3 2 2 4 6" xfId="10082" xr:uid="{D487FE96-3391-470F-A6CA-5ACE40B5F980}"/>
    <cellStyle name="Comma 4 2 3 2 2 5" xfId="1957" xr:uid="{00000000-0005-0000-0000-00006B080000}"/>
    <cellStyle name="Comma 4 2 3 2 2 5 2" xfId="4186" xr:uid="{00000000-0005-0000-0000-00006C080000}"/>
    <cellStyle name="Comma 4 2 3 2 2 5 2 2" xfId="8408" xr:uid="{00000000-0005-0000-0000-00006D080000}"/>
    <cellStyle name="Comma 4 2 3 2 2 5 2 2 2" xfId="33740" xr:uid="{9B9DF49D-DB39-4022-BD0E-6FE22E9D0911}"/>
    <cellStyle name="Comma 4 2 3 2 2 5 2 2 3" xfId="25299" xr:uid="{DCC1C1A9-C11F-4ABE-921E-88E6B2D20DA5}"/>
    <cellStyle name="Comma 4 2 3 2 2 5 2 2 4" xfId="16858" xr:uid="{F39ACEC2-9C54-48E3-B790-B41BCC12088D}"/>
    <cellStyle name="Comma 4 2 3 2 2 5 2 3" xfId="29522" xr:uid="{A324F7D2-6E43-4A6A-98CD-C488DCB746AD}"/>
    <cellStyle name="Comma 4 2 3 2 2 5 2 4" xfId="21081" xr:uid="{A62E6999-155F-4095-979C-BB7416393CFE}"/>
    <cellStyle name="Comma 4 2 3 2 2 5 2 5" xfId="12640" xr:uid="{9662179C-D06C-4C82-84E7-8E13A715291D}"/>
    <cellStyle name="Comma 4 2 3 2 2 5 3" xfId="6263" xr:uid="{00000000-0005-0000-0000-00006E080000}"/>
    <cellStyle name="Comma 4 2 3 2 2 5 3 2" xfId="31595" xr:uid="{ED605489-C204-4350-90FB-E6AFC22A0651}"/>
    <cellStyle name="Comma 4 2 3 2 2 5 3 3" xfId="23154" xr:uid="{99CAF1ED-6EF5-4AA1-B2D0-FD99A12CF8E7}"/>
    <cellStyle name="Comma 4 2 3 2 2 5 3 4" xfId="14713" xr:uid="{4F4E9E10-D4F9-4073-8F30-8986C7D58C83}"/>
    <cellStyle name="Comma 4 2 3 2 2 5 4" xfId="27377" xr:uid="{A62ABE80-5546-40B9-B116-46DAF5DCEBBD}"/>
    <cellStyle name="Comma 4 2 3 2 2 5 5" xfId="18936" xr:uid="{05796359-6D7E-40C8-9511-1AB4B2BF4BB7}"/>
    <cellStyle name="Comma 4 2 3 2 2 5 6" xfId="10495" xr:uid="{C8663FB0-639B-45EB-B33C-FCB15FC96941}"/>
    <cellStyle name="Comma 4 2 3 2 2 6" xfId="2392" xr:uid="{00000000-0005-0000-0000-00006F080000}"/>
    <cellStyle name="Comma 4 2 3 2 2 6 2" xfId="6676" xr:uid="{00000000-0005-0000-0000-000070080000}"/>
    <cellStyle name="Comma 4 2 3 2 2 6 2 2" xfId="32008" xr:uid="{E35EA89E-A5E9-468D-9153-8C1F3E3CD6F2}"/>
    <cellStyle name="Comma 4 2 3 2 2 6 2 3" xfId="23567" xr:uid="{4D47F389-354F-42A8-927F-8D15153D48A4}"/>
    <cellStyle name="Comma 4 2 3 2 2 6 2 4" xfId="15126" xr:uid="{F2781296-A21A-45B5-8C98-9D372C02CAAB}"/>
    <cellStyle name="Comma 4 2 3 2 2 6 3" xfId="27790" xr:uid="{5B458A96-78F2-4F6B-84A7-01EF842AE9AF}"/>
    <cellStyle name="Comma 4 2 3 2 2 6 4" xfId="19349" xr:uid="{22565837-58D1-49CB-BAD7-787C6F183FC1}"/>
    <cellStyle name="Comma 4 2 3 2 2 6 5" xfId="10908" xr:uid="{5DF1586F-C37F-43A0-82A8-9EE307610493}"/>
    <cellStyle name="Comma 4 2 3 2 2 7" xfId="2371" xr:uid="{00000000-0005-0000-0000-000071080000}"/>
    <cellStyle name="Comma 4 2 3 2 2 8" xfId="2770" xr:uid="{00000000-0005-0000-0000-000072080000}"/>
    <cellStyle name="Comma 4 2 3 2 2 8 2" xfId="6993" xr:uid="{00000000-0005-0000-0000-000073080000}"/>
    <cellStyle name="Comma 4 2 3 2 2 8 2 2" xfId="32325" xr:uid="{9876DC37-85DB-4545-B446-26DEC515E375}"/>
    <cellStyle name="Comma 4 2 3 2 2 8 2 3" xfId="23884" xr:uid="{76C64A29-0C7C-4CCE-9013-7367B988F437}"/>
    <cellStyle name="Comma 4 2 3 2 2 8 2 4" xfId="15443" xr:uid="{72DBB0C8-669E-48E0-A589-1570C29E9D40}"/>
    <cellStyle name="Comma 4 2 3 2 2 8 3" xfId="28107" xr:uid="{92D240B9-A8A2-43D5-904E-3D547A02D5DE}"/>
    <cellStyle name="Comma 4 2 3 2 2 8 4" xfId="19666" xr:uid="{06132F85-5CB6-47A7-8198-13F8AEAB2639}"/>
    <cellStyle name="Comma 4 2 3 2 2 8 5" xfId="11225" xr:uid="{4F1FBF98-655F-4EB1-B506-E28B210CE174}"/>
    <cellStyle name="Comma 4 2 3 2 2 9" xfId="4610" xr:uid="{00000000-0005-0000-0000-000074080000}"/>
    <cellStyle name="Comma 4 2 3 2 2 9 2" xfId="29942" xr:uid="{5A9E917D-306D-4322-99C2-3C65BB55E662}"/>
    <cellStyle name="Comma 4 2 3 2 2 9 3" xfId="21501" xr:uid="{16059080-457B-4F06-9333-58092AF625F1}"/>
    <cellStyle name="Comma 4 2 3 2 2 9 4" xfId="13060" xr:uid="{1AB76F7A-E683-4139-A9B9-89F1FC71B6D1}"/>
    <cellStyle name="Comma 4 2 3 2 3" xfId="675" xr:uid="{00000000-0005-0000-0000-000075080000}"/>
    <cellStyle name="Comma 4 2 3 2 3 2" xfId="2946" xr:uid="{00000000-0005-0000-0000-000076080000}"/>
    <cellStyle name="Comma 4 2 3 2 3 2 2" xfId="7168" xr:uid="{00000000-0005-0000-0000-000077080000}"/>
    <cellStyle name="Comma 4 2 3 2 3 2 2 2" xfId="32500" xr:uid="{08CB6B14-4DD7-4250-B744-153C5B9B2BDC}"/>
    <cellStyle name="Comma 4 2 3 2 3 2 2 3" xfId="24059" xr:uid="{38597907-723E-4E43-B00E-2E9D98402D5E}"/>
    <cellStyle name="Comma 4 2 3 2 3 2 2 4" xfId="15618" xr:uid="{E1FDBB4A-FDAC-426B-ADB3-79D39D24E0A4}"/>
    <cellStyle name="Comma 4 2 3 2 3 2 3" xfId="28282" xr:uid="{098A4644-975A-4AE6-A513-BDDF87BFD143}"/>
    <cellStyle name="Comma 4 2 3 2 3 2 4" xfId="19841" xr:uid="{FCCC5A14-C062-4F47-9F72-3DE927172E1F}"/>
    <cellStyle name="Comma 4 2 3 2 3 2 5" xfId="11400" xr:uid="{A8F893F8-1954-4204-9966-3AB4B099F252}"/>
    <cellStyle name="Comma 4 2 3 2 3 3" xfId="5023" xr:uid="{00000000-0005-0000-0000-000078080000}"/>
    <cellStyle name="Comma 4 2 3 2 3 3 2" xfId="30355" xr:uid="{85F32F7E-9F63-4249-A9F7-BDF84A17F836}"/>
    <cellStyle name="Comma 4 2 3 2 3 3 3" xfId="21914" xr:uid="{EA48A49D-459F-4FD0-B640-67DE5C8E0AD3}"/>
    <cellStyle name="Comma 4 2 3 2 3 3 4" xfId="13473" xr:uid="{E3491355-73A5-4870-AB1C-72A9AE12EC59}"/>
    <cellStyle name="Comma 4 2 3 2 3 4" xfId="26137" xr:uid="{2DB1C4E3-761D-4AA6-9080-839A774ED585}"/>
    <cellStyle name="Comma 4 2 3 2 3 5" xfId="17696" xr:uid="{C89A3802-8AF9-452B-B1C6-26E0AE35B207}"/>
    <cellStyle name="Comma 4 2 3 2 3 6" xfId="9255" xr:uid="{09EFFDCD-7363-460D-9693-559527F1273D}"/>
    <cellStyle name="Comma 4 2 3 2 4" xfId="1128" xr:uid="{00000000-0005-0000-0000-000079080000}"/>
    <cellStyle name="Comma 4 2 3 2 4 2" xfId="3359" xr:uid="{00000000-0005-0000-0000-00007A080000}"/>
    <cellStyle name="Comma 4 2 3 2 4 2 2" xfId="7581" xr:uid="{00000000-0005-0000-0000-00007B080000}"/>
    <cellStyle name="Comma 4 2 3 2 4 2 2 2" xfId="32913" xr:uid="{3FAB708D-627C-4137-9001-C3D1D2F2A8A3}"/>
    <cellStyle name="Comma 4 2 3 2 4 2 2 3" xfId="24472" xr:uid="{F08DE917-A908-47C1-AD56-7A0A7758A251}"/>
    <cellStyle name="Comma 4 2 3 2 4 2 2 4" xfId="16031" xr:uid="{10342798-3DE1-4EC8-8B8F-4FA76CE5016F}"/>
    <cellStyle name="Comma 4 2 3 2 4 2 3" xfId="28695" xr:uid="{F6E4254D-BCB8-4276-8710-34F30E22A326}"/>
    <cellStyle name="Comma 4 2 3 2 4 2 4" xfId="20254" xr:uid="{921809BE-A637-4D15-A499-FE8EBD291F7E}"/>
    <cellStyle name="Comma 4 2 3 2 4 2 5" xfId="11813" xr:uid="{D87E686A-C3AE-434A-BEE5-9AED23F73B51}"/>
    <cellStyle name="Comma 4 2 3 2 4 3" xfId="5436" xr:uid="{00000000-0005-0000-0000-00007C080000}"/>
    <cellStyle name="Comma 4 2 3 2 4 3 2" xfId="30768" xr:uid="{968EC670-88CE-41D5-A86E-5E148D59167C}"/>
    <cellStyle name="Comma 4 2 3 2 4 3 3" xfId="22327" xr:uid="{1372454C-9DF6-4AC3-8B8D-7EDC443F969D}"/>
    <cellStyle name="Comma 4 2 3 2 4 3 4" xfId="13886" xr:uid="{0F1BF0DD-984A-4902-8092-8FB079417BBF}"/>
    <cellStyle name="Comma 4 2 3 2 4 4" xfId="26550" xr:uid="{8912CBC8-3085-4AD9-BF24-633D8E86BEC4}"/>
    <cellStyle name="Comma 4 2 3 2 4 5" xfId="18109" xr:uid="{908494D6-23F8-47C4-A99C-F32869323054}"/>
    <cellStyle name="Comma 4 2 3 2 4 6" xfId="9668" xr:uid="{CA2611A6-2333-4DAD-886E-1E6BC8733691}"/>
    <cellStyle name="Comma 4 2 3 2 5" xfId="1542" xr:uid="{00000000-0005-0000-0000-00007D080000}"/>
    <cellStyle name="Comma 4 2 3 2 5 2" xfId="3772" xr:uid="{00000000-0005-0000-0000-00007E080000}"/>
    <cellStyle name="Comma 4 2 3 2 5 2 2" xfId="7994" xr:uid="{00000000-0005-0000-0000-00007F080000}"/>
    <cellStyle name="Comma 4 2 3 2 5 2 2 2" xfId="33326" xr:uid="{18A6F5E7-C4D7-42E0-9C49-43D8F43F93FC}"/>
    <cellStyle name="Comma 4 2 3 2 5 2 2 3" xfId="24885" xr:uid="{856F30D1-64ED-4117-9EE3-562C040B4DBC}"/>
    <cellStyle name="Comma 4 2 3 2 5 2 2 4" xfId="16444" xr:uid="{75D2E23E-D17D-42B4-BA59-4BE6FF79FCEA}"/>
    <cellStyle name="Comma 4 2 3 2 5 2 3" xfId="29108" xr:uid="{4481337E-2818-4172-ADA5-7EB42578F7F9}"/>
    <cellStyle name="Comma 4 2 3 2 5 2 4" xfId="20667" xr:uid="{296A8E2E-72B0-4EA8-B232-099E8E9CD9D2}"/>
    <cellStyle name="Comma 4 2 3 2 5 2 5" xfId="12226" xr:uid="{E3F51C42-0CCB-41BC-A620-F07BFB9BC86F}"/>
    <cellStyle name="Comma 4 2 3 2 5 3" xfId="5849" xr:uid="{00000000-0005-0000-0000-000080080000}"/>
    <cellStyle name="Comma 4 2 3 2 5 3 2" xfId="31181" xr:uid="{A107EF85-27B7-4116-9921-15754A2BA8B2}"/>
    <cellStyle name="Comma 4 2 3 2 5 3 3" xfId="22740" xr:uid="{22994970-B936-4AFD-A0C0-C5FE8FF748D9}"/>
    <cellStyle name="Comma 4 2 3 2 5 3 4" xfId="14299" xr:uid="{3956E5EF-6779-4CD0-951B-23A6F3BA80DB}"/>
    <cellStyle name="Comma 4 2 3 2 5 4" xfId="26963" xr:uid="{C8EE331C-0FC6-45B4-9442-595ED48C3D65}"/>
    <cellStyle name="Comma 4 2 3 2 5 5" xfId="18522" xr:uid="{DC255590-172C-4C2B-8602-DE59258CE795}"/>
    <cellStyle name="Comma 4 2 3 2 5 6" xfId="10081" xr:uid="{A0AC139E-F82E-4896-9F0B-A917A1BDAC84}"/>
    <cellStyle name="Comma 4 2 3 2 6" xfId="1956" xr:uid="{00000000-0005-0000-0000-000081080000}"/>
    <cellStyle name="Comma 4 2 3 2 6 2" xfId="4185" xr:uid="{00000000-0005-0000-0000-000082080000}"/>
    <cellStyle name="Comma 4 2 3 2 6 2 2" xfId="8407" xr:uid="{00000000-0005-0000-0000-000083080000}"/>
    <cellStyle name="Comma 4 2 3 2 6 2 2 2" xfId="33739" xr:uid="{69130DEA-12B9-44B6-9F42-BD6DCEEB8177}"/>
    <cellStyle name="Comma 4 2 3 2 6 2 2 3" xfId="25298" xr:uid="{103B011B-8353-4E4F-85A3-C27776022569}"/>
    <cellStyle name="Comma 4 2 3 2 6 2 2 4" xfId="16857" xr:uid="{D88A31FE-EA00-4D5A-955C-FCD41214036C}"/>
    <cellStyle name="Comma 4 2 3 2 6 2 3" xfId="29521" xr:uid="{C676AD00-47D6-478F-A940-AB3B8F5C86C5}"/>
    <cellStyle name="Comma 4 2 3 2 6 2 4" xfId="21080" xr:uid="{EE344BA2-C135-4E42-84A0-3BD2D440E363}"/>
    <cellStyle name="Comma 4 2 3 2 6 2 5" xfId="12639" xr:uid="{3C99402B-291A-47E4-A725-7F0503C0126C}"/>
    <cellStyle name="Comma 4 2 3 2 6 3" xfId="6262" xr:uid="{00000000-0005-0000-0000-000084080000}"/>
    <cellStyle name="Comma 4 2 3 2 6 3 2" xfId="31594" xr:uid="{5C315C6D-411D-4F72-9E6B-BAD44150EFED}"/>
    <cellStyle name="Comma 4 2 3 2 6 3 3" xfId="23153" xr:uid="{CF12B2B0-AD42-4E1B-9277-0EA41495AACD}"/>
    <cellStyle name="Comma 4 2 3 2 6 3 4" xfId="14712" xr:uid="{CAAEED0E-46EA-437A-8A25-0EEB0717661D}"/>
    <cellStyle name="Comma 4 2 3 2 6 4" xfId="27376" xr:uid="{D36A6ACC-D4D2-4CD4-8508-E8214B6512D9}"/>
    <cellStyle name="Comma 4 2 3 2 6 5" xfId="18935" xr:uid="{594D588C-6997-4F42-A799-47D3F07C1605}"/>
    <cellStyle name="Comma 4 2 3 2 6 6" xfId="10494" xr:uid="{EEE4CFCE-D0F0-4CD5-8965-896ECEC61045}"/>
    <cellStyle name="Comma 4 2 3 2 7" xfId="2391" xr:uid="{00000000-0005-0000-0000-000085080000}"/>
    <cellStyle name="Comma 4 2 3 2 7 2" xfId="6675" xr:uid="{00000000-0005-0000-0000-000086080000}"/>
    <cellStyle name="Comma 4 2 3 2 7 2 2" xfId="32007" xr:uid="{01393E15-D226-4CF0-9BBE-CD9061014950}"/>
    <cellStyle name="Comma 4 2 3 2 7 2 3" xfId="23566" xr:uid="{77C1FEF5-B87C-4C16-8317-478DAE2AF1FD}"/>
    <cellStyle name="Comma 4 2 3 2 7 2 4" xfId="15125" xr:uid="{D69C77ED-83FB-4D95-94B7-6F72153F3720}"/>
    <cellStyle name="Comma 4 2 3 2 7 3" xfId="27789" xr:uid="{C7FAA0DF-99ED-479D-B4E9-B704C04459DC}"/>
    <cellStyle name="Comma 4 2 3 2 7 4" xfId="19348" xr:uid="{6C565F0A-EB9B-4709-B45B-8BEF77339E15}"/>
    <cellStyle name="Comma 4 2 3 2 7 5" xfId="10907" xr:uid="{E32DA322-23D6-4849-B703-C93721ABB334}"/>
    <cellStyle name="Comma 4 2 3 2 8" xfId="2372" xr:uid="{00000000-0005-0000-0000-000087080000}"/>
    <cellStyle name="Comma 4 2 3 2 9" xfId="2769" xr:uid="{00000000-0005-0000-0000-000088080000}"/>
    <cellStyle name="Comma 4 2 3 2 9 2" xfId="6992" xr:uid="{00000000-0005-0000-0000-000089080000}"/>
    <cellStyle name="Comma 4 2 3 2 9 2 2" xfId="32324" xr:uid="{045A63F2-43F8-47BE-8EFC-E3CBE870262D}"/>
    <cellStyle name="Comma 4 2 3 2 9 2 3" xfId="23883" xr:uid="{C3D875E2-7D96-4095-A2BC-B2C4F2E9ECA9}"/>
    <cellStyle name="Comma 4 2 3 2 9 2 4" xfId="15442" xr:uid="{39D6B2A7-3B47-4C25-BF56-AC69B0FCC94F}"/>
    <cellStyle name="Comma 4 2 3 2 9 3" xfId="28106" xr:uid="{FA61BB2C-DAEC-47B4-B8D0-A0EFA3778721}"/>
    <cellStyle name="Comma 4 2 3 2 9 4" xfId="19665" xr:uid="{739CE98D-F7C8-497E-8DA3-0C17BECF3B7D}"/>
    <cellStyle name="Comma 4 2 3 2 9 5" xfId="11224" xr:uid="{B4E9FBCC-698C-4581-9D91-2424CAEE30F0}"/>
    <cellStyle name="Comma 4 2 3 3" xfId="139" xr:uid="{00000000-0005-0000-0000-00008A080000}"/>
    <cellStyle name="Comma 4 2 3 3 10" xfId="25725" xr:uid="{0B495574-31FD-4218-815E-6F22A5FFC137}"/>
    <cellStyle name="Comma 4 2 3 3 11" xfId="17284" xr:uid="{32EA35C6-3E87-4CDD-9DF8-7E3D111BEEAA}"/>
    <cellStyle name="Comma 4 2 3 3 12" xfId="8843" xr:uid="{C8D76C91-E796-4B2C-A575-D7956E5AB7FD}"/>
    <cellStyle name="Comma 4 2 3 3 2" xfId="677" xr:uid="{00000000-0005-0000-0000-00008B080000}"/>
    <cellStyle name="Comma 4 2 3 3 2 2" xfId="2948" xr:uid="{00000000-0005-0000-0000-00008C080000}"/>
    <cellStyle name="Comma 4 2 3 3 2 2 2" xfId="7170" xr:uid="{00000000-0005-0000-0000-00008D080000}"/>
    <cellStyle name="Comma 4 2 3 3 2 2 2 2" xfId="32502" xr:uid="{6A9A4CC9-1C72-4D02-856F-0468048BE2AC}"/>
    <cellStyle name="Comma 4 2 3 3 2 2 2 3" xfId="24061" xr:uid="{06EA7112-DBD6-40C6-98B2-01547B93DDF9}"/>
    <cellStyle name="Comma 4 2 3 3 2 2 2 4" xfId="15620" xr:uid="{A7B7C1A8-1C8A-45C1-AD2C-DF1A97489B31}"/>
    <cellStyle name="Comma 4 2 3 3 2 2 3" xfId="28284" xr:uid="{148CC96B-EB04-4ED0-9373-EA2D4057ACF4}"/>
    <cellStyle name="Comma 4 2 3 3 2 2 4" xfId="19843" xr:uid="{264703C2-A6F1-48F0-BE61-47CA5731588F}"/>
    <cellStyle name="Comma 4 2 3 3 2 2 5" xfId="11402" xr:uid="{D47D3EC0-57AE-4195-BAD1-61751BC02004}"/>
    <cellStyle name="Comma 4 2 3 3 2 3" xfId="5025" xr:uid="{00000000-0005-0000-0000-00008E080000}"/>
    <cellStyle name="Comma 4 2 3 3 2 3 2" xfId="30357" xr:uid="{7154B20E-3496-45CA-8D06-BF980C991C2D}"/>
    <cellStyle name="Comma 4 2 3 3 2 3 3" xfId="21916" xr:uid="{AC91BD02-D77A-484B-A74F-8377F5E56BB9}"/>
    <cellStyle name="Comma 4 2 3 3 2 3 4" xfId="13475" xr:uid="{A8EF6993-5E0B-49F5-8193-668D19808481}"/>
    <cellStyle name="Comma 4 2 3 3 2 4" xfId="26139" xr:uid="{28649688-F460-4868-928F-DE9443A5948E}"/>
    <cellStyle name="Comma 4 2 3 3 2 5" xfId="17698" xr:uid="{06284C37-4608-4AE1-B412-F39CA516ED93}"/>
    <cellStyle name="Comma 4 2 3 3 2 6" xfId="9257" xr:uid="{4338A59E-923C-4EEF-8D56-DCD97413D5C1}"/>
    <cellStyle name="Comma 4 2 3 3 3" xfId="1130" xr:uid="{00000000-0005-0000-0000-00008F080000}"/>
    <cellStyle name="Comma 4 2 3 3 3 2" xfId="3361" xr:uid="{00000000-0005-0000-0000-000090080000}"/>
    <cellStyle name="Comma 4 2 3 3 3 2 2" xfId="7583" xr:uid="{00000000-0005-0000-0000-000091080000}"/>
    <cellStyle name="Comma 4 2 3 3 3 2 2 2" xfId="32915" xr:uid="{161A70FE-7D6E-4F47-AA92-2C04DD495863}"/>
    <cellStyle name="Comma 4 2 3 3 3 2 2 3" xfId="24474" xr:uid="{E1DFEFC4-C2A1-431B-88C7-7FF465D40982}"/>
    <cellStyle name="Comma 4 2 3 3 3 2 2 4" xfId="16033" xr:uid="{9E73E126-7F35-456B-81D1-0E409053F43A}"/>
    <cellStyle name="Comma 4 2 3 3 3 2 3" xfId="28697" xr:uid="{92FA7C96-10EF-4598-818A-B0E3F43158BD}"/>
    <cellStyle name="Comma 4 2 3 3 3 2 4" xfId="20256" xr:uid="{7C355014-B78F-4722-9C3A-2D4855FA00BB}"/>
    <cellStyle name="Comma 4 2 3 3 3 2 5" xfId="11815" xr:uid="{B4FD5C2E-2D0B-4B21-BFD6-AA0688305779}"/>
    <cellStyle name="Comma 4 2 3 3 3 3" xfId="5438" xr:uid="{00000000-0005-0000-0000-000092080000}"/>
    <cellStyle name="Comma 4 2 3 3 3 3 2" xfId="30770" xr:uid="{5D36E5D0-71D6-4752-96A2-BD98110A2A8F}"/>
    <cellStyle name="Comma 4 2 3 3 3 3 3" xfId="22329" xr:uid="{2E17D0BF-F9FA-4B94-8867-1398FDE88D13}"/>
    <cellStyle name="Comma 4 2 3 3 3 3 4" xfId="13888" xr:uid="{FCB0B701-741D-4160-8A4D-C30729630263}"/>
    <cellStyle name="Comma 4 2 3 3 3 4" xfId="26552" xr:uid="{C74C6E41-8C59-4B0F-A41E-41A1B6B5D349}"/>
    <cellStyle name="Comma 4 2 3 3 3 5" xfId="18111" xr:uid="{856069F0-4968-44A5-8091-508287EDD6E2}"/>
    <cellStyle name="Comma 4 2 3 3 3 6" xfId="9670" xr:uid="{ADDABCA1-A465-49CC-85A3-2F527B9BD9CD}"/>
    <cellStyle name="Comma 4 2 3 3 4" xfId="1544" xr:uid="{00000000-0005-0000-0000-000093080000}"/>
    <cellStyle name="Comma 4 2 3 3 4 2" xfId="3774" xr:uid="{00000000-0005-0000-0000-000094080000}"/>
    <cellStyle name="Comma 4 2 3 3 4 2 2" xfId="7996" xr:uid="{00000000-0005-0000-0000-000095080000}"/>
    <cellStyle name="Comma 4 2 3 3 4 2 2 2" xfId="33328" xr:uid="{E892CF1F-5EAD-406A-8214-44E29C30CADC}"/>
    <cellStyle name="Comma 4 2 3 3 4 2 2 3" xfId="24887" xr:uid="{989A9072-2462-4AB2-B87E-B30320EB3DDD}"/>
    <cellStyle name="Comma 4 2 3 3 4 2 2 4" xfId="16446" xr:uid="{25D2C524-AFF1-4DB7-B331-EFEB8A0D00F4}"/>
    <cellStyle name="Comma 4 2 3 3 4 2 3" xfId="29110" xr:uid="{CF7627EC-44C9-417E-A260-EA3A677FB842}"/>
    <cellStyle name="Comma 4 2 3 3 4 2 4" xfId="20669" xr:uid="{A2EF72BC-B172-4B67-9680-C0EEF80FB4C9}"/>
    <cellStyle name="Comma 4 2 3 3 4 2 5" xfId="12228" xr:uid="{1ADDB4C2-4797-4AE5-B31E-5B7708D1E37D}"/>
    <cellStyle name="Comma 4 2 3 3 4 3" xfId="5851" xr:uid="{00000000-0005-0000-0000-000096080000}"/>
    <cellStyle name="Comma 4 2 3 3 4 3 2" xfId="31183" xr:uid="{D1896C55-60CB-4D6E-BC05-CC53BE4B0CC3}"/>
    <cellStyle name="Comma 4 2 3 3 4 3 3" xfId="22742" xr:uid="{188269E4-3BA4-490E-8D24-184D91EF3AA2}"/>
    <cellStyle name="Comma 4 2 3 3 4 3 4" xfId="14301" xr:uid="{346416F5-6881-44A7-8360-95101AE5A629}"/>
    <cellStyle name="Comma 4 2 3 3 4 4" xfId="26965" xr:uid="{4B19315F-66E9-421C-A2D4-19F10B868824}"/>
    <cellStyle name="Comma 4 2 3 3 4 5" xfId="18524" xr:uid="{DC5CA09D-48B0-4E88-A35E-238FF4F9D15F}"/>
    <cellStyle name="Comma 4 2 3 3 4 6" xfId="10083" xr:uid="{F642A75D-FD68-43EE-B7AA-38285C9C9BDD}"/>
    <cellStyle name="Comma 4 2 3 3 5" xfId="1958" xr:uid="{00000000-0005-0000-0000-000097080000}"/>
    <cellStyle name="Comma 4 2 3 3 5 2" xfId="4187" xr:uid="{00000000-0005-0000-0000-000098080000}"/>
    <cellStyle name="Comma 4 2 3 3 5 2 2" xfId="8409" xr:uid="{00000000-0005-0000-0000-000099080000}"/>
    <cellStyle name="Comma 4 2 3 3 5 2 2 2" xfId="33741" xr:uid="{B705502E-565F-4875-8163-B68D4307E501}"/>
    <cellStyle name="Comma 4 2 3 3 5 2 2 3" xfId="25300" xr:uid="{59FACB28-0A2B-4DC0-8D9D-50EF93478833}"/>
    <cellStyle name="Comma 4 2 3 3 5 2 2 4" xfId="16859" xr:uid="{4DC7738F-40A5-47DA-9245-D355673133C2}"/>
    <cellStyle name="Comma 4 2 3 3 5 2 3" xfId="29523" xr:uid="{75023FA1-451B-4B86-8ADB-59359BB78B52}"/>
    <cellStyle name="Comma 4 2 3 3 5 2 4" xfId="21082" xr:uid="{A3B99F66-68AC-4B27-8BC5-41DD2BEC7048}"/>
    <cellStyle name="Comma 4 2 3 3 5 2 5" xfId="12641" xr:uid="{FD26C514-73C8-4517-BDF8-3DEECE693ECE}"/>
    <cellStyle name="Comma 4 2 3 3 5 3" xfId="6264" xr:uid="{00000000-0005-0000-0000-00009A080000}"/>
    <cellStyle name="Comma 4 2 3 3 5 3 2" xfId="31596" xr:uid="{662F8C6A-3994-4A59-9857-FE8F004C09AB}"/>
    <cellStyle name="Comma 4 2 3 3 5 3 3" xfId="23155" xr:uid="{944212D3-CB85-44B3-BA89-B72D4CA567DB}"/>
    <cellStyle name="Comma 4 2 3 3 5 3 4" xfId="14714" xr:uid="{CA497F4D-63FF-42EB-B727-984963876B96}"/>
    <cellStyle name="Comma 4 2 3 3 5 4" xfId="27378" xr:uid="{AB5D4CFA-B491-4F3A-9251-156CD0A8C837}"/>
    <cellStyle name="Comma 4 2 3 3 5 5" xfId="18937" xr:uid="{BF9391F9-E2BE-4A4E-AC84-482B7C8D27E6}"/>
    <cellStyle name="Comma 4 2 3 3 5 6" xfId="10496" xr:uid="{EC770EB6-D02B-47A3-A8C5-82E70C891ED3}"/>
    <cellStyle name="Comma 4 2 3 3 6" xfId="2393" xr:uid="{00000000-0005-0000-0000-00009B080000}"/>
    <cellStyle name="Comma 4 2 3 3 6 2" xfId="6677" xr:uid="{00000000-0005-0000-0000-00009C080000}"/>
    <cellStyle name="Comma 4 2 3 3 6 2 2" xfId="32009" xr:uid="{51114C74-EB2D-4261-AE75-2D5F98D71326}"/>
    <cellStyle name="Comma 4 2 3 3 6 2 3" xfId="23568" xr:uid="{022E464E-8725-420D-8573-2B570CBF8B04}"/>
    <cellStyle name="Comma 4 2 3 3 6 2 4" xfId="15127" xr:uid="{E84417B6-BCED-4FB3-9C6B-D63E1DF8A868}"/>
    <cellStyle name="Comma 4 2 3 3 6 3" xfId="27791" xr:uid="{2834293A-0711-495C-94A9-BC0E3EAF4C19}"/>
    <cellStyle name="Comma 4 2 3 3 6 4" xfId="19350" xr:uid="{EEE83E00-E949-467F-BE4F-8C32C319DEAB}"/>
    <cellStyle name="Comma 4 2 3 3 6 5" xfId="10909" xr:uid="{370265A7-B5F9-476D-85BE-4EAC2D5A7F8E}"/>
    <cellStyle name="Comma 4 2 3 3 7" xfId="2370" xr:uid="{00000000-0005-0000-0000-00009D080000}"/>
    <cellStyle name="Comma 4 2 3 3 8" xfId="2771" xr:uid="{00000000-0005-0000-0000-00009E080000}"/>
    <cellStyle name="Comma 4 2 3 3 8 2" xfId="6994" xr:uid="{00000000-0005-0000-0000-00009F080000}"/>
    <cellStyle name="Comma 4 2 3 3 8 2 2" xfId="32326" xr:uid="{7189D858-8EDE-42DF-BF46-B9529F72FF8B}"/>
    <cellStyle name="Comma 4 2 3 3 8 2 3" xfId="23885" xr:uid="{96A04E47-B26B-411C-A6E0-68AC99E9131D}"/>
    <cellStyle name="Comma 4 2 3 3 8 2 4" xfId="15444" xr:uid="{B25D8ED5-2D31-4C81-A8FD-4F044FAE6A87}"/>
    <cellStyle name="Comma 4 2 3 3 8 3" xfId="28108" xr:uid="{5F2235F8-2C79-4EB0-B378-0160B5E54E7B}"/>
    <cellStyle name="Comma 4 2 3 3 8 4" xfId="19667" xr:uid="{F0C0DD5C-C25F-481F-BC92-A0A7785D80AB}"/>
    <cellStyle name="Comma 4 2 3 3 8 5" xfId="11226" xr:uid="{4157D827-52CF-420A-8B69-CFC2CA9AFF6B}"/>
    <cellStyle name="Comma 4 2 3 3 9" xfId="4611" xr:uid="{00000000-0005-0000-0000-0000A0080000}"/>
    <cellStyle name="Comma 4 2 3 3 9 2" xfId="29943" xr:uid="{6E7CF718-C3B4-47D9-9FE1-6ACB2DD5CC24}"/>
    <cellStyle name="Comma 4 2 3 3 9 3" xfId="21502" xr:uid="{E40113F1-478E-4B89-AE39-0D9762AF18E9}"/>
    <cellStyle name="Comma 4 2 3 3 9 4" xfId="13061" xr:uid="{32642AD9-FE52-497B-8863-947A74C317ED}"/>
    <cellStyle name="Comma 4 2 3 4" xfId="674" xr:uid="{00000000-0005-0000-0000-0000A1080000}"/>
    <cellStyle name="Comma 4 2 3 4 2" xfId="2945" xr:uid="{00000000-0005-0000-0000-0000A2080000}"/>
    <cellStyle name="Comma 4 2 3 4 2 2" xfId="7167" xr:uid="{00000000-0005-0000-0000-0000A3080000}"/>
    <cellStyle name="Comma 4 2 3 4 2 2 2" xfId="32499" xr:uid="{05AE1C8B-1363-48E0-BDC5-85700A1D85A7}"/>
    <cellStyle name="Comma 4 2 3 4 2 2 3" xfId="24058" xr:uid="{65A2095C-4827-4920-B5D9-384B2EC278FA}"/>
    <cellStyle name="Comma 4 2 3 4 2 2 4" xfId="15617" xr:uid="{F35DE11F-71D3-4FF7-8CC9-AB32AFA9F226}"/>
    <cellStyle name="Comma 4 2 3 4 2 3" xfId="28281" xr:uid="{21F42F1D-C40D-4148-8091-6B746701ECE7}"/>
    <cellStyle name="Comma 4 2 3 4 2 4" xfId="19840" xr:uid="{F200C9F2-A727-4208-A7F1-723DCA0BF861}"/>
    <cellStyle name="Comma 4 2 3 4 2 5" xfId="11399" xr:uid="{89B4749A-613C-4C9B-9861-30D695DC04D1}"/>
    <cellStyle name="Comma 4 2 3 4 3" xfId="5022" xr:uid="{00000000-0005-0000-0000-0000A4080000}"/>
    <cellStyle name="Comma 4 2 3 4 3 2" xfId="30354" xr:uid="{4A33C329-8F6E-4B02-9AAF-753F5E2A0BDA}"/>
    <cellStyle name="Comma 4 2 3 4 3 3" xfId="21913" xr:uid="{E5BBE21A-AFC9-4147-9C60-CF6189AD9CC7}"/>
    <cellStyle name="Comma 4 2 3 4 3 4" xfId="13472" xr:uid="{1D64BFD0-5933-4039-A8D4-EEAF06B133B4}"/>
    <cellStyle name="Comma 4 2 3 4 4" xfId="26136" xr:uid="{177D341D-0F0C-41D9-B4A6-E01860EEA63D}"/>
    <cellStyle name="Comma 4 2 3 4 5" xfId="17695" xr:uid="{85637900-FB34-4D96-94F8-159DE0F977F1}"/>
    <cellStyle name="Comma 4 2 3 4 6" xfId="9254" xr:uid="{F26D2656-F9CD-4E37-A175-4ED1A76A386F}"/>
    <cellStyle name="Comma 4 2 3 5" xfId="1127" xr:uid="{00000000-0005-0000-0000-0000A5080000}"/>
    <cellStyle name="Comma 4 2 3 5 2" xfId="3358" xr:uid="{00000000-0005-0000-0000-0000A6080000}"/>
    <cellStyle name="Comma 4 2 3 5 2 2" xfId="7580" xr:uid="{00000000-0005-0000-0000-0000A7080000}"/>
    <cellStyle name="Comma 4 2 3 5 2 2 2" xfId="32912" xr:uid="{EE82B0C3-FF95-4624-93D9-3BDC7BC1BCBC}"/>
    <cellStyle name="Comma 4 2 3 5 2 2 3" xfId="24471" xr:uid="{371CCEB3-DD84-456C-B36A-AAB74E2932A3}"/>
    <cellStyle name="Comma 4 2 3 5 2 2 4" xfId="16030" xr:uid="{1EBA7150-4734-492F-9C77-FD84A738F118}"/>
    <cellStyle name="Comma 4 2 3 5 2 3" xfId="28694" xr:uid="{09EA217A-C103-401D-ACAE-9C2EBBC2A766}"/>
    <cellStyle name="Comma 4 2 3 5 2 4" xfId="20253" xr:uid="{ECEB1CB6-4646-4F2A-8780-251FF257F88F}"/>
    <cellStyle name="Comma 4 2 3 5 2 5" xfId="11812" xr:uid="{7AC00D1A-1492-492D-B9B4-68DF8A16ED1D}"/>
    <cellStyle name="Comma 4 2 3 5 3" xfId="5435" xr:uid="{00000000-0005-0000-0000-0000A8080000}"/>
    <cellStyle name="Comma 4 2 3 5 3 2" xfId="30767" xr:uid="{8F8BA210-717E-4C19-8C48-D0F7F50EFE38}"/>
    <cellStyle name="Comma 4 2 3 5 3 3" xfId="22326" xr:uid="{9F21B09C-495D-45D7-AF51-FC59E89E7561}"/>
    <cellStyle name="Comma 4 2 3 5 3 4" xfId="13885" xr:uid="{6EAB81E1-FCF0-4A23-8F73-C1DBAE899769}"/>
    <cellStyle name="Comma 4 2 3 5 4" xfId="26549" xr:uid="{960F177C-244C-40CD-AA55-BC50DF3FA723}"/>
    <cellStyle name="Comma 4 2 3 5 5" xfId="18108" xr:uid="{CDC2C9B1-2D42-45CC-974C-9A04316C8375}"/>
    <cellStyle name="Comma 4 2 3 5 6" xfId="9667" xr:uid="{E2FC4B05-FFC8-4D7B-A8BD-2EA7B560BD8D}"/>
    <cellStyle name="Comma 4 2 3 6" xfId="1541" xr:uid="{00000000-0005-0000-0000-0000A9080000}"/>
    <cellStyle name="Comma 4 2 3 6 2" xfId="3771" xr:uid="{00000000-0005-0000-0000-0000AA080000}"/>
    <cellStyle name="Comma 4 2 3 6 2 2" xfId="7993" xr:uid="{00000000-0005-0000-0000-0000AB080000}"/>
    <cellStyle name="Comma 4 2 3 6 2 2 2" xfId="33325" xr:uid="{D2325F4A-248B-4072-8495-29C7093AB867}"/>
    <cellStyle name="Comma 4 2 3 6 2 2 3" xfId="24884" xr:uid="{8F16B629-C028-479F-AE37-2E42EEA66D49}"/>
    <cellStyle name="Comma 4 2 3 6 2 2 4" xfId="16443" xr:uid="{C71A9F32-BFBB-4001-82E0-DE2385AB2202}"/>
    <cellStyle name="Comma 4 2 3 6 2 3" xfId="29107" xr:uid="{4B508998-B744-4670-BC6F-7D1E4512819A}"/>
    <cellStyle name="Comma 4 2 3 6 2 4" xfId="20666" xr:uid="{D46016B6-FB13-4D23-9643-3B9B99CB8D5A}"/>
    <cellStyle name="Comma 4 2 3 6 2 5" xfId="12225" xr:uid="{8D2F49C3-7634-4201-B6AB-EC22FB934B4E}"/>
    <cellStyle name="Comma 4 2 3 6 3" xfId="5848" xr:uid="{00000000-0005-0000-0000-0000AC080000}"/>
    <cellStyle name="Comma 4 2 3 6 3 2" xfId="31180" xr:uid="{0835277B-5A54-467F-B313-2A309163AF6A}"/>
    <cellStyle name="Comma 4 2 3 6 3 3" xfId="22739" xr:uid="{28D70E9C-4078-48C3-81E5-76F515D20595}"/>
    <cellStyle name="Comma 4 2 3 6 3 4" xfId="14298" xr:uid="{9E5DF6DC-284B-4DE6-863C-9B578D0F4D51}"/>
    <cellStyle name="Comma 4 2 3 6 4" xfId="26962" xr:uid="{41CF3F4A-FF03-4EB2-82BD-FDD9B5F53A53}"/>
    <cellStyle name="Comma 4 2 3 6 5" xfId="18521" xr:uid="{5C92A4FB-4FA6-4B7C-AA88-742E49E16028}"/>
    <cellStyle name="Comma 4 2 3 6 6" xfId="10080" xr:uid="{B014A8BD-5CA2-4B47-9EC1-59CEAD6C289E}"/>
    <cellStyle name="Comma 4 2 3 7" xfId="1955" xr:uid="{00000000-0005-0000-0000-0000AD080000}"/>
    <cellStyle name="Comma 4 2 3 7 2" xfId="4184" xr:uid="{00000000-0005-0000-0000-0000AE080000}"/>
    <cellStyle name="Comma 4 2 3 7 2 2" xfId="8406" xr:uid="{00000000-0005-0000-0000-0000AF080000}"/>
    <cellStyle name="Comma 4 2 3 7 2 2 2" xfId="33738" xr:uid="{F6802A3A-B35C-4066-84AD-83B1F51C5CB4}"/>
    <cellStyle name="Comma 4 2 3 7 2 2 3" xfId="25297" xr:uid="{D4B64663-CFF7-4DEE-B14E-6C29FA8035F0}"/>
    <cellStyle name="Comma 4 2 3 7 2 2 4" xfId="16856" xr:uid="{70F383B8-F068-48DD-AD4A-03AC798BC28B}"/>
    <cellStyle name="Comma 4 2 3 7 2 3" xfId="29520" xr:uid="{7458437F-8218-406D-9050-F7F2083C6D75}"/>
    <cellStyle name="Comma 4 2 3 7 2 4" xfId="21079" xr:uid="{5B5240E8-FBC3-456E-84E8-3B3CD2BF849B}"/>
    <cellStyle name="Comma 4 2 3 7 2 5" xfId="12638" xr:uid="{008DA833-EF94-4621-BEB7-8845AD523314}"/>
    <cellStyle name="Comma 4 2 3 7 3" xfId="6261" xr:uid="{00000000-0005-0000-0000-0000B0080000}"/>
    <cellStyle name="Comma 4 2 3 7 3 2" xfId="31593" xr:uid="{4813CD76-8BE1-4FA0-9830-8DD78C782FE7}"/>
    <cellStyle name="Comma 4 2 3 7 3 3" xfId="23152" xr:uid="{EF42007C-BA0C-481B-B002-A42504F17C1C}"/>
    <cellStyle name="Comma 4 2 3 7 3 4" xfId="14711" xr:uid="{3926A753-17D5-46C0-BA6B-EA66F6645B5E}"/>
    <cellStyle name="Comma 4 2 3 7 4" xfId="27375" xr:uid="{FBE5AECB-14ED-4BB8-A189-E7C38591DAEE}"/>
    <cellStyle name="Comma 4 2 3 7 5" xfId="18934" xr:uid="{3DC423A2-8E52-438A-8CB7-0F94C2C19D50}"/>
    <cellStyle name="Comma 4 2 3 7 6" xfId="10493" xr:uid="{90583EAD-F5B6-43BC-BAC7-E630539D38D3}"/>
    <cellStyle name="Comma 4 2 3 8" xfId="2390" xr:uid="{00000000-0005-0000-0000-0000B1080000}"/>
    <cellStyle name="Comma 4 2 3 8 2" xfId="6674" xr:uid="{00000000-0005-0000-0000-0000B2080000}"/>
    <cellStyle name="Comma 4 2 3 8 2 2" xfId="32006" xr:uid="{22F9AD41-49DA-4B9B-A691-49B5A5E6D18D}"/>
    <cellStyle name="Comma 4 2 3 8 2 3" xfId="23565" xr:uid="{19CFF3AC-5390-4843-948D-AEB41626CEE4}"/>
    <cellStyle name="Comma 4 2 3 8 2 4" xfId="15124" xr:uid="{9887C498-360A-41CF-86CE-706DB0573B65}"/>
    <cellStyle name="Comma 4 2 3 8 3" xfId="27788" xr:uid="{00498142-20F0-43BF-8F65-D5CBB05D317B}"/>
    <cellStyle name="Comma 4 2 3 8 4" xfId="19347" xr:uid="{BC798B25-2C15-46D9-AA60-D3B9A7D16086}"/>
    <cellStyle name="Comma 4 2 3 8 5" xfId="10906" xr:uid="{1986BA7B-E091-4D0A-9A46-AE5470449297}"/>
    <cellStyle name="Comma 4 2 3 9" xfId="2373" xr:uid="{00000000-0005-0000-0000-0000B3080000}"/>
    <cellStyle name="Comma 4 2 4" xfId="140" xr:uid="{00000000-0005-0000-0000-0000B4080000}"/>
    <cellStyle name="Comma 4 2 4 10" xfId="4612" xr:uid="{00000000-0005-0000-0000-0000B5080000}"/>
    <cellStyle name="Comma 4 2 4 10 2" xfId="29944" xr:uid="{2E95335C-5F1A-4E9A-B274-1D7308742BA8}"/>
    <cellStyle name="Comma 4 2 4 10 3" xfId="21503" xr:uid="{4BA1050A-EB06-4284-BF30-DA8DDA8691C9}"/>
    <cellStyle name="Comma 4 2 4 10 4" xfId="13062" xr:uid="{119F3676-1635-4E45-AAC1-400FDD8693A9}"/>
    <cellStyle name="Comma 4 2 4 11" xfId="25726" xr:uid="{76552B4D-7A61-4610-9FE0-C7844D7C862B}"/>
    <cellStyle name="Comma 4 2 4 12" xfId="17285" xr:uid="{B479BB55-1614-4771-8CC0-DD871C2EAAEA}"/>
    <cellStyle name="Comma 4 2 4 13" xfId="8844" xr:uid="{1B966C6F-AAF2-4348-A7E8-46BF3D2C1ED3}"/>
    <cellStyle name="Comma 4 2 4 2" xfId="141" xr:uid="{00000000-0005-0000-0000-0000B6080000}"/>
    <cellStyle name="Comma 4 2 4 2 10" xfId="25727" xr:uid="{489BC0BB-BECD-4201-86DC-29DB80B55A73}"/>
    <cellStyle name="Comma 4 2 4 2 11" xfId="17286" xr:uid="{7D6F7EE6-FD48-42CD-83EC-787EF93D3C18}"/>
    <cellStyle name="Comma 4 2 4 2 12" xfId="8845" xr:uid="{32C4A894-90AD-48FA-BBC9-D5C46178464C}"/>
    <cellStyle name="Comma 4 2 4 2 2" xfId="679" xr:uid="{00000000-0005-0000-0000-0000B7080000}"/>
    <cellStyle name="Comma 4 2 4 2 2 2" xfId="2950" xr:uid="{00000000-0005-0000-0000-0000B8080000}"/>
    <cellStyle name="Comma 4 2 4 2 2 2 2" xfId="7172" xr:uid="{00000000-0005-0000-0000-0000B9080000}"/>
    <cellStyle name="Comma 4 2 4 2 2 2 2 2" xfId="32504" xr:uid="{DFE84AB6-77A7-4884-BC79-CC745CEA73F9}"/>
    <cellStyle name="Comma 4 2 4 2 2 2 2 3" xfId="24063" xr:uid="{1FB5A408-D687-43D3-9DE0-F64CF17F6FA9}"/>
    <cellStyle name="Comma 4 2 4 2 2 2 2 4" xfId="15622" xr:uid="{9CE49878-0C23-4206-BD2B-F07338D1FEBB}"/>
    <cellStyle name="Comma 4 2 4 2 2 2 3" xfId="28286" xr:uid="{D4A6E7A5-E068-49D1-BC77-67FEF5428721}"/>
    <cellStyle name="Comma 4 2 4 2 2 2 4" xfId="19845" xr:uid="{0FA40F8D-2DB0-4B44-9736-39C356D4B34D}"/>
    <cellStyle name="Comma 4 2 4 2 2 2 5" xfId="11404" xr:uid="{19DA1E76-B69E-4709-9728-8926CD64A110}"/>
    <cellStyle name="Comma 4 2 4 2 2 3" xfId="5027" xr:uid="{00000000-0005-0000-0000-0000BA080000}"/>
    <cellStyle name="Comma 4 2 4 2 2 3 2" xfId="30359" xr:uid="{6657C158-5B1E-428B-99BC-4FD26DC0BFC4}"/>
    <cellStyle name="Comma 4 2 4 2 2 3 3" xfId="21918" xr:uid="{B9BF1B6C-1916-4A30-AD5F-0F03B3F0B1A9}"/>
    <cellStyle name="Comma 4 2 4 2 2 3 4" xfId="13477" xr:uid="{1991F44D-9361-4E6C-BCCB-34BF6A734B84}"/>
    <cellStyle name="Comma 4 2 4 2 2 4" xfId="26141" xr:uid="{FCB4D52A-4181-4554-87AC-F68F1B5B2448}"/>
    <cellStyle name="Comma 4 2 4 2 2 5" xfId="17700" xr:uid="{9FF87A20-B441-4CD8-8422-20A4C6E0CC5A}"/>
    <cellStyle name="Comma 4 2 4 2 2 6" xfId="9259" xr:uid="{1EC774BA-5E52-4778-A306-0A3C93913A03}"/>
    <cellStyle name="Comma 4 2 4 2 3" xfId="1132" xr:uid="{00000000-0005-0000-0000-0000BB080000}"/>
    <cellStyle name="Comma 4 2 4 2 3 2" xfId="3363" xr:uid="{00000000-0005-0000-0000-0000BC080000}"/>
    <cellStyle name="Comma 4 2 4 2 3 2 2" xfId="7585" xr:uid="{00000000-0005-0000-0000-0000BD080000}"/>
    <cellStyle name="Comma 4 2 4 2 3 2 2 2" xfId="32917" xr:uid="{E5A399AB-138F-4E87-A56F-B7A29D9D783C}"/>
    <cellStyle name="Comma 4 2 4 2 3 2 2 3" xfId="24476" xr:uid="{3F118B2B-1508-4D9E-B8E2-DF98E7783D7B}"/>
    <cellStyle name="Comma 4 2 4 2 3 2 2 4" xfId="16035" xr:uid="{E88B347B-48C5-4C53-BC1B-ACDA3D0B5DA7}"/>
    <cellStyle name="Comma 4 2 4 2 3 2 3" xfId="28699" xr:uid="{B52DFEC1-11B3-4FA2-8757-C1DBCBF130A8}"/>
    <cellStyle name="Comma 4 2 4 2 3 2 4" xfId="20258" xr:uid="{81716A7A-F76B-4BC7-A2DC-F487FA04198D}"/>
    <cellStyle name="Comma 4 2 4 2 3 2 5" xfId="11817" xr:uid="{73A1B257-ED92-4152-A8D4-4620A048A04C}"/>
    <cellStyle name="Comma 4 2 4 2 3 3" xfId="5440" xr:uid="{00000000-0005-0000-0000-0000BE080000}"/>
    <cellStyle name="Comma 4 2 4 2 3 3 2" xfId="30772" xr:uid="{2457F6E3-83F5-4CE8-889F-6A4C62BC2C85}"/>
    <cellStyle name="Comma 4 2 4 2 3 3 3" xfId="22331" xr:uid="{8566CE9F-201E-4849-B147-B7F17F62F8AC}"/>
    <cellStyle name="Comma 4 2 4 2 3 3 4" xfId="13890" xr:uid="{56277E5D-15C8-4EE2-BAF3-D16C91D3AC66}"/>
    <cellStyle name="Comma 4 2 4 2 3 4" xfId="26554" xr:uid="{024E953F-8069-4C2A-8B14-4C84FEF6600F}"/>
    <cellStyle name="Comma 4 2 4 2 3 5" xfId="18113" xr:uid="{97FDF6E0-D525-4D3D-A7C8-885782B4389E}"/>
    <cellStyle name="Comma 4 2 4 2 3 6" xfId="9672" xr:uid="{5188C538-9E54-4882-A676-553B54660536}"/>
    <cellStyle name="Comma 4 2 4 2 4" xfId="1546" xr:uid="{00000000-0005-0000-0000-0000BF080000}"/>
    <cellStyle name="Comma 4 2 4 2 4 2" xfId="3776" xr:uid="{00000000-0005-0000-0000-0000C0080000}"/>
    <cellStyle name="Comma 4 2 4 2 4 2 2" xfId="7998" xr:uid="{00000000-0005-0000-0000-0000C1080000}"/>
    <cellStyle name="Comma 4 2 4 2 4 2 2 2" xfId="33330" xr:uid="{CF59BA1B-AFD5-48E7-A44C-D418601C8CC0}"/>
    <cellStyle name="Comma 4 2 4 2 4 2 2 3" xfId="24889" xr:uid="{3057FFF6-FBE8-4646-8129-16DAD5BEB560}"/>
    <cellStyle name="Comma 4 2 4 2 4 2 2 4" xfId="16448" xr:uid="{368ABF8D-CCC1-42AE-BE79-CA89B8B14736}"/>
    <cellStyle name="Comma 4 2 4 2 4 2 3" xfId="29112" xr:uid="{A166A1B7-879F-4DF7-9BF3-9ABD3CDA6BDF}"/>
    <cellStyle name="Comma 4 2 4 2 4 2 4" xfId="20671" xr:uid="{874DB1DD-37AD-48A7-9E38-70CEE73C24E8}"/>
    <cellStyle name="Comma 4 2 4 2 4 2 5" xfId="12230" xr:uid="{C890F03B-EA1C-4EA9-BEF2-6474D68D862A}"/>
    <cellStyle name="Comma 4 2 4 2 4 3" xfId="5853" xr:uid="{00000000-0005-0000-0000-0000C2080000}"/>
    <cellStyle name="Comma 4 2 4 2 4 3 2" xfId="31185" xr:uid="{9E9914AD-AF21-4983-B9E4-709CDBDC4AF8}"/>
    <cellStyle name="Comma 4 2 4 2 4 3 3" xfId="22744" xr:uid="{87AF33F6-009C-42EF-B257-D5204C326186}"/>
    <cellStyle name="Comma 4 2 4 2 4 3 4" xfId="14303" xr:uid="{C492EE30-E30B-4A9B-A1CC-410415165DC3}"/>
    <cellStyle name="Comma 4 2 4 2 4 4" xfId="26967" xr:uid="{DA59617F-5839-4DD7-85E3-3DF0F5B63E73}"/>
    <cellStyle name="Comma 4 2 4 2 4 5" xfId="18526" xr:uid="{6631617E-A4CC-4B73-830F-688379D0D31A}"/>
    <cellStyle name="Comma 4 2 4 2 4 6" xfId="10085" xr:uid="{283AAB10-C0DA-4E80-A669-4C026D3B78C3}"/>
    <cellStyle name="Comma 4 2 4 2 5" xfId="1960" xr:uid="{00000000-0005-0000-0000-0000C3080000}"/>
    <cellStyle name="Comma 4 2 4 2 5 2" xfId="4189" xr:uid="{00000000-0005-0000-0000-0000C4080000}"/>
    <cellStyle name="Comma 4 2 4 2 5 2 2" xfId="8411" xr:uid="{00000000-0005-0000-0000-0000C5080000}"/>
    <cellStyle name="Comma 4 2 4 2 5 2 2 2" xfId="33743" xr:uid="{EF328CFE-56E2-4D46-BC00-D89EF4EB4A81}"/>
    <cellStyle name="Comma 4 2 4 2 5 2 2 3" xfId="25302" xr:uid="{F1A05D3B-E98E-4735-9678-5ADCF267DC01}"/>
    <cellStyle name="Comma 4 2 4 2 5 2 2 4" xfId="16861" xr:uid="{C2D61E74-5459-4E37-830B-3F257EAF6374}"/>
    <cellStyle name="Comma 4 2 4 2 5 2 3" xfId="29525" xr:uid="{DF4983F3-605C-4B1B-9915-A8CB37994654}"/>
    <cellStyle name="Comma 4 2 4 2 5 2 4" xfId="21084" xr:uid="{F7486EE4-3EEE-450C-BEFB-996E2A36E9C7}"/>
    <cellStyle name="Comma 4 2 4 2 5 2 5" xfId="12643" xr:uid="{C9E4411A-9B68-4229-A7FB-42E521F331F1}"/>
    <cellStyle name="Comma 4 2 4 2 5 3" xfId="6266" xr:uid="{00000000-0005-0000-0000-0000C6080000}"/>
    <cellStyle name="Comma 4 2 4 2 5 3 2" xfId="31598" xr:uid="{4EE3C7F3-C7A4-4D66-BE11-E62FE8AE4D12}"/>
    <cellStyle name="Comma 4 2 4 2 5 3 3" xfId="23157" xr:uid="{9EF95145-90DE-4834-876B-C36B7F2A5BF6}"/>
    <cellStyle name="Comma 4 2 4 2 5 3 4" xfId="14716" xr:uid="{E255E5AA-374F-47E8-A3E4-4CCAB95BFE54}"/>
    <cellStyle name="Comma 4 2 4 2 5 4" xfId="27380" xr:uid="{725E1F19-2BB8-4CE3-87A3-B8FB56FF3D05}"/>
    <cellStyle name="Comma 4 2 4 2 5 5" xfId="18939" xr:uid="{18E08007-0E55-483B-83F4-D080AB5CF3F2}"/>
    <cellStyle name="Comma 4 2 4 2 5 6" xfId="10498" xr:uid="{FCCE4752-FBF8-41E4-8675-13C2A9856936}"/>
    <cellStyle name="Comma 4 2 4 2 6" xfId="2395" xr:uid="{00000000-0005-0000-0000-0000C7080000}"/>
    <cellStyle name="Comma 4 2 4 2 6 2" xfId="6679" xr:uid="{00000000-0005-0000-0000-0000C8080000}"/>
    <cellStyle name="Comma 4 2 4 2 6 2 2" xfId="32011" xr:uid="{AFAAB888-A2FC-4C46-A8BC-46328F2B01C7}"/>
    <cellStyle name="Comma 4 2 4 2 6 2 3" xfId="23570" xr:uid="{67959325-41B5-4B57-BD0D-3E2CA49E2C1C}"/>
    <cellStyle name="Comma 4 2 4 2 6 2 4" xfId="15129" xr:uid="{9753FC21-2B02-43AB-897A-7645CBB64E5F}"/>
    <cellStyle name="Comma 4 2 4 2 6 3" xfId="27793" xr:uid="{B10B8557-D91B-4FE2-9F38-2EDF0F311997}"/>
    <cellStyle name="Comma 4 2 4 2 6 4" xfId="19352" xr:uid="{ACE5A7F3-F69F-45B7-8B02-CDFCB87AD593}"/>
    <cellStyle name="Comma 4 2 4 2 6 5" xfId="10911" xr:uid="{E40AA321-BE2B-485D-9755-AA09B1425B65}"/>
    <cellStyle name="Comma 4 2 4 2 7" xfId="2368" xr:uid="{00000000-0005-0000-0000-0000C9080000}"/>
    <cellStyle name="Comma 4 2 4 2 8" xfId="2773" xr:uid="{00000000-0005-0000-0000-0000CA080000}"/>
    <cellStyle name="Comma 4 2 4 2 8 2" xfId="6996" xr:uid="{00000000-0005-0000-0000-0000CB080000}"/>
    <cellStyle name="Comma 4 2 4 2 8 2 2" xfId="32328" xr:uid="{0C183D37-08C3-442F-954A-F35DBC0A5426}"/>
    <cellStyle name="Comma 4 2 4 2 8 2 3" xfId="23887" xr:uid="{62920CA8-E679-4AC9-A476-C724961F77C4}"/>
    <cellStyle name="Comma 4 2 4 2 8 2 4" xfId="15446" xr:uid="{346C69AB-CB80-4C2C-9119-727B44B544BD}"/>
    <cellStyle name="Comma 4 2 4 2 8 3" xfId="28110" xr:uid="{2F238A5C-06A5-4A57-AB87-E28CD4FC4292}"/>
    <cellStyle name="Comma 4 2 4 2 8 4" xfId="19669" xr:uid="{94530D93-0F57-414E-BC76-223C455DB309}"/>
    <cellStyle name="Comma 4 2 4 2 8 5" xfId="11228" xr:uid="{8C3DDACE-B52B-4947-8266-3C32D582C678}"/>
    <cellStyle name="Comma 4 2 4 2 9" xfId="4613" xr:uid="{00000000-0005-0000-0000-0000CC080000}"/>
    <cellStyle name="Comma 4 2 4 2 9 2" xfId="29945" xr:uid="{DD4AF5E2-33DC-424F-9E67-28AFFA74F2DD}"/>
    <cellStyle name="Comma 4 2 4 2 9 3" xfId="21504" xr:uid="{37DC3239-607B-49FE-B178-7499AF1058B4}"/>
    <cellStyle name="Comma 4 2 4 2 9 4" xfId="13063" xr:uid="{2BC015F4-849E-4E8D-9E68-618531BBE0BC}"/>
    <cellStyle name="Comma 4 2 4 3" xfId="678" xr:uid="{00000000-0005-0000-0000-0000CD080000}"/>
    <cellStyle name="Comma 4 2 4 3 2" xfId="2949" xr:uid="{00000000-0005-0000-0000-0000CE080000}"/>
    <cellStyle name="Comma 4 2 4 3 2 2" xfId="7171" xr:uid="{00000000-0005-0000-0000-0000CF080000}"/>
    <cellStyle name="Comma 4 2 4 3 2 2 2" xfId="32503" xr:uid="{2C3B7E1C-4F6E-42E7-8F41-F00613589151}"/>
    <cellStyle name="Comma 4 2 4 3 2 2 3" xfId="24062" xr:uid="{17C5BD6E-E92E-4C55-B518-CD7DBBA7E61E}"/>
    <cellStyle name="Comma 4 2 4 3 2 2 4" xfId="15621" xr:uid="{5B4E375C-8BEB-4332-8FEC-940D8FCE08B0}"/>
    <cellStyle name="Comma 4 2 4 3 2 3" xfId="28285" xr:uid="{2D753558-A953-4EBA-B14F-AAC03DE063F9}"/>
    <cellStyle name="Comma 4 2 4 3 2 4" xfId="19844" xr:uid="{3D411C3E-FA3B-4DD0-960A-D3880EE2603A}"/>
    <cellStyle name="Comma 4 2 4 3 2 5" xfId="11403" xr:uid="{80A242BD-39C7-4192-A8BE-D9727D900613}"/>
    <cellStyle name="Comma 4 2 4 3 3" xfId="5026" xr:uid="{00000000-0005-0000-0000-0000D0080000}"/>
    <cellStyle name="Comma 4 2 4 3 3 2" xfId="30358" xr:uid="{B93673C4-A5ED-49B3-8E98-4BA0FA373E30}"/>
    <cellStyle name="Comma 4 2 4 3 3 3" xfId="21917" xr:uid="{0F4349B2-145D-4196-907A-F3B802F65EC3}"/>
    <cellStyle name="Comma 4 2 4 3 3 4" xfId="13476" xr:uid="{6FD9FE8B-CDA2-4654-B41C-BE8DCFFCC584}"/>
    <cellStyle name="Comma 4 2 4 3 4" xfId="26140" xr:uid="{768B00A4-DCA2-4F32-BC6A-E72B7281729B}"/>
    <cellStyle name="Comma 4 2 4 3 5" xfId="17699" xr:uid="{C7079253-15AB-41C2-95BC-9915E36B416B}"/>
    <cellStyle name="Comma 4 2 4 3 6" xfId="9258" xr:uid="{CA12F9B3-A3AB-4C6D-800A-BA9738F066B4}"/>
    <cellStyle name="Comma 4 2 4 4" xfId="1131" xr:uid="{00000000-0005-0000-0000-0000D1080000}"/>
    <cellStyle name="Comma 4 2 4 4 2" xfId="3362" xr:uid="{00000000-0005-0000-0000-0000D2080000}"/>
    <cellStyle name="Comma 4 2 4 4 2 2" xfId="7584" xr:uid="{00000000-0005-0000-0000-0000D3080000}"/>
    <cellStyle name="Comma 4 2 4 4 2 2 2" xfId="32916" xr:uid="{FB454F20-3A36-46CE-A643-A1B35D748F21}"/>
    <cellStyle name="Comma 4 2 4 4 2 2 3" xfId="24475" xr:uid="{B88D9B95-B33D-449B-8327-EC34DF21903B}"/>
    <cellStyle name="Comma 4 2 4 4 2 2 4" xfId="16034" xr:uid="{69B86A3B-7FCF-40D9-8978-C55565777A20}"/>
    <cellStyle name="Comma 4 2 4 4 2 3" xfId="28698" xr:uid="{A03A3C3B-0A11-400D-B9B6-AFBBA5EE14B1}"/>
    <cellStyle name="Comma 4 2 4 4 2 4" xfId="20257" xr:uid="{E57E1591-A741-48BE-8448-262C4DE0F3F3}"/>
    <cellStyle name="Comma 4 2 4 4 2 5" xfId="11816" xr:uid="{3E6A043C-9EB4-4147-9B6A-377F503DBDA7}"/>
    <cellStyle name="Comma 4 2 4 4 3" xfId="5439" xr:uid="{00000000-0005-0000-0000-0000D4080000}"/>
    <cellStyle name="Comma 4 2 4 4 3 2" xfId="30771" xr:uid="{605B6B48-11D1-4559-8AC4-27502311E456}"/>
    <cellStyle name="Comma 4 2 4 4 3 3" xfId="22330" xr:uid="{AFC2AD5C-A3CD-41E1-BCB1-31281D7F09A7}"/>
    <cellStyle name="Comma 4 2 4 4 3 4" xfId="13889" xr:uid="{CB52439F-3B7A-4197-8E53-75943E86B063}"/>
    <cellStyle name="Comma 4 2 4 4 4" xfId="26553" xr:uid="{627578CE-E734-4FDD-8514-1A89AC6F38BF}"/>
    <cellStyle name="Comma 4 2 4 4 5" xfId="18112" xr:uid="{710F711E-CD71-4A37-B21B-ACAA50A2F514}"/>
    <cellStyle name="Comma 4 2 4 4 6" xfId="9671" xr:uid="{EF3F93A4-A5E3-424B-96CA-459A2079A493}"/>
    <cellStyle name="Comma 4 2 4 5" xfId="1545" xr:uid="{00000000-0005-0000-0000-0000D5080000}"/>
    <cellStyle name="Comma 4 2 4 5 2" xfId="3775" xr:uid="{00000000-0005-0000-0000-0000D6080000}"/>
    <cellStyle name="Comma 4 2 4 5 2 2" xfId="7997" xr:uid="{00000000-0005-0000-0000-0000D7080000}"/>
    <cellStyle name="Comma 4 2 4 5 2 2 2" xfId="33329" xr:uid="{1A1C2889-E1DE-4D78-A39C-F6E8E0F98159}"/>
    <cellStyle name="Comma 4 2 4 5 2 2 3" xfId="24888" xr:uid="{775AB50A-5273-4273-9D47-262C2B3ECAB4}"/>
    <cellStyle name="Comma 4 2 4 5 2 2 4" xfId="16447" xr:uid="{3E11A768-3F2A-48DB-B097-9B08539897DC}"/>
    <cellStyle name="Comma 4 2 4 5 2 3" xfId="29111" xr:uid="{D4BB730B-7451-416E-9701-744F0DAA8FEA}"/>
    <cellStyle name="Comma 4 2 4 5 2 4" xfId="20670" xr:uid="{B4ACE369-887D-4C74-B2A9-9074951206BB}"/>
    <cellStyle name="Comma 4 2 4 5 2 5" xfId="12229" xr:uid="{C3FBC0DC-C649-4360-91BF-DC5F55BEA9BA}"/>
    <cellStyle name="Comma 4 2 4 5 3" xfId="5852" xr:uid="{00000000-0005-0000-0000-0000D8080000}"/>
    <cellStyle name="Comma 4 2 4 5 3 2" xfId="31184" xr:uid="{46B59147-687F-473B-8465-9045011ECBEF}"/>
    <cellStyle name="Comma 4 2 4 5 3 3" xfId="22743" xr:uid="{8B3209A5-36B0-4692-8BCC-2C1D64B76F13}"/>
    <cellStyle name="Comma 4 2 4 5 3 4" xfId="14302" xr:uid="{25B24F50-81F6-4571-838A-F8911529CC87}"/>
    <cellStyle name="Comma 4 2 4 5 4" xfId="26966" xr:uid="{520FD7B5-8642-4421-BE23-C14F6AD048D4}"/>
    <cellStyle name="Comma 4 2 4 5 5" xfId="18525" xr:uid="{24D7AF5D-912A-464F-82F4-4C2C14E4F02B}"/>
    <cellStyle name="Comma 4 2 4 5 6" xfId="10084" xr:uid="{FCBE6E75-8BF2-4833-9A3C-E6E25B642C9D}"/>
    <cellStyle name="Comma 4 2 4 6" xfId="1959" xr:uid="{00000000-0005-0000-0000-0000D9080000}"/>
    <cellStyle name="Comma 4 2 4 6 2" xfId="4188" xr:uid="{00000000-0005-0000-0000-0000DA080000}"/>
    <cellStyle name="Comma 4 2 4 6 2 2" xfId="8410" xr:uid="{00000000-0005-0000-0000-0000DB080000}"/>
    <cellStyle name="Comma 4 2 4 6 2 2 2" xfId="33742" xr:uid="{2682BE93-1CE5-40F6-BAFE-1278C68DE4FB}"/>
    <cellStyle name="Comma 4 2 4 6 2 2 3" xfId="25301" xr:uid="{47B84B0E-C698-44A4-AAFA-8351592DBC22}"/>
    <cellStyle name="Comma 4 2 4 6 2 2 4" xfId="16860" xr:uid="{F1A6CD97-3C5E-46E6-BBD1-EF99B2451ECE}"/>
    <cellStyle name="Comma 4 2 4 6 2 3" xfId="29524" xr:uid="{C6DFAC89-BB3F-4284-8C12-7503D5D318AA}"/>
    <cellStyle name="Comma 4 2 4 6 2 4" xfId="21083" xr:uid="{AB226E69-D476-49F7-843F-CA1747105A7B}"/>
    <cellStyle name="Comma 4 2 4 6 2 5" xfId="12642" xr:uid="{93B8F61A-9213-49E3-8A16-8C052B4D921E}"/>
    <cellStyle name="Comma 4 2 4 6 3" xfId="6265" xr:uid="{00000000-0005-0000-0000-0000DC080000}"/>
    <cellStyle name="Comma 4 2 4 6 3 2" xfId="31597" xr:uid="{955F23AE-9110-47C4-9310-BCE08B927F8F}"/>
    <cellStyle name="Comma 4 2 4 6 3 3" xfId="23156" xr:uid="{31E19068-9A11-46B0-8CC8-4DF5E6E52D08}"/>
    <cellStyle name="Comma 4 2 4 6 3 4" xfId="14715" xr:uid="{B7C61051-04B2-49EB-8172-C8BF82FCF9DC}"/>
    <cellStyle name="Comma 4 2 4 6 4" xfId="27379" xr:uid="{919960A2-DAD1-47F4-8A26-997577B8FA7F}"/>
    <cellStyle name="Comma 4 2 4 6 5" xfId="18938" xr:uid="{AE4582B4-F5F5-4BB9-B05F-47DDCE897433}"/>
    <cellStyle name="Comma 4 2 4 6 6" xfId="10497" xr:uid="{1E1072F3-471B-4264-9B29-651780E9F00B}"/>
    <cellStyle name="Comma 4 2 4 7" xfId="2394" xr:uid="{00000000-0005-0000-0000-0000DD080000}"/>
    <cellStyle name="Comma 4 2 4 7 2" xfId="6678" xr:uid="{00000000-0005-0000-0000-0000DE080000}"/>
    <cellStyle name="Comma 4 2 4 7 2 2" xfId="32010" xr:uid="{C9B2A4B9-E31F-4E8D-BE36-01831D1B4039}"/>
    <cellStyle name="Comma 4 2 4 7 2 3" xfId="23569" xr:uid="{67173ABA-EF65-4813-9263-5CD6AB38E4C3}"/>
    <cellStyle name="Comma 4 2 4 7 2 4" xfId="15128" xr:uid="{BE72B4D8-73FF-43C1-90DE-4C93A56886EE}"/>
    <cellStyle name="Comma 4 2 4 7 3" xfId="27792" xr:uid="{153A6D0F-B12A-4D3A-B662-7EDBDD5A1870}"/>
    <cellStyle name="Comma 4 2 4 7 4" xfId="19351" xr:uid="{4D757CC0-1C5D-4980-B5D6-A8242680E90B}"/>
    <cellStyle name="Comma 4 2 4 7 5" xfId="10910" xr:uid="{50305612-ADA1-46E9-AC6C-9E9D86A26839}"/>
    <cellStyle name="Comma 4 2 4 8" xfId="2369" xr:uid="{00000000-0005-0000-0000-0000DF080000}"/>
    <cellStyle name="Comma 4 2 4 9" xfId="2772" xr:uid="{00000000-0005-0000-0000-0000E0080000}"/>
    <cellStyle name="Comma 4 2 4 9 2" xfId="6995" xr:uid="{00000000-0005-0000-0000-0000E1080000}"/>
    <cellStyle name="Comma 4 2 4 9 2 2" xfId="32327" xr:uid="{D1F76CE7-5CB3-4F39-8474-3677EF5D8219}"/>
    <cellStyle name="Comma 4 2 4 9 2 3" xfId="23886" xr:uid="{53C19293-FFE4-44A8-8D38-52EC0FA24604}"/>
    <cellStyle name="Comma 4 2 4 9 2 4" xfId="15445" xr:uid="{7FFDA3EF-9EE5-4C27-B4AA-F430DEC77A34}"/>
    <cellStyle name="Comma 4 2 4 9 3" xfId="28109" xr:uid="{FC207322-C203-46EC-A015-B630289502B6}"/>
    <cellStyle name="Comma 4 2 4 9 4" xfId="19668" xr:uid="{26B763AD-9332-4B7C-9DB1-35F17063B313}"/>
    <cellStyle name="Comma 4 2 4 9 5" xfId="11227" xr:uid="{EB84FB62-578B-4E5E-B6B6-4DE12AB934F5}"/>
    <cellStyle name="Comma 4 2 5" xfId="142" xr:uid="{00000000-0005-0000-0000-0000E2080000}"/>
    <cellStyle name="Comma 4 2 5 10" xfId="25728" xr:uid="{CA5A3529-7D6C-4326-8E84-927EC2A48EE4}"/>
    <cellStyle name="Comma 4 2 5 11" xfId="17287" xr:uid="{0949C344-8E31-450E-BFC3-63CF3DD1E11B}"/>
    <cellStyle name="Comma 4 2 5 12" xfId="8846" xr:uid="{2383C813-9C32-49BE-8E64-3A77019E3D4E}"/>
    <cellStyle name="Comma 4 2 5 2" xfId="680" xr:uid="{00000000-0005-0000-0000-0000E3080000}"/>
    <cellStyle name="Comma 4 2 5 2 2" xfId="2951" xr:uid="{00000000-0005-0000-0000-0000E4080000}"/>
    <cellStyle name="Comma 4 2 5 2 2 2" xfId="7173" xr:uid="{00000000-0005-0000-0000-0000E5080000}"/>
    <cellStyle name="Comma 4 2 5 2 2 2 2" xfId="32505" xr:uid="{15630E37-5C4E-4BCB-9CCD-073E42E10410}"/>
    <cellStyle name="Comma 4 2 5 2 2 2 3" xfId="24064" xr:uid="{209B426E-7D94-4FA8-AA65-C35A73027AD9}"/>
    <cellStyle name="Comma 4 2 5 2 2 2 4" xfId="15623" xr:uid="{0B6A0616-37ED-43AA-BC9E-66D0E79E3480}"/>
    <cellStyle name="Comma 4 2 5 2 2 3" xfId="28287" xr:uid="{801FD72B-D64B-431B-B683-7025C4FFA933}"/>
    <cellStyle name="Comma 4 2 5 2 2 4" xfId="19846" xr:uid="{A0FCDADB-3BD7-44AD-82FE-019B35343960}"/>
    <cellStyle name="Comma 4 2 5 2 2 5" xfId="11405" xr:uid="{8B602176-544F-40BC-829B-7ED303F64DF6}"/>
    <cellStyle name="Comma 4 2 5 2 3" xfId="5028" xr:uid="{00000000-0005-0000-0000-0000E6080000}"/>
    <cellStyle name="Comma 4 2 5 2 3 2" xfId="30360" xr:uid="{932A61DA-5648-4661-8536-33C3553A296E}"/>
    <cellStyle name="Comma 4 2 5 2 3 3" xfId="21919" xr:uid="{A19656E1-9578-4200-823D-900391F1E26F}"/>
    <cellStyle name="Comma 4 2 5 2 3 4" xfId="13478" xr:uid="{09C3ED2C-4BA9-4B24-8EF0-D62B7BD5FD8E}"/>
    <cellStyle name="Comma 4 2 5 2 4" xfId="26142" xr:uid="{0D87367D-1200-449F-8DE4-14C785738867}"/>
    <cellStyle name="Comma 4 2 5 2 5" xfId="17701" xr:uid="{BE2B2811-1656-4ABB-9A18-38F3671A3E6A}"/>
    <cellStyle name="Comma 4 2 5 2 6" xfId="9260" xr:uid="{8C58D72D-E43F-43AB-A75D-FD3FB17FC4B9}"/>
    <cellStyle name="Comma 4 2 5 3" xfId="1133" xr:uid="{00000000-0005-0000-0000-0000E7080000}"/>
    <cellStyle name="Comma 4 2 5 3 2" xfId="3364" xr:uid="{00000000-0005-0000-0000-0000E8080000}"/>
    <cellStyle name="Comma 4 2 5 3 2 2" xfId="7586" xr:uid="{00000000-0005-0000-0000-0000E9080000}"/>
    <cellStyle name="Comma 4 2 5 3 2 2 2" xfId="32918" xr:uid="{849EC466-9B79-49F5-BB8A-A9182EA6944B}"/>
    <cellStyle name="Comma 4 2 5 3 2 2 3" xfId="24477" xr:uid="{96E1BE40-9092-463E-A034-58BE770D42F5}"/>
    <cellStyle name="Comma 4 2 5 3 2 2 4" xfId="16036" xr:uid="{E1616DDF-65CB-486D-AA2A-89CDAEFCB81B}"/>
    <cellStyle name="Comma 4 2 5 3 2 3" xfId="28700" xr:uid="{27E882FE-BC38-4FD8-8A24-076E5200FD14}"/>
    <cellStyle name="Comma 4 2 5 3 2 4" xfId="20259" xr:uid="{FE94791F-E65B-424B-A775-3BD37451A5CF}"/>
    <cellStyle name="Comma 4 2 5 3 2 5" xfId="11818" xr:uid="{EF3C0362-66F6-48D3-AB33-B4B6BFD977A0}"/>
    <cellStyle name="Comma 4 2 5 3 3" xfId="5441" xr:uid="{00000000-0005-0000-0000-0000EA080000}"/>
    <cellStyle name="Comma 4 2 5 3 3 2" xfId="30773" xr:uid="{A32A69C6-89AC-4FC8-BEF9-6B0BE26105EC}"/>
    <cellStyle name="Comma 4 2 5 3 3 3" xfId="22332" xr:uid="{4F7F4F86-4014-4780-B538-B64A9B8D6F14}"/>
    <cellStyle name="Comma 4 2 5 3 3 4" xfId="13891" xr:uid="{6DAA86BA-93F3-4270-B0DA-F4B8EA38CBB2}"/>
    <cellStyle name="Comma 4 2 5 3 4" xfId="26555" xr:uid="{AD9A9BFA-5DD3-4CB7-8FFD-8A3EFB234BE8}"/>
    <cellStyle name="Comma 4 2 5 3 5" xfId="18114" xr:uid="{077C4F2A-47D0-4502-8BE8-5C9164B946F5}"/>
    <cellStyle name="Comma 4 2 5 3 6" xfId="9673" xr:uid="{5D022209-20FD-43B8-A755-D7D3FBEF6673}"/>
    <cellStyle name="Comma 4 2 5 4" xfId="1547" xr:uid="{00000000-0005-0000-0000-0000EB080000}"/>
    <cellStyle name="Comma 4 2 5 4 2" xfId="3777" xr:uid="{00000000-0005-0000-0000-0000EC080000}"/>
    <cellStyle name="Comma 4 2 5 4 2 2" xfId="7999" xr:uid="{00000000-0005-0000-0000-0000ED080000}"/>
    <cellStyle name="Comma 4 2 5 4 2 2 2" xfId="33331" xr:uid="{AFC4F91F-406D-4CB3-9ECF-B9D545219D31}"/>
    <cellStyle name="Comma 4 2 5 4 2 2 3" xfId="24890" xr:uid="{544E097D-3B4D-474E-8C26-6B42DE7DE206}"/>
    <cellStyle name="Comma 4 2 5 4 2 2 4" xfId="16449" xr:uid="{0125EC07-8988-49DD-8853-1810B46804EF}"/>
    <cellStyle name="Comma 4 2 5 4 2 3" xfId="29113" xr:uid="{84AB2F2F-6AB1-406E-9F9A-8CCB292E0764}"/>
    <cellStyle name="Comma 4 2 5 4 2 4" xfId="20672" xr:uid="{0B8ACE0E-BCD2-4868-B2EA-7336DF372205}"/>
    <cellStyle name="Comma 4 2 5 4 2 5" xfId="12231" xr:uid="{2FDF3A8D-4D3F-40E8-ADD7-BF9853598764}"/>
    <cellStyle name="Comma 4 2 5 4 3" xfId="5854" xr:uid="{00000000-0005-0000-0000-0000EE080000}"/>
    <cellStyle name="Comma 4 2 5 4 3 2" xfId="31186" xr:uid="{449DA18C-501A-432E-8B54-E7561C9709EA}"/>
    <cellStyle name="Comma 4 2 5 4 3 3" xfId="22745" xr:uid="{9247EBA3-8CDA-4800-A831-9D70159876F4}"/>
    <cellStyle name="Comma 4 2 5 4 3 4" xfId="14304" xr:uid="{A2F63C09-438B-468A-BE7B-E9670A67CAC0}"/>
    <cellStyle name="Comma 4 2 5 4 4" xfId="26968" xr:uid="{0C0582AA-45BE-494F-86A9-A31A07905A75}"/>
    <cellStyle name="Comma 4 2 5 4 5" xfId="18527" xr:uid="{281C10E4-D7B9-4C2D-859A-E5B59DBB9115}"/>
    <cellStyle name="Comma 4 2 5 4 6" xfId="10086" xr:uid="{AE577FF5-20E4-4F2A-85CB-EA25732E0833}"/>
    <cellStyle name="Comma 4 2 5 5" xfId="1961" xr:uid="{00000000-0005-0000-0000-0000EF080000}"/>
    <cellStyle name="Comma 4 2 5 5 2" xfId="4190" xr:uid="{00000000-0005-0000-0000-0000F0080000}"/>
    <cellStyle name="Comma 4 2 5 5 2 2" xfId="8412" xr:uid="{00000000-0005-0000-0000-0000F1080000}"/>
    <cellStyle name="Comma 4 2 5 5 2 2 2" xfId="33744" xr:uid="{2E13A64B-4404-4C58-8B0E-249342937A85}"/>
    <cellStyle name="Comma 4 2 5 5 2 2 3" xfId="25303" xr:uid="{A3DA5784-80EF-4EB8-B3E7-508A70DE17A6}"/>
    <cellStyle name="Comma 4 2 5 5 2 2 4" xfId="16862" xr:uid="{96C06214-B3DC-4F09-9E3B-B91910C0F982}"/>
    <cellStyle name="Comma 4 2 5 5 2 3" xfId="29526" xr:uid="{AD51648A-F227-4CDE-BE1E-05418A5E56D2}"/>
    <cellStyle name="Comma 4 2 5 5 2 4" xfId="21085" xr:uid="{83ACD1A1-F9AA-4824-8D2B-A8A512A7E269}"/>
    <cellStyle name="Comma 4 2 5 5 2 5" xfId="12644" xr:uid="{15D47BB7-82A4-4044-B36F-CEEB9BB729DA}"/>
    <cellStyle name="Comma 4 2 5 5 3" xfId="6267" xr:uid="{00000000-0005-0000-0000-0000F2080000}"/>
    <cellStyle name="Comma 4 2 5 5 3 2" xfId="31599" xr:uid="{2A12C9CA-9370-4CF6-BB4C-20467814D485}"/>
    <cellStyle name="Comma 4 2 5 5 3 3" xfId="23158" xr:uid="{A9165BBE-0B76-49F9-A571-868AD88B9352}"/>
    <cellStyle name="Comma 4 2 5 5 3 4" xfId="14717" xr:uid="{E97F98FF-4D72-42B4-A6EC-8C1A36A56728}"/>
    <cellStyle name="Comma 4 2 5 5 4" xfId="27381" xr:uid="{ED6E034C-7B94-4D00-BCC3-50D12D4516AC}"/>
    <cellStyle name="Comma 4 2 5 5 5" xfId="18940" xr:uid="{3ABA3027-C1D2-4674-B4E5-31F3FB3AB764}"/>
    <cellStyle name="Comma 4 2 5 5 6" xfId="10499" xr:uid="{55F7F340-A536-45D3-B624-B7F96EF4F6CB}"/>
    <cellStyle name="Comma 4 2 5 6" xfId="2396" xr:uid="{00000000-0005-0000-0000-0000F3080000}"/>
    <cellStyle name="Comma 4 2 5 6 2" xfId="6680" xr:uid="{00000000-0005-0000-0000-0000F4080000}"/>
    <cellStyle name="Comma 4 2 5 6 2 2" xfId="32012" xr:uid="{AE833BD8-91E1-4826-9E3A-573065178BB2}"/>
    <cellStyle name="Comma 4 2 5 6 2 3" xfId="23571" xr:uid="{8DD8666E-F9AF-45F7-9DF3-EC7F05790CD4}"/>
    <cellStyle name="Comma 4 2 5 6 2 4" xfId="15130" xr:uid="{1118696A-6876-491C-A6B9-9CE892B42AEE}"/>
    <cellStyle name="Comma 4 2 5 6 3" xfId="27794" xr:uid="{5B4A6F6C-ED8B-4AAF-B08A-098C20F30284}"/>
    <cellStyle name="Comma 4 2 5 6 4" xfId="19353" xr:uid="{20CA71DD-B07B-4677-B998-5C747124055C}"/>
    <cellStyle name="Comma 4 2 5 6 5" xfId="10912" xr:uid="{EF3B00E5-ECCC-41E8-A41F-088500B351E1}"/>
    <cellStyle name="Comma 4 2 5 7" xfId="2367" xr:uid="{00000000-0005-0000-0000-0000F5080000}"/>
    <cellStyle name="Comma 4 2 5 8" xfId="2774" xr:uid="{00000000-0005-0000-0000-0000F6080000}"/>
    <cellStyle name="Comma 4 2 5 8 2" xfId="6997" xr:uid="{00000000-0005-0000-0000-0000F7080000}"/>
    <cellStyle name="Comma 4 2 5 8 2 2" xfId="32329" xr:uid="{C17306C5-D7C2-4841-BBD9-BEA944D6CC1C}"/>
    <cellStyle name="Comma 4 2 5 8 2 3" xfId="23888" xr:uid="{6BA6871B-1B0A-4652-9F48-E5AB451A6A72}"/>
    <cellStyle name="Comma 4 2 5 8 2 4" xfId="15447" xr:uid="{90D5C9F0-1543-4506-9193-E9FC5CF46105}"/>
    <cellStyle name="Comma 4 2 5 8 3" xfId="28111" xr:uid="{662E1749-D755-4B9A-89C0-4C5C2EE9B7E5}"/>
    <cellStyle name="Comma 4 2 5 8 4" xfId="19670" xr:uid="{0DD23E46-6C04-4CB7-9013-86A2DF7E7D4B}"/>
    <cellStyle name="Comma 4 2 5 8 5" xfId="11229" xr:uid="{BF6137EF-2A28-4879-8263-743838F2E2F1}"/>
    <cellStyle name="Comma 4 2 5 9" xfId="4614" xr:uid="{00000000-0005-0000-0000-0000F8080000}"/>
    <cellStyle name="Comma 4 2 5 9 2" xfId="29946" xr:uid="{E7021A3A-AB67-408D-8ABF-0A2FFB20EBD3}"/>
    <cellStyle name="Comma 4 2 5 9 3" xfId="21505" xr:uid="{D0A88836-CADC-48E6-9EBB-7D09A325129D}"/>
    <cellStyle name="Comma 4 2 5 9 4" xfId="13064" xr:uid="{2DCC7085-B7DE-4082-9532-56B9709F8F88}"/>
    <cellStyle name="Comma 4 2 6" xfId="143" xr:uid="{00000000-0005-0000-0000-0000F9080000}"/>
    <cellStyle name="Comma 4 2 6 10" xfId="25729" xr:uid="{5109CB0F-BF79-4C0B-9242-E5582ADA9DBE}"/>
    <cellStyle name="Comma 4 2 6 11" xfId="17288" xr:uid="{531DB2BA-D1A8-4904-8541-64D61B6EF8D0}"/>
    <cellStyle name="Comma 4 2 6 12" xfId="8847" xr:uid="{6311A44F-DD01-4AE4-BEED-1A0557A6C6FB}"/>
    <cellStyle name="Comma 4 2 6 2" xfId="681" xr:uid="{00000000-0005-0000-0000-0000FA080000}"/>
    <cellStyle name="Comma 4 2 6 2 2" xfId="2952" xr:uid="{00000000-0005-0000-0000-0000FB080000}"/>
    <cellStyle name="Comma 4 2 6 2 2 2" xfId="7174" xr:uid="{00000000-0005-0000-0000-0000FC080000}"/>
    <cellStyle name="Comma 4 2 6 2 2 2 2" xfId="32506" xr:uid="{52F0FF89-F77E-4130-B401-68FB1467D4B2}"/>
    <cellStyle name="Comma 4 2 6 2 2 2 3" xfId="24065" xr:uid="{D5D109AC-EE34-4A97-97AB-3D834B4813C1}"/>
    <cellStyle name="Comma 4 2 6 2 2 2 4" xfId="15624" xr:uid="{2DACF6E5-F39D-4EC3-9D66-EDC12D24183E}"/>
    <cellStyle name="Comma 4 2 6 2 2 3" xfId="28288" xr:uid="{F25C01C4-AA84-4E6D-80BB-D1E9E56B3FC2}"/>
    <cellStyle name="Comma 4 2 6 2 2 4" xfId="19847" xr:uid="{742018E1-EAC3-4A3D-988C-33B145F1186A}"/>
    <cellStyle name="Comma 4 2 6 2 2 5" xfId="11406" xr:uid="{60F53A3C-590F-4DC2-BAB1-DCC2BFDAADE0}"/>
    <cellStyle name="Comma 4 2 6 2 3" xfId="5029" xr:uid="{00000000-0005-0000-0000-0000FD080000}"/>
    <cellStyle name="Comma 4 2 6 2 3 2" xfId="30361" xr:uid="{8043D9B5-7A81-4449-A4FE-1BA320EDDBC3}"/>
    <cellStyle name="Comma 4 2 6 2 3 3" xfId="21920" xr:uid="{30F315F6-A1F2-482C-AB52-B16E885FE53F}"/>
    <cellStyle name="Comma 4 2 6 2 3 4" xfId="13479" xr:uid="{CCAEEEDF-3555-4915-8E1F-BD11CA44CCCC}"/>
    <cellStyle name="Comma 4 2 6 2 4" xfId="26143" xr:uid="{F36CD057-A5C9-4F0D-8736-337F60BB45E3}"/>
    <cellStyle name="Comma 4 2 6 2 5" xfId="17702" xr:uid="{F590642F-0D97-4AB1-AE13-4D9CEF1F27BF}"/>
    <cellStyle name="Comma 4 2 6 2 6" xfId="9261" xr:uid="{2EBDD5F5-4C89-4B00-812A-9956650A1C2B}"/>
    <cellStyle name="Comma 4 2 6 3" xfId="1134" xr:uid="{00000000-0005-0000-0000-0000FE080000}"/>
    <cellStyle name="Comma 4 2 6 3 2" xfId="3365" xr:uid="{00000000-0005-0000-0000-0000FF080000}"/>
    <cellStyle name="Comma 4 2 6 3 2 2" xfId="7587" xr:uid="{00000000-0005-0000-0000-000000090000}"/>
    <cellStyle name="Comma 4 2 6 3 2 2 2" xfId="32919" xr:uid="{6DBE23C3-5556-42AE-8A09-244697CB9B09}"/>
    <cellStyle name="Comma 4 2 6 3 2 2 3" xfId="24478" xr:uid="{9953A498-8355-4D8E-AFEF-80986FB3385D}"/>
    <cellStyle name="Comma 4 2 6 3 2 2 4" xfId="16037" xr:uid="{9C70A2E2-8FEB-43DF-A5E4-C5993EE1DBAA}"/>
    <cellStyle name="Comma 4 2 6 3 2 3" xfId="28701" xr:uid="{841A6E04-0549-4652-B801-8932375B2CBD}"/>
    <cellStyle name="Comma 4 2 6 3 2 4" xfId="20260" xr:uid="{CAFD78E8-DB30-4B99-AC54-58EFC01C6885}"/>
    <cellStyle name="Comma 4 2 6 3 2 5" xfId="11819" xr:uid="{5A3B3A52-04F4-4B0E-B98F-50C71B265B60}"/>
    <cellStyle name="Comma 4 2 6 3 3" xfId="5442" xr:uid="{00000000-0005-0000-0000-000001090000}"/>
    <cellStyle name="Comma 4 2 6 3 3 2" xfId="30774" xr:uid="{CDFD5383-2104-4D25-A292-E5792CBBF060}"/>
    <cellStyle name="Comma 4 2 6 3 3 3" xfId="22333" xr:uid="{94B6B042-881F-4EEA-B4E1-FED45A1698A9}"/>
    <cellStyle name="Comma 4 2 6 3 3 4" xfId="13892" xr:uid="{529B8206-E585-4184-BB64-59FC2B0C1AD9}"/>
    <cellStyle name="Comma 4 2 6 3 4" xfId="26556" xr:uid="{840766E8-9747-4A3C-8186-5485BC9E43C0}"/>
    <cellStyle name="Comma 4 2 6 3 5" xfId="18115" xr:uid="{D90B73FE-1344-422D-8AD1-FFC5F66E2DEA}"/>
    <cellStyle name="Comma 4 2 6 3 6" xfId="9674" xr:uid="{B5E051CA-FED3-4DF4-9BEA-7A9C456BD9CE}"/>
    <cellStyle name="Comma 4 2 6 4" xfId="1548" xr:uid="{00000000-0005-0000-0000-000002090000}"/>
    <cellStyle name="Comma 4 2 6 4 2" xfId="3778" xr:uid="{00000000-0005-0000-0000-000003090000}"/>
    <cellStyle name="Comma 4 2 6 4 2 2" xfId="8000" xr:uid="{00000000-0005-0000-0000-000004090000}"/>
    <cellStyle name="Comma 4 2 6 4 2 2 2" xfId="33332" xr:uid="{D747DD22-A751-461F-84FB-939687AEC881}"/>
    <cellStyle name="Comma 4 2 6 4 2 2 3" xfId="24891" xr:uid="{9F2A829A-7B09-407E-9202-DB8A19AADE57}"/>
    <cellStyle name="Comma 4 2 6 4 2 2 4" xfId="16450" xr:uid="{53326519-8838-45A1-92BF-DDA3542B6BC2}"/>
    <cellStyle name="Comma 4 2 6 4 2 3" xfId="29114" xr:uid="{9ABCE5E0-A008-479C-ACA2-07C3233715EC}"/>
    <cellStyle name="Comma 4 2 6 4 2 4" xfId="20673" xr:uid="{D4374908-41FB-460D-B53C-7EC57EBD4128}"/>
    <cellStyle name="Comma 4 2 6 4 2 5" xfId="12232" xr:uid="{8935A5A9-7965-4FC5-AF8C-0300CC22A087}"/>
    <cellStyle name="Comma 4 2 6 4 3" xfId="5855" xr:uid="{00000000-0005-0000-0000-000005090000}"/>
    <cellStyle name="Comma 4 2 6 4 3 2" xfId="31187" xr:uid="{9D407123-71D8-4741-932E-5A946FBF7FF6}"/>
    <cellStyle name="Comma 4 2 6 4 3 3" xfId="22746" xr:uid="{A97D0D8D-3774-4F91-A04E-F083E3B7D124}"/>
    <cellStyle name="Comma 4 2 6 4 3 4" xfId="14305" xr:uid="{36460C9E-FFA2-438C-AE48-9F77911FFA42}"/>
    <cellStyle name="Comma 4 2 6 4 4" xfId="26969" xr:uid="{C2F258E1-5AF9-4DDE-8053-3C79D0AB0F00}"/>
    <cellStyle name="Comma 4 2 6 4 5" xfId="18528" xr:uid="{1063D381-5A9F-4EA2-BBBE-A672F4ACA736}"/>
    <cellStyle name="Comma 4 2 6 4 6" xfId="10087" xr:uid="{AE9C92E1-3257-4B43-9940-FE555FB2857D}"/>
    <cellStyle name="Comma 4 2 6 5" xfId="1962" xr:uid="{00000000-0005-0000-0000-000006090000}"/>
    <cellStyle name="Comma 4 2 6 5 2" xfId="4191" xr:uid="{00000000-0005-0000-0000-000007090000}"/>
    <cellStyle name="Comma 4 2 6 5 2 2" xfId="8413" xr:uid="{00000000-0005-0000-0000-000008090000}"/>
    <cellStyle name="Comma 4 2 6 5 2 2 2" xfId="33745" xr:uid="{2D0025E9-57D3-4678-997B-5FF874B51A6E}"/>
    <cellStyle name="Comma 4 2 6 5 2 2 3" xfId="25304" xr:uid="{4A1F113A-8F71-4FEB-9FA2-5A61462CC3F0}"/>
    <cellStyle name="Comma 4 2 6 5 2 2 4" xfId="16863" xr:uid="{EC9DA634-7E78-4054-9745-3101F194DA6E}"/>
    <cellStyle name="Comma 4 2 6 5 2 3" xfId="29527" xr:uid="{3A75DAF2-FFA1-4AB9-9D8F-6DF70A5E0B39}"/>
    <cellStyle name="Comma 4 2 6 5 2 4" xfId="21086" xr:uid="{4078D90A-D32D-4A5C-B179-C516F90896EE}"/>
    <cellStyle name="Comma 4 2 6 5 2 5" xfId="12645" xr:uid="{9604A08A-B1EA-4538-9BE2-3072577E594A}"/>
    <cellStyle name="Comma 4 2 6 5 3" xfId="6268" xr:uid="{00000000-0005-0000-0000-000009090000}"/>
    <cellStyle name="Comma 4 2 6 5 3 2" xfId="31600" xr:uid="{33DB0ED8-CEE7-4068-BC4D-8F4450FCC038}"/>
    <cellStyle name="Comma 4 2 6 5 3 3" xfId="23159" xr:uid="{724E309F-1085-41C8-B6CE-F23F2D167C74}"/>
    <cellStyle name="Comma 4 2 6 5 3 4" xfId="14718" xr:uid="{35D48FB2-CC67-44E2-8C74-952D78ECC243}"/>
    <cellStyle name="Comma 4 2 6 5 4" xfId="27382" xr:uid="{CCACABB7-069C-487A-B43B-956ABF880EF4}"/>
    <cellStyle name="Comma 4 2 6 5 5" xfId="18941" xr:uid="{702E557D-7FCB-444B-8F58-3894FC604D31}"/>
    <cellStyle name="Comma 4 2 6 5 6" xfId="10500" xr:uid="{4ED3095C-E7D1-4B21-BFA9-CD1ABC2755B9}"/>
    <cellStyle name="Comma 4 2 6 6" xfId="2397" xr:uid="{00000000-0005-0000-0000-00000A090000}"/>
    <cellStyle name="Comma 4 2 6 6 2" xfId="6681" xr:uid="{00000000-0005-0000-0000-00000B090000}"/>
    <cellStyle name="Comma 4 2 6 6 2 2" xfId="32013" xr:uid="{FD9E583D-FBB5-487F-AF17-00FDA80E9016}"/>
    <cellStyle name="Comma 4 2 6 6 2 3" xfId="23572" xr:uid="{AFA2DE98-2235-4BAE-B280-8486217EC789}"/>
    <cellStyle name="Comma 4 2 6 6 2 4" xfId="15131" xr:uid="{481E9A1B-9978-46FA-A0C7-8A53740FF51C}"/>
    <cellStyle name="Comma 4 2 6 6 3" xfId="27795" xr:uid="{543BB428-205B-4237-993B-C004218A78F3}"/>
    <cellStyle name="Comma 4 2 6 6 4" xfId="19354" xr:uid="{62EA0721-6650-4058-98E1-75578BC29F56}"/>
    <cellStyle name="Comma 4 2 6 6 5" xfId="10913" xr:uid="{D093458C-1C96-473C-AE50-8337FE31E3B5}"/>
    <cellStyle name="Comma 4 2 6 7" xfId="2366" xr:uid="{00000000-0005-0000-0000-00000C090000}"/>
    <cellStyle name="Comma 4 2 6 8" xfId="2775" xr:uid="{00000000-0005-0000-0000-00000D090000}"/>
    <cellStyle name="Comma 4 2 6 8 2" xfId="6998" xr:uid="{00000000-0005-0000-0000-00000E090000}"/>
    <cellStyle name="Comma 4 2 6 8 2 2" xfId="32330" xr:uid="{A6D0C53A-C971-41C5-946C-F9A5C0BBA585}"/>
    <cellStyle name="Comma 4 2 6 8 2 3" xfId="23889" xr:uid="{D39BE044-B143-4BAE-9410-6CEAF97A6D50}"/>
    <cellStyle name="Comma 4 2 6 8 2 4" xfId="15448" xr:uid="{607A5FFC-DA62-44E7-81A3-035782E91523}"/>
    <cellStyle name="Comma 4 2 6 8 3" xfId="28112" xr:uid="{02C52816-2F38-4329-B978-3C643D58B9EA}"/>
    <cellStyle name="Comma 4 2 6 8 4" xfId="19671" xr:uid="{9ADAA1FE-90CB-42DC-9D3A-2AC02CB7AFFB}"/>
    <cellStyle name="Comma 4 2 6 8 5" xfId="11230" xr:uid="{4F5F4778-9FA7-4312-88F6-2811D6AE69CC}"/>
    <cellStyle name="Comma 4 2 6 9" xfId="4615" xr:uid="{00000000-0005-0000-0000-00000F090000}"/>
    <cellStyle name="Comma 4 2 6 9 2" xfId="29947" xr:uid="{B28A6EAF-98A6-4280-9045-A5F3554254A3}"/>
    <cellStyle name="Comma 4 2 6 9 3" xfId="21506" xr:uid="{FA5C406B-5E09-4D3D-A043-A2D7F889ABDC}"/>
    <cellStyle name="Comma 4 2 6 9 4" xfId="13065" xr:uid="{1D302E84-9966-4F22-AC0D-BD2767E99C7F}"/>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0 2 2" xfId="32331" xr:uid="{04099045-D9F7-40C7-8DC2-CB00D8D786F8}"/>
    <cellStyle name="Comma 4 3 2 10 2 3" xfId="23890" xr:uid="{61BADFC1-E080-482B-92FF-BD50A9CBD6A9}"/>
    <cellStyle name="Comma 4 3 2 10 2 4" xfId="15449" xr:uid="{09DFFFB6-CCDA-4C3F-8A87-D5A60EA24F35}"/>
    <cellStyle name="Comma 4 3 2 10 3" xfId="28113" xr:uid="{75F916BB-10D0-48CA-B522-7410A4DCF5FD}"/>
    <cellStyle name="Comma 4 3 2 10 4" xfId="19672" xr:uid="{EDA2E2C7-5B3F-4E9D-BFFF-8093CE4FA5E9}"/>
    <cellStyle name="Comma 4 3 2 10 5" xfId="11231" xr:uid="{F6E8F015-C652-4A03-9DCE-1F6EFB175FEE}"/>
    <cellStyle name="Comma 4 3 2 11" xfId="4616" xr:uid="{00000000-0005-0000-0000-000014090000}"/>
    <cellStyle name="Comma 4 3 2 11 2" xfId="29948" xr:uid="{408FB756-457F-43D8-9460-B4BC7F3A8ADE}"/>
    <cellStyle name="Comma 4 3 2 11 3" xfId="21507" xr:uid="{C03AC989-F192-40D5-8F5C-A308FA9E1F0F}"/>
    <cellStyle name="Comma 4 3 2 11 4" xfId="13066" xr:uid="{5544A65F-BFE2-4756-958D-D86794357EB1}"/>
    <cellStyle name="Comma 4 3 2 12" xfId="25730" xr:uid="{A670DD78-708A-4AD7-ADEB-812559E6A246}"/>
    <cellStyle name="Comma 4 3 2 13" xfId="17289" xr:uid="{BF8C72A4-B3A6-49B6-892B-E07D54B18944}"/>
    <cellStyle name="Comma 4 3 2 14" xfId="8848" xr:uid="{C39A9B1C-BC56-4630-BC72-10169C9BB430}"/>
    <cellStyle name="Comma 4 3 2 2" xfId="146" xr:uid="{00000000-0005-0000-0000-000015090000}"/>
    <cellStyle name="Comma 4 3 2 2 10" xfId="4617" xr:uid="{00000000-0005-0000-0000-000016090000}"/>
    <cellStyle name="Comma 4 3 2 2 10 2" xfId="29949" xr:uid="{B48D956B-663B-42B7-9397-430483FC8366}"/>
    <cellStyle name="Comma 4 3 2 2 10 3" xfId="21508" xr:uid="{4D1B9EF2-0AED-4399-9F0E-81282323DB1C}"/>
    <cellStyle name="Comma 4 3 2 2 10 4" xfId="13067" xr:uid="{5639514F-BCA0-45F4-A319-BAC625799309}"/>
    <cellStyle name="Comma 4 3 2 2 11" xfId="25731" xr:uid="{792F17C4-B810-46D2-B7AA-EA30BC25C705}"/>
    <cellStyle name="Comma 4 3 2 2 12" xfId="17290" xr:uid="{9AB1CB84-F3FD-4C89-8DB3-6B8C863471E7}"/>
    <cellStyle name="Comma 4 3 2 2 13" xfId="8849" xr:uid="{C645412D-0C95-4E7E-B861-D7A6BF2253C4}"/>
    <cellStyle name="Comma 4 3 2 2 2" xfId="147" xr:uid="{00000000-0005-0000-0000-000017090000}"/>
    <cellStyle name="Comma 4 3 2 2 2 10" xfId="25732" xr:uid="{ABF607BD-1C35-432C-9572-EFDCCF2D2ACE}"/>
    <cellStyle name="Comma 4 3 2 2 2 11" xfId="17291" xr:uid="{DF808945-0222-4D0C-89E9-51EF93FC54E3}"/>
    <cellStyle name="Comma 4 3 2 2 2 12" xfId="8850" xr:uid="{DB0BCE66-28F9-4148-B6CA-D35DBD4916CD}"/>
    <cellStyle name="Comma 4 3 2 2 2 2" xfId="684" xr:uid="{00000000-0005-0000-0000-000018090000}"/>
    <cellStyle name="Comma 4 3 2 2 2 2 2" xfId="2955" xr:uid="{00000000-0005-0000-0000-000019090000}"/>
    <cellStyle name="Comma 4 3 2 2 2 2 2 2" xfId="7177" xr:uid="{00000000-0005-0000-0000-00001A090000}"/>
    <cellStyle name="Comma 4 3 2 2 2 2 2 2 2" xfId="32509" xr:uid="{3787A9A1-E436-4C9F-8EB8-7DD76F0D19EA}"/>
    <cellStyle name="Comma 4 3 2 2 2 2 2 2 3" xfId="24068" xr:uid="{5AE19170-4773-4689-9343-1F4788BD69BE}"/>
    <cellStyle name="Comma 4 3 2 2 2 2 2 2 4" xfId="15627" xr:uid="{9DB617FD-FBF2-4368-A5E4-2F11057F9EB4}"/>
    <cellStyle name="Comma 4 3 2 2 2 2 2 3" xfId="28291" xr:uid="{80553D89-7CAB-42AF-99C8-5A1AEA44B01A}"/>
    <cellStyle name="Comma 4 3 2 2 2 2 2 4" xfId="19850" xr:uid="{4AD16323-85D7-4B69-9E97-38F24DA2095F}"/>
    <cellStyle name="Comma 4 3 2 2 2 2 2 5" xfId="11409" xr:uid="{3ACA7345-4F27-418A-B17E-CA5FA38C06A5}"/>
    <cellStyle name="Comma 4 3 2 2 2 2 3" xfId="5032" xr:uid="{00000000-0005-0000-0000-00001B090000}"/>
    <cellStyle name="Comma 4 3 2 2 2 2 3 2" xfId="30364" xr:uid="{4E9ABD8A-CA56-48D7-961B-383D8197CBA8}"/>
    <cellStyle name="Comma 4 3 2 2 2 2 3 3" xfId="21923" xr:uid="{B790B9D6-CA03-478D-9C34-824EA9D0F70C}"/>
    <cellStyle name="Comma 4 3 2 2 2 2 3 4" xfId="13482" xr:uid="{ABA9351C-C8FF-4539-A0FA-864B8F045E85}"/>
    <cellStyle name="Comma 4 3 2 2 2 2 4" xfId="26146" xr:uid="{3CB8F746-CE6C-446A-87D2-0D836640E18B}"/>
    <cellStyle name="Comma 4 3 2 2 2 2 5" xfId="17705" xr:uid="{5E150D3E-690A-42D5-B1D0-914756EEB947}"/>
    <cellStyle name="Comma 4 3 2 2 2 2 6" xfId="9264" xr:uid="{46252059-DD78-42F7-B8FD-0F8626877C0B}"/>
    <cellStyle name="Comma 4 3 2 2 2 3" xfId="1137" xr:uid="{00000000-0005-0000-0000-00001C090000}"/>
    <cellStyle name="Comma 4 3 2 2 2 3 2" xfId="3368" xr:uid="{00000000-0005-0000-0000-00001D090000}"/>
    <cellStyle name="Comma 4 3 2 2 2 3 2 2" xfId="7590" xr:uid="{00000000-0005-0000-0000-00001E090000}"/>
    <cellStyle name="Comma 4 3 2 2 2 3 2 2 2" xfId="32922" xr:uid="{E943C443-A8D5-4679-BA82-598284190C9E}"/>
    <cellStyle name="Comma 4 3 2 2 2 3 2 2 3" xfId="24481" xr:uid="{0A6BDBD1-6FEA-45EF-B537-87685DAC6D91}"/>
    <cellStyle name="Comma 4 3 2 2 2 3 2 2 4" xfId="16040" xr:uid="{49428801-8E50-4E3B-B5B1-607CD9BA4CE1}"/>
    <cellStyle name="Comma 4 3 2 2 2 3 2 3" xfId="28704" xr:uid="{74DD8349-4A8A-4466-8CFC-E8756BDE81F9}"/>
    <cellStyle name="Comma 4 3 2 2 2 3 2 4" xfId="20263" xr:uid="{E84C7849-32C0-495F-AFCD-FB4D6694927D}"/>
    <cellStyle name="Comma 4 3 2 2 2 3 2 5" xfId="11822" xr:uid="{EA9CF8FD-9FEC-45A0-A137-75F08D495AB2}"/>
    <cellStyle name="Comma 4 3 2 2 2 3 3" xfId="5445" xr:uid="{00000000-0005-0000-0000-00001F090000}"/>
    <cellStyle name="Comma 4 3 2 2 2 3 3 2" xfId="30777" xr:uid="{F72125DD-E1D5-496F-9688-EF045455A115}"/>
    <cellStyle name="Comma 4 3 2 2 2 3 3 3" xfId="22336" xr:uid="{589AC23D-C55D-44CC-9BBE-CD8C9CC93056}"/>
    <cellStyle name="Comma 4 3 2 2 2 3 3 4" xfId="13895" xr:uid="{D283E04D-4F66-4CFB-AFA8-AAB9031CD85D}"/>
    <cellStyle name="Comma 4 3 2 2 2 3 4" xfId="26559" xr:uid="{E56909F7-4615-4D00-8BDD-1C35B0ECF3AE}"/>
    <cellStyle name="Comma 4 3 2 2 2 3 5" xfId="18118" xr:uid="{4F66DCC1-5156-4632-88F9-251F412DD1A2}"/>
    <cellStyle name="Comma 4 3 2 2 2 3 6" xfId="9677" xr:uid="{A6509D61-E385-465E-B12E-5608F1EFEE46}"/>
    <cellStyle name="Comma 4 3 2 2 2 4" xfId="1551" xr:uid="{00000000-0005-0000-0000-000020090000}"/>
    <cellStyle name="Comma 4 3 2 2 2 4 2" xfId="3781" xr:uid="{00000000-0005-0000-0000-000021090000}"/>
    <cellStyle name="Comma 4 3 2 2 2 4 2 2" xfId="8003" xr:uid="{00000000-0005-0000-0000-000022090000}"/>
    <cellStyle name="Comma 4 3 2 2 2 4 2 2 2" xfId="33335" xr:uid="{900C99CD-770C-4A93-BBE7-30B96E0AAB25}"/>
    <cellStyle name="Comma 4 3 2 2 2 4 2 2 3" xfId="24894" xr:uid="{026681EA-1C96-4889-806C-A44C6F79F214}"/>
    <cellStyle name="Comma 4 3 2 2 2 4 2 2 4" xfId="16453" xr:uid="{77C05318-4866-44F8-968F-440559F51EAA}"/>
    <cellStyle name="Comma 4 3 2 2 2 4 2 3" xfId="29117" xr:uid="{4A4A0EEE-C401-4114-AFE7-43AF8BE9C31C}"/>
    <cellStyle name="Comma 4 3 2 2 2 4 2 4" xfId="20676" xr:uid="{93A2A4F3-CC30-4632-861C-BA9208D0C586}"/>
    <cellStyle name="Comma 4 3 2 2 2 4 2 5" xfId="12235" xr:uid="{229B7015-88C6-4F71-AACC-DACD9418185C}"/>
    <cellStyle name="Comma 4 3 2 2 2 4 3" xfId="5858" xr:uid="{00000000-0005-0000-0000-000023090000}"/>
    <cellStyle name="Comma 4 3 2 2 2 4 3 2" xfId="31190" xr:uid="{0976F4AB-599E-4561-A93C-E3DE7EABC6A4}"/>
    <cellStyle name="Comma 4 3 2 2 2 4 3 3" xfId="22749" xr:uid="{AE2C216D-E833-411F-AA01-5EA7B46ECA4B}"/>
    <cellStyle name="Comma 4 3 2 2 2 4 3 4" xfId="14308" xr:uid="{910F2E12-678B-45DD-BC22-D89C3F9B99C0}"/>
    <cellStyle name="Comma 4 3 2 2 2 4 4" xfId="26972" xr:uid="{88972BC9-4476-47B9-8CE6-56DEB57D6B0E}"/>
    <cellStyle name="Comma 4 3 2 2 2 4 5" xfId="18531" xr:uid="{A04E67AE-F2C4-4667-91F7-6FD74116CAE3}"/>
    <cellStyle name="Comma 4 3 2 2 2 4 6" xfId="10090" xr:uid="{63B9FC0C-8209-47B7-88B3-80130E95BCBF}"/>
    <cellStyle name="Comma 4 3 2 2 2 5" xfId="1965" xr:uid="{00000000-0005-0000-0000-000024090000}"/>
    <cellStyle name="Comma 4 3 2 2 2 5 2" xfId="4194" xr:uid="{00000000-0005-0000-0000-000025090000}"/>
    <cellStyle name="Comma 4 3 2 2 2 5 2 2" xfId="8416" xr:uid="{00000000-0005-0000-0000-000026090000}"/>
    <cellStyle name="Comma 4 3 2 2 2 5 2 2 2" xfId="33748" xr:uid="{35C4BEAE-D66D-4EFB-83E0-A1ACD1485E65}"/>
    <cellStyle name="Comma 4 3 2 2 2 5 2 2 3" xfId="25307" xr:uid="{CD1576DD-6300-4D56-82D9-41C850E1EE95}"/>
    <cellStyle name="Comma 4 3 2 2 2 5 2 2 4" xfId="16866" xr:uid="{683DE4DE-496F-4021-BD06-0CA8AADE468C}"/>
    <cellStyle name="Comma 4 3 2 2 2 5 2 3" xfId="29530" xr:uid="{875D96C1-FEA7-4250-AA29-D2944CB6764C}"/>
    <cellStyle name="Comma 4 3 2 2 2 5 2 4" xfId="21089" xr:uid="{5C91C228-DC7F-4CAB-95ED-D83003224F97}"/>
    <cellStyle name="Comma 4 3 2 2 2 5 2 5" xfId="12648" xr:uid="{4D6E6463-D833-4944-9487-F48544D075D4}"/>
    <cellStyle name="Comma 4 3 2 2 2 5 3" xfId="6271" xr:uid="{00000000-0005-0000-0000-000027090000}"/>
    <cellStyle name="Comma 4 3 2 2 2 5 3 2" xfId="31603" xr:uid="{8DAF495D-CE3E-4E01-B064-0BA9B40B81CF}"/>
    <cellStyle name="Comma 4 3 2 2 2 5 3 3" xfId="23162" xr:uid="{A2716226-113F-4C7E-8F12-ABE6EE7CB1EA}"/>
    <cellStyle name="Comma 4 3 2 2 2 5 3 4" xfId="14721" xr:uid="{5FD7231A-8764-474D-B6BB-DC5004B052F8}"/>
    <cellStyle name="Comma 4 3 2 2 2 5 4" xfId="27385" xr:uid="{EA3CCDB6-F1CD-4B3D-93E9-AF430FD91887}"/>
    <cellStyle name="Comma 4 3 2 2 2 5 5" xfId="18944" xr:uid="{B1E516CC-D758-4097-8F37-485F0665F7BD}"/>
    <cellStyle name="Comma 4 3 2 2 2 5 6" xfId="10503" xr:uid="{C98FA4AF-1AEF-43F9-A799-050633DBAE1D}"/>
    <cellStyle name="Comma 4 3 2 2 2 6" xfId="2400" xr:uid="{00000000-0005-0000-0000-000028090000}"/>
    <cellStyle name="Comma 4 3 2 2 2 6 2" xfId="6684" xr:uid="{00000000-0005-0000-0000-000029090000}"/>
    <cellStyle name="Comma 4 3 2 2 2 6 2 2" xfId="32016" xr:uid="{421738C5-1A24-4CA2-B934-1A5E7D327FCF}"/>
    <cellStyle name="Comma 4 3 2 2 2 6 2 3" xfId="23575" xr:uid="{B5B5F259-6CED-4721-8A66-0201A68C8FC9}"/>
    <cellStyle name="Comma 4 3 2 2 2 6 2 4" xfId="15134" xr:uid="{B92CF640-97E5-41CC-A879-E6D6502A65DF}"/>
    <cellStyle name="Comma 4 3 2 2 2 6 3" xfId="27798" xr:uid="{56FECC09-078F-4493-8968-57FBD7604341}"/>
    <cellStyle name="Comma 4 3 2 2 2 6 4" xfId="19357" xr:uid="{F5B48C49-D4BA-4D20-9683-71CE44789348}"/>
    <cellStyle name="Comma 4 3 2 2 2 6 5" xfId="10916" xr:uid="{519477DA-8062-49C6-9D68-897900081FFD}"/>
    <cellStyle name="Comma 4 3 2 2 2 7" xfId="2363" xr:uid="{00000000-0005-0000-0000-00002A090000}"/>
    <cellStyle name="Comma 4 3 2 2 2 8" xfId="2778" xr:uid="{00000000-0005-0000-0000-00002B090000}"/>
    <cellStyle name="Comma 4 3 2 2 2 8 2" xfId="7001" xr:uid="{00000000-0005-0000-0000-00002C090000}"/>
    <cellStyle name="Comma 4 3 2 2 2 8 2 2" xfId="32333" xr:uid="{0023485A-8D56-4F44-88CC-7F5647A028A3}"/>
    <cellStyle name="Comma 4 3 2 2 2 8 2 3" xfId="23892" xr:uid="{32FA8812-DB37-4837-8839-13DC6BF84AAB}"/>
    <cellStyle name="Comma 4 3 2 2 2 8 2 4" xfId="15451" xr:uid="{097C26A9-943F-4AFE-A1AD-1ADD7BBF8542}"/>
    <cellStyle name="Comma 4 3 2 2 2 8 3" xfId="28115" xr:uid="{733B7ED1-9E20-467B-A7CF-B3278921D190}"/>
    <cellStyle name="Comma 4 3 2 2 2 8 4" xfId="19674" xr:uid="{B56AECE4-93E7-447F-9242-466B353B6CCB}"/>
    <cellStyle name="Comma 4 3 2 2 2 8 5" xfId="11233" xr:uid="{AE9B3229-798C-4CBD-945F-77507DE5D09A}"/>
    <cellStyle name="Comma 4 3 2 2 2 9" xfId="4618" xr:uid="{00000000-0005-0000-0000-00002D090000}"/>
    <cellStyle name="Comma 4 3 2 2 2 9 2" xfId="29950" xr:uid="{1BDC6DF8-D596-44E3-AF95-497D000D2A52}"/>
    <cellStyle name="Comma 4 3 2 2 2 9 3" xfId="21509" xr:uid="{C357943C-D504-4D44-80CA-B7BAD0DB9A0C}"/>
    <cellStyle name="Comma 4 3 2 2 2 9 4" xfId="13068" xr:uid="{D2558948-A2E9-4954-B7B3-3E1911D20753}"/>
    <cellStyle name="Comma 4 3 2 2 3" xfId="683" xr:uid="{00000000-0005-0000-0000-00002E090000}"/>
    <cellStyle name="Comma 4 3 2 2 3 2" xfId="2954" xr:uid="{00000000-0005-0000-0000-00002F090000}"/>
    <cellStyle name="Comma 4 3 2 2 3 2 2" xfId="7176" xr:uid="{00000000-0005-0000-0000-000030090000}"/>
    <cellStyle name="Comma 4 3 2 2 3 2 2 2" xfId="32508" xr:uid="{75209A3B-D594-4135-9698-91CB7964B9E7}"/>
    <cellStyle name="Comma 4 3 2 2 3 2 2 3" xfId="24067" xr:uid="{788FCF4D-39FF-473A-850D-ABBC56A3457D}"/>
    <cellStyle name="Comma 4 3 2 2 3 2 2 4" xfId="15626" xr:uid="{42EA4772-9CB0-4EDA-AFDA-3E896B0F6E0C}"/>
    <cellStyle name="Comma 4 3 2 2 3 2 3" xfId="28290" xr:uid="{6117B003-2572-449B-A32E-B49482F3614B}"/>
    <cellStyle name="Comma 4 3 2 2 3 2 4" xfId="19849" xr:uid="{C5135FD3-9FDB-4C52-91C6-7DB17F80F71E}"/>
    <cellStyle name="Comma 4 3 2 2 3 2 5" xfId="11408" xr:uid="{E232B251-2DDB-47DD-9669-AFD48C699398}"/>
    <cellStyle name="Comma 4 3 2 2 3 3" xfId="5031" xr:uid="{00000000-0005-0000-0000-000031090000}"/>
    <cellStyle name="Comma 4 3 2 2 3 3 2" xfId="30363" xr:uid="{B3020F22-8A61-4240-9E0C-C7F22948D74A}"/>
    <cellStyle name="Comma 4 3 2 2 3 3 3" xfId="21922" xr:uid="{8EA39CB7-A4AB-40BA-871C-F8878D39778C}"/>
    <cellStyle name="Comma 4 3 2 2 3 3 4" xfId="13481" xr:uid="{E8B22598-3FDB-4074-BD3F-2CB94D2CBAFA}"/>
    <cellStyle name="Comma 4 3 2 2 3 4" xfId="26145" xr:uid="{877727F8-3085-46DE-B425-0A71D2BA671E}"/>
    <cellStyle name="Comma 4 3 2 2 3 5" xfId="17704" xr:uid="{D8EC429F-A472-4839-AA4B-98F6A903F1A6}"/>
    <cellStyle name="Comma 4 3 2 2 3 6" xfId="9263" xr:uid="{3E51C931-7467-47F0-B3AC-694292572556}"/>
    <cellStyle name="Comma 4 3 2 2 4" xfId="1136" xr:uid="{00000000-0005-0000-0000-000032090000}"/>
    <cellStyle name="Comma 4 3 2 2 4 2" xfId="3367" xr:uid="{00000000-0005-0000-0000-000033090000}"/>
    <cellStyle name="Comma 4 3 2 2 4 2 2" xfId="7589" xr:uid="{00000000-0005-0000-0000-000034090000}"/>
    <cellStyle name="Comma 4 3 2 2 4 2 2 2" xfId="32921" xr:uid="{39E676BD-CF7F-48D2-9F1E-F3856CCE1C55}"/>
    <cellStyle name="Comma 4 3 2 2 4 2 2 3" xfId="24480" xr:uid="{5D0F72AC-3C7F-41DA-A079-86A9F77668D9}"/>
    <cellStyle name="Comma 4 3 2 2 4 2 2 4" xfId="16039" xr:uid="{5DA94EAC-75F1-4DA1-BF8D-9524C39DD62F}"/>
    <cellStyle name="Comma 4 3 2 2 4 2 3" xfId="28703" xr:uid="{3BA26A33-BEC2-45D8-A416-83EFEBFA0AAC}"/>
    <cellStyle name="Comma 4 3 2 2 4 2 4" xfId="20262" xr:uid="{EF4CDB01-7ECD-457D-96A4-61E3FD0B2387}"/>
    <cellStyle name="Comma 4 3 2 2 4 2 5" xfId="11821" xr:uid="{5A808FDE-DA1E-4667-B81D-C29BA46BFDB1}"/>
    <cellStyle name="Comma 4 3 2 2 4 3" xfId="5444" xr:uid="{00000000-0005-0000-0000-000035090000}"/>
    <cellStyle name="Comma 4 3 2 2 4 3 2" xfId="30776" xr:uid="{F26DBAAC-0A48-4D2D-AA96-97E211AFBC88}"/>
    <cellStyle name="Comma 4 3 2 2 4 3 3" xfId="22335" xr:uid="{9B56B30A-D434-43BC-A1F9-EBE21FC79CAC}"/>
    <cellStyle name="Comma 4 3 2 2 4 3 4" xfId="13894" xr:uid="{A7C65D2A-A946-4118-B6F6-64EE8F2239AB}"/>
    <cellStyle name="Comma 4 3 2 2 4 4" xfId="26558" xr:uid="{A2F6B92B-D122-4E60-8FF9-5D757B4A96D5}"/>
    <cellStyle name="Comma 4 3 2 2 4 5" xfId="18117" xr:uid="{4F33EFF0-0BC9-481C-BEEC-53FCF711E562}"/>
    <cellStyle name="Comma 4 3 2 2 4 6" xfId="9676" xr:uid="{A95DF1C2-8F13-497C-8F44-A07B285FDD6A}"/>
    <cellStyle name="Comma 4 3 2 2 5" xfId="1550" xr:uid="{00000000-0005-0000-0000-000036090000}"/>
    <cellStyle name="Comma 4 3 2 2 5 2" xfId="3780" xr:uid="{00000000-0005-0000-0000-000037090000}"/>
    <cellStyle name="Comma 4 3 2 2 5 2 2" xfId="8002" xr:uid="{00000000-0005-0000-0000-000038090000}"/>
    <cellStyle name="Comma 4 3 2 2 5 2 2 2" xfId="33334" xr:uid="{972A4997-8627-494D-AD16-07468C075414}"/>
    <cellStyle name="Comma 4 3 2 2 5 2 2 3" xfId="24893" xr:uid="{6CEBB827-202B-4DAF-8AFD-B646EC91E43F}"/>
    <cellStyle name="Comma 4 3 2 2 5 2 2 4" xfId="16452" xr:uid="{BCDF024E-CBE4-4C20-8313-5B7CC81AD208}"/>
    <cellStyle name="Comma 4 3 2 2 5 2 3" xfId="29116" xr:uid="{26CA018D-21C4-48A7-B83E-66403592CEAB}"/>
    <cellStyle name="Comma 4 3 2 2 5 2 4" xfId="20675" xr:uid="{09E4906B-AA3D-4364-A981-B93229CF6DA8}"/>
    <cellStyle name="Comma 4 3 2 2 5 2 5" xfId="12234" xr:uid="{CCF5F17B-BBC9-4067-8965-5583CCB10492}"/>
    <cellStyle name="Comma 4 3 2 2 5 3" xfId="5857" xr:uid="{00000000-0005-0000-0000-000039090000}"/>
    <cellStyle name="Comma 4 3 2 2 5 3 2" xfId="31189" xr:uid="{DCDFC133-6CFA-4790-9639-47EE695C4C0C}"/>
    <cellStyle name="Comma 4 3 2 2 5 3 3" xfId="22748" xr:uid="{B600A127-F9C9-42C2-973E-F4CC877BDF13}"/>
    <cellStyle name="Comma 4 3 2 2 5 3 4" xfId="14307" xr:uid="{70BFDD63-F9DF-4279-9EBB-265949B01F1B}"/>
    <cellStyle name="Comma 4 3 2 2 5 4" xfId="26971" xr:uid="{6A4A510E-C05C-4797-BFD9-F1389CDAB56E}"/>
    <cellStyle name="Comma 4 3 2 2 5 5" xfId="18530" xr:uid="{829BAC1B-D87B-4F39-979B-AD8D29F373FF}"/>
    <cellStyle name="Comma 4 3 2 2 5 6" xfId="10089" xr:uid="{5BBE458A-BF7A-41F0-997F-9B682A4EBAC7}"/>
    <cellStyle name="Comma 4 3 2 2 6" xfId="1964" xr:uid="{00000000-0005-0000-0000-00003A090000}"/>
    <cellStyle name="Comma 4 3 2 2 6 2" xfId="4193" xr:uid="{00000000-0005-0000-0000-00003B090000}"/>
    <cellStyle name="Comma 4 3 2 2 6 2 2" xfId="8415" xr:uid="{00000000-0005-0000-0000-00003C090000}"/>
    <cellStyle name="Comma 4 3 2 2 6 2 2 2" xfId="33747" xr:uid="{D8A48C25-CB85-419D-8FCD-D64388A11E74}"/>
    <cellStyle name="Comma 4 3 2 2 6 2 2 3" xfId="25306" xr:uid="{2E87425A-521D-4BC6-8399-041EBC1F86DB}"/>
    <cellStyle name="Comma 4 3 2 2 6 2 2 4" xfId="16865" xr:uid="{ADE97405-67F9-416C-8EB9-336DA11EAC8F}"/>
    <cellStyle name="Comma 4 3 2 2 6 2 3" xfId="29529" xr:uid="{DB23B17C-DDD1-43BA-96DD-A664A17E85B2}"/>
    <cellStyle name="Comma 4 3 2 2 6 2 4" xfId="21088" xr:uid="{7FBE381F-1AA9-4A02-972A-621F05DDC7BA}"/>
    <cellStyle name="Comma 4 3 2 2 6 2 5" xfId="12647" xr:uid="{53D4489D-E4B8-41D2-ADFA-383742458880}"/>
    <cellStyle name="Comma 4 3 2 2 6 3" xfId="6270" xr:uid="{00000000-0005-0000-0000-00003D090000}"/>
    <cellStyle name="Comma 4 3 2 2 6 3 2" xfId="31602" xr:uid="{A19CB0C9-2F8B-4BA2-8AD1-CF6E3AC6DBD2}"/>
    <cellStyle name="Comma 4 3 2 2 6 3 3" xfId="23161" xr:uid="{065AD313-66AC-41AB-9336-CBD55C8841D3}"/>
    <cellStyle name="Comma 4 3 2 2 6 3 4" xfId="14720" xr:uid="{C28B4DB6-1940-404C-995E-93A300D214D4}"/>
    <cellStyle name="Comma 4 3 2 2 6 4" xfId="27384" xr:uid="{C7915CB3-BD5E-4D10-B75D-CFA1F67C10CB}"/>
    <cellStyle name="Comma 4 3 2 2 6 5" xfId="18943" xr:uid="{1B26D005-1A1D-456B-B21C-30C724E707F9}"/>
    <cellStyle name="Comma 4 3 2 2 6 6" xfId="10502" xr:uid="{8B27DADF-0B5F-4C11-9551-6C1FD806D942}"/>
    <cellStyle name="Comma 4 3 2 2 7" xfId="2399" xr:uid="{00000000-0005-0000-0000-00003E090000}"/>
    <cellStyle name="Comma 4 3 2 2 7 2" xfId="6683" xr:uid="{00000000-0005-0000-0000-00003F090000}"/>
    <cellStyle name="Comma 4 3 2 2 7 2 2" xfId="32015" xr:uid="{B03BE59C-22DC-4EA9-80BC-90771265383D}"/>
    <cellStyle name="Comma 4 3 2 2 7 2 3" xfId="23574" xr:uid="{F4D00A71-19F7-4CF0-BFC1-1BBB3C5C4254}"/>
    <cellStyle name="Comma 4 3 2 2 7 2 4" xfId="15133" xr:uid="{7ACAE121-F749-462A-9106-4F11410A5767}"/>
    <cellStyle name="Comma 4 3 2 2 7 3" xfId="27797" xr:uid="{D377D95B-3DC3-4C7B-9AD9-BD333C5E30C1}"/>
    <cellStyle name="Comma 4 3 2 2 7 4" xfId="19356" xr:uid="{05E239FE-89BC-423D-BBD8-811C06EF2C07}"/>
    <cellStyle name="Comma 4 3 2 2 7 5" xfId="10915" xr:uid="{2C933FAD-C0B6-44F2-802A-E403A76DBC22}"/>
    <cellStyle name="Comma 4 3 2 2 8" xfId="2364" xr:uid="{00000000-0005-0000-0000-000040090000}"/>
    <cellStyle name="Comma 4 3 2 2 9" xfId="2777" xr:uid="{00000000-0005-0000-0000-000041090000}"/>
    <cellStyle name="Comma 4 3 2 2 9 2" xfId="7000" xr:uid="{00000000-0005-0000-0000-000042090000}"/>
    <cellStyle name="Comma 4 3 2 2 9 2 2" xfId="32332" xr:uid="{4F4CC522-5D66-420C-BBDE-370AEA2C75D0}"/>
    <cellStyle name="Comma 4 3 2 2 9 2 3" xfId="23891" xr:uid="{522507F8-036D-4E4F-8B9C-2A6FB74709DB}"/>
    <cellStyle name="Comma 4 3 2 2 9 2 4" xfId="15450" xr:uid="{0D802B0C-77C1-4D7E-82DD-66ECDC9E40EF}"/>
    <cellStyle name="Comma 4 3 2 2 9 3" xfId="28114" xr:uid="{23A4AF14-9E45-4A9A-8883-57351B079963}"/>
    <cellStyle name="Comma 4 3 2 2 9 4" xfId="19673" xr:uid="{DF501EC7-3099-4FEE-A786-E316DAE525F0}"/>
    <cellStyle name="Comma 4 3 2 2 9 5" xfId="11232" xr:uid="{6E4668B9-FDD5-4B7D-8AC6-6E2264E24EB1}"/>
    <cellStyle name="Comma 4 3 2 3" xfId="148" xr:uid="{00000000-0005-0000-0000-000043090000}"/>
    <cellStyle name="Comma 4 3 2 3 10" xfId="25733" xr:uid="{B88A0BE3-C992-43CA-846E-92AE5E90135F}"/>
    <cellStyle name="Comma 4 3 2 3 11" xfId="17292" xr:uid="{C4A81563-2C23-4E78-9DF6-8B84639F9D0A}"/>
    <cellStyle name="Comma 4 3 2 3 12" xfId="8851" xr:uid="{9732CD91-84FE-43CF-9A78-0289B63BA27E}"/>
    <cellStyle name="Comma 4 3 2 3 2" xfId="685" xr:uid="{00000000-0005-0000-0000-000044090000}"/>
    <cellStyle name="Comma 4 3 2 3 2 2" xfId="2956" xr:uid="{00000000-0005-0000-0000-000045090000}"/>
    <cellStyle name="Comma 4 3 2 3 2 2 2" xfId="7178" xr:uid="{00000000-0005-0000-0000-000046090000}"/>
    <cellStyle name="Comma 4 3 2 3 2 2 2 2" xfId="32510" xr:uid="{F6B1BE70-B01A-407A-956A-A9F780BE8B26}"/>
    <cellStyle name="Comma 4 3 2 3 2 2 2 3" xfId="24069" xr:uid="{AEC048B2-882E-4FF6-A4C2-FC5FD0C1DB2F}"/>
    <cellStyle name="Comma 4 3 2 3 2 2 2 4" xfId="15628" xr:uid="{9E613249-E49D-424E-852E-468B22D4DE49}"/>
    <cellStyle name="Comma 4 3 2 3 2 2 3" xfId="28292" xr:uid="{3E52969C-F062-4A2D-A1CF-3B0B218FA6BB}"/>
    <cellStyle name="Comma 4 3 2 3 2 2 4" xfId="19851" xr:uid="{F1C86F97-A3BD-4357-A668-631E57D7B59A}"/>
    <cellStyle name="Comma 4 3 2 3 2 2 5" xfId="11410" xr:uid="{1464B738-EBAD-4DDE-869B-EA18DCD98793}"/>
    <cellStyle name="Comma 4 3 2 3 2 3" xfId="5033" xr:uid="{00000000-0005-0000-0000-000047090000}"/>
    <cellStyle name="Comma 4 3 2 3 2 3 2" xfId="30365" xr:uid="{234BA25F-B7F4-4C75-A53B-F2C1F0F4F309}"/>
    <cellStyle name="Comma 4 3 2 3 2 3 3" xfId="21924" xr:uid="{E947055F-DC3A-4E05-818F-C805C5B477C9}"/>
    <cellStyle name="Comma 4 3 2 3 2 3 4" xfId="13483" xr:uid="{09AFEBB6-008E-4717-9D5B-23DE9F0F2547}"/>
    <cellStyle name="Comma 4 3 2 3 2 4" xfId="26147" xr:uid="{EF0254DA-B881-4E4A-B72D-0325D812D34D}"/>
    <cellStyle name="Comma 4 3 2 3 2 5" xfId="17706" xr:uid="{73C5CD5A-99F6-4D65-B7BA-2ED889996D9E}"/>
    <cellStyle name="Comma 4 3 2 3 2 6" xfId="9265" xr:uid="{DF35D854-0906-4272-BFD1-5BECB1263765}"/>
    <cellStyle name="Comma 4 3 2 3 3" xfId="1138" xr:uid="{00000000-0005-0000-0000-000048090000}"/>
    <cellStyle name="Comma 4 3 2 3 3 2" xfId="3369" xr:uid="{00000000-0005-0000-0000-000049090000}"/>
    <cellStyle name="Comma 4 3 2 3 3 2 2" xfId="7591" xr:uid="{00000000-0005-0000-0000-00004A090000}"/>
    <cellStyle name="Comma 4 3 2 3 3 2 2 2" xfId="32923" xr:uid="{064141E8-A258-473A-BF5E-EE2D8BAC348D}"/>
    <cellStyle name="Comma 4 3 2 3 3 2 2 3" xfId="24482" xr:uid="{942FF7ED-AC08-4421-82E4-0A481A064DC6}"/>
    <cellStyle name="Comma 4 3 2 3 3 2 2 4" xfId="16041" xr:uid="{CBEEBDC5-46ED-4D70-AE38-53870D642468}"/>
    <cellStyle name="Comma 4 3 2 3 3 2 3" xfId="28705" xr:uid="{E0354DE1-D25C-4746-85A8-36A8540B562F}"/>
    <cellStyle name="Comma 4 3 2 3 3 2 4" xfId="20264" xr:uid="{3DEF9C1E-86A0-458C-97A9-C3DA97B1951F}"/>
    <cellStyle name="Comma 4 3 2 3 3 2 5" xfId="11823" xr:uid="{FA523C8E-61D2-4626-ABA6-41A68D20F8E6}"/>
    <cellStyle name="Comma 4 3 2 3 3 3" xfId="5446" xr:uid="{00000000-0005-0000-0000-00004B090000}"/>
    <cellStyle name="Comma 4 3 2 3 3 3 2" xfId="30778" xr:uid="{A2B031ED-29DB-4C96-A1C9-67E6285B5938}"/>
    <cellStyle name="Comma 4 3 2 3 3 3 3" xfId="22337" xr:uid="{571F8B6A-9CE3-402A-A925-F88A500DB073}"/>
    <cellStyle name="Comma 4 3 2 3 3 3 4" xfId="13896" xr:uid="{39439164-3363-48D6-BF5E-940F244A4BED}"/>
    <cellStyle name="Comma 4 3 2 3 3 4" xfId="26560" xr:uid="{E36AE03C-0602-4880-9B50-DA9CCF830160}"/>
    <cellStyle name="Comma 4 3 2 3 3 5" xfId="18119" xr:uid="{E69C7EBA-A051-4099-80E6-542B2F945515}"/>
    <cellStyle name="Comma 4 3 2 3 3 6" xfId="9678" xr:uid="{B7627F2E-94BD-4B84-9A3E-5C07EFAAD684}"/>
    <cellStyle name="Comma 4 3 2 3 4" xfId="1552" xr:uid="{00000000-0005-0000-0000-00004C090000}"/>
    <cellStyle name="Comma 4 3 2 3 4 2" xfId="3782" xr:uid="{00000000-0005-0000-0000-00004D090000}"/>
    <cellStyle name="Comma 4 3 2 3 4 2 2" xfId="8004" xr:uid="{00000000-0005-0000-0000-00004E090000}"/>
    <cellStyle name="Comma 4 3 2 3 4 2 2 2" xfId="33336" xr:uid="{C5C3743D-5CA4-4C99-A6E9-EB7C3E002378}"/>
    <cellStyle name="Comma 4 3 2 3 4 2 2 3" xfId="24895" xr:uid="{73C33948-27AE-4E09-A96F-165F89560CE4}"/>
    <cellStyle name="Comma 4 3 2 3 4 2 2 4" xfId="16454" xr:uid="{C088FBAF-3402-4356-93F5-9E95E195B829}"/>
    <cellStyle name="Comma 4 3 2 3 4 2 3" xfId="29118" xr:uid="{2E57A80C-22A2-4DB9-B0E3-0A7F84E5C2EC}"/>
    <cellStyle name="Comma 4 3 2 3 4 2 4" xfId="20677" xr:uid="{5844D2A5-1A0C-4F9F-82E6-8EDF586EBA14}"/>
    <cellStyle name="Comma 4 3 2 3 4 2 5" xfId="12236" xr:uid="{A5073D96-C8E5-46FE-B6B7-05D6E9AD4005}"/>
    <cellStyle name="Comma 4 3 2 3 4 3" xfId="5859" xr:uid="{00000000-0005-0000-0000-00004F090000}"/>
    <cellStyle name="Comma 4 3 2 3 4 3 2" xfId="31191" xr:uid="{CD88DD39-43E5-4583-8BF0-35BF0FB26801}"/>
    <cellStyle name="Comma 4 3 2 3 4 3 3" xfId="22750" xr:uid="{69FBDF51-F864-4416-9E77-8877CDE87FB9}"/>
    <cellStyle name="Comma 4 3 2 3 4 3 4" xfId="14309" xr:uid="{DC8EBE47-2CB4-47CB-B103-3B6836A8EA06}"/>
    <cellStyle name="Comma 4 3 2 3 4 4" xfId="26973" xr:uid="{F32D661E-B162-495C-A4C6-7BD9E04B9B86}"/>
    <cellStyle name="Comma 4 3 2 3 4 5" xfId="18532" xr:uid="{EDAC56EB-997B-48B5-AAA6-F6CDB21B390F}"/>
    <cellStyle name="Comma 4 3 2 3 4 6" xfId="10091" xr:uid="{A4868C1A-B7C6-4F18-8922-CBEDE17627E9}"/>
    <cellStyle name="Comma 4 3 2 3 5" xfId="1966" xr:uid="{00000000-0005-0000-0000-000050090000}"/>
    <cellStyle name="Comma 4 3 2 3 5 2" xfId="4195" xr:uid="{00000000-0005-0000-0000-000051090000}"/>
    <cellStyle name="Comma 4 3 2 3 5 2 2" xfId="8417" xr:uid="{00000000-0005-0000-0000-000052090000}"/>
    <cellStyle name="Comma 4 3 2 3 5 2 2 2" xfId="33749" xr:uid="{0C3149E8-ECE1-4710-A454-A34887427F02}"/>
    <cellStyle name="Comma 4 3 2 3 5 2 2 3" xfId="25308" xr:uid="{B534E131-25AE-4A1C-AAD3-EEA097B6B460}"/>
    <cellStyle name="Comma 4 3 2 3 5 2 2 4" xfId="16867" xr:uid="{FDD8373E-EBC2-4F15-ACF7-E925A8EBFE5F}"/>
    <cellStyle name="Comma 4 3 2 3 5 2 3" xfId="29531" xr:uid="{77DDC9CB-A41E-4F0D-8182-2B4F92F25405}"/>
    <cellStyle name="Comma 4 3 2 3 5 2 4" xfId="21090" xr:uid="{BEF885C8-CC43-43A0-B033-182DBAB7570E}"/>
    <cellStyle name="Comma 4 3 2 3 5 2 5" xfId="12649" xr:uid="{8D8DE4C9-A0AC-4AAD-92EF-365816FA5BB0}"/>
    <cellStyle name="Comma 4 3 2 3 5 3" xfId="6272" xr:uid="{00000000-0005-0000-0000-000053090000}"/>
    <cellStyle name="Comma 4 3 2 3 5 3 2" xfId="31604" xr:uid="{6EE7B802-39C1-40B7-BCD3-D5CE0D16544E}"/>
    <cellStyle name="Comma 4 3 2 3 5 3 3" xfId="23163" xr:uid="{DECBB836-1032-4C60-A84F-0570443273BA}"/>
    <cellStyle name="Comma 4 3 2 3 5 3 4" xfId="14722" xr:uid="{D46C755F-AE0E-4317-BA64-B3D4E1D3F6DA}"/>
    <cellStyle name="Comma 4 3 2 3 5 4" xfId="27386" xr:uid="{CEDB29BD-BD44-4FD1-85CA-90EC626D5174}"/>
    <cellStyle name="Comma 4 3 2 3 5 5" xfId="18945" xr:uid="{709BCEB8-5DDA-4FA1-889C-3E045C2E9A04}"/>
    <cellStyle name="Comma 4 3 2 3 5 6" xfId="10504" xr:uid="{DD6111E2-0C76-4C0A-9639-FB4967FCBBB0}"/>
    <cellStyle name="Comma 4 3 2 3 6" xfId="2401" xr:uid="{00000000-0005-0000-0000-000054090000}"/>
    <cellStyle name="Comma 4 3 2 3 6 2" xfId="6685" xr:uid="{00000000-0005-0000-0000-000055090000}"/>
    <cellStyle name="Comma 4 3 2 3 6 2 2" xfId="32017" xr:uid="{5CBB4036-7E33-4719-9C24-8EC9C1385AC5}"/>
    <cellStyle name="Comma 4 3 2 3 6 2 3" xfId="23576" xr:uid="{B607E350-D346-4C8D-AB83-8101BAF14AA9}"/>
    <cellStyle name="Comma 4 3 2 3 6 2 4" xfId="15135" xr:uid="{22EFC202-8197-4B09-996E-440F0580D8C0}"/>
    <cellStyle name="Comma 4 3 2 3 6 3" xfId="27799" xr:uid="{9F19D95B-D72C-49A6-9FFB-582C3AA48B6B}"/>
    <cellStyle name="Comma 4 3 2 3 6 4" xfId="19358" xr:uid="{2FA9747B-5D47-4C32-828B-4FE45C6A7A1B}"/>
    <cellStyle name="Comma 4 3 2 3 6 5" xfId="10917" xr:uid="{DDEEA3D5-BFB2-4E41-ACD8-4DE5DFB314CC}"/>
    <cellStyle name="Comma 4 3 2 3 7" xfId="2362" xr:uid="{00000000-0005-0000-0000-000056090000}"/>
    <cellStyle name="Comma 4 3 2 3 8" xfId="2779" xr:uid="{00000000-0005-0000-0000-000057090000}"/>
    <cellStyle name="Comma 4 3 2 3 8 2" xfId="7002" xr:uid="{00000000-0005-0000-0000-000058090000}"/>
    <cellStyle name="Comma 4 3 2 3 8 2 2" xfId="32334" xr:uid="{3F5102CA-56B1-4107-A5FC-43E2D8F5792D}"/>
    <cellStyle name="Comma 4 3 2 3 8 2 3" xfId="23893" xr:uid="{60F22C61-00EA-4E04-8CA9-308CE28B727A}"/>
    <cellStyle name="Comma 4 3 2 3 8 2 4" xfId="15452" xr:uid="{1C6F0757-5300-4C8B-B4F4-FA4C247CDA6A}"/>
    <cellStyle name="Comma 4 3 2 3 8 3" xfId="28116" xr:uid="{D02B1237-6DD5-4DDA-B9F6-FE15443500A8}"/>
    <cellStyle name="Comma 4 3 2 3 8 4" xfId="19675" xr:uid="{72C1E502-FE65-47B9-8098-1DCA82EB24B1}"/>
    <cellStyle name="Comma 4 3 2 3 8 5" xfId="11234" xr:uid="{EA5166F9-9E3C-46EA-BFB0-93D83A74D633}"/>
    <cellStyle name="Comma 4 3 2 3 9" xfId="4619" xr:uid="{00000000-0005-0000-0000-000059090000}"/>
    <cellStyle name="Comma 4 3 2 3 9 2" xfId="29951" xr:uid="{D4E5439D-269D-4FC0-A198-74B358F17E27}"/>
    <cellStyle name="Comma 4 3 2 3 9 3" xfId="21510" xr:uid="{84711C95-BFB2-4C3A-85C1-4D50093D880A}"/>
    <cellStyle name="Comma 4 3 2 3 9 4" xfId="13069" xr:uid="{2302F3FC-D78D-48BD-A456-3E6EBBDA9DC2}"/>
    <cellStyle name="Comma 4 3 2 4" xfId="682" xr:uid="{00000000-0005-0000-0000-00005A090000}"/>
    <cellStyle name="Comma 4 3 2 4 2" xfId="2953" xr:uid="{00000000-0005-0000-0000-00005B090000}"/>
    <cellStyle name="Comma 4 3 2 4 2 2" xfId="7175" xr:uid="{00000000-0005-0000-0000-00005C090000}"/>
    <cellStyle name="Comma 4 3 2 4 2 2 2" xfId="32507" xr:uid="{5541ABDB-DF5B-4291-A64C-3C3954BB807C}"/>
    <cellStyle name="Comma 4 3 2 4 2 2 3" xfId="24066" xr:uid="{CF994CDD-D2E7-4743-8174-0365B3FA1672}"/>
    <cellStyle name="Comma 4 3 2 4 2 2 4" xfId="15625" xr:uid="{CF3FF076-6DD8-4CE2-A3C9-8DDCB4E82720}"/>
    <cellStyle name="Comma 4 3 2 4 2 3" xfId="28289" xr:uid="{E1BAB9BC-5F08-4CCA-88D1-5549D9709A8A}"/>
    <cellStyle name="Comma 4 3 2 4 2 4" xfId="19848" xr:uid="{EA873F72-3EE4-4F0C-A365-BEF6B3AC9D38}"/>
    <cellStyle name="Comma 4 3 2 4 2 5" xfId="11407" xr:uid="{D14D300C-6CE1-49E0-93D9-1FC11FB41904}"/>
    <cellStyle name="Comma 4 3 2 4 3" xfId="5030" xr:uid="{00000000-0005-0000-0000-00005D090000}"/>
    <cellStyle name="Comma 4 3 2 4 3 2" xfId="30362" xr:uid="{26BB74A2-B90F-4EFD-9A30-D0E0F90B8355}"/>
    <cellStyle name="Comma 4 3 2 4 3 3" xfId="21921" xr:uid="{93BE8843-25FD-465E-BA64-1FE729150F6C}"/>
    <cellStyle name="Comma 4 3 2 4 3 4" xfId="13480" xr:uid="{B6D400D9-CC26-49FC-B101-BD313630FD17}"/>
    <cellStyle name="Comma 4 3 2 4 4" xfId="26144" xr:uid="{34FA5736-E1DE-453C-BB48-E4D4332469ED}"/>
    <cellStyle name="Comma 4 3 2 4 5" xfId="17703" xr:uid="{E62F4219-02FD-481A-BAFC-290BA1BD310B}"/>
    <cellStyle name="Comma 4 3 2 4 6" xfId="9262" xr:uid="{EBB3D12C-6527-4609-AC39-7F5DBF544775}"/>
    <cellStyle name="Comma 4 3 2 5" xfId="1135" xr:uid="{00000000-0005-0000-0000-00005E090000}"/>
    <cellStyle name="Comma 4 3 2 5 2" xfId="3366" xr:uid="{00000000-0005-0000-0000-00005F090000}"/>
    <cellStyle name="Comma 4 3 2 5 2 2" xfId="7588" xr:uid="{00000000-0005-0000-0000-000060090000}"/>
    <cellStyle name="Comma 4 3 2 5 2 2 2" xfId="32920" xr:uid="{7355EFF3-CAC4-440A-B6A1-F085B5BFAFCE}"/>
    <cellStyle name="Comma 4 3 2 5 2 2 3" xfId="24479" xr:uid="{9E70BE4B-EA1A-46B2-A9F5-8594DD329D33}"/>
    <cellStyle name="Comma 4 3 2 5 2 2 4" xfId="16038" xr:uid="{8120CE54-D629-4EC0-AAC5-FB665FF40654}"/>
    <cellStyle name="Comma 4 3 2 5 2 3" xfId="28702" xr:uid="{C670FCF7-5E14-434A-ACE2-26FC0A36FD80}"/>
    <cellStyle name="Comma 4 3 2 5 2 4" xfId="20261" xr:uid="{C6BD8C46-3F71-45A5-BAAA-61394859EA3D}"/>
    <cellStyle name="Comma 4 3 2 5 2 5" xfId="11820" xr:uid="{D4B80312-278B-4905-8FD0-385340E81454}"/>
    <cellStyle name="Comma 4 3 2 5 3" xfId="5443" xr:uid="{00000000-0005-0000-0000-000061090000}"/>
    <cellStyle name="Comma 4 3 2 5 3 2" xfId="30775" xr:uid="{B06E5EFA-2269-488A-9773-88795C673FA7}"/>
    <cellStyle name="Comma 4 3 2 5 3 3" xfId="22334" xr:uid="{488A6126-8247-474D-A89C-11E7DA8AF73C}"/>
    <cellStyle name="Comma 4 3 2 5 3 4" xfId="13893" xr:uid="{10A5A414-3C98-4A00-939F-765F00411458}"/>
    <cellStyle name="Comma 4 3 2 5 4" xfId="26557" xr:uid="{9B8F4434-5F38-4CCD-A0AB-DFD40ADEEFFB}"/>
    <cellStyle name="Comma 4 3 2 5 5" xfId="18116" xr:uid="{C5DF9D4B-9982-4388-8AAF-D5CC8A032152}"/>
    <cellStyle name="Comma 4 3 2 5 6" xfId="9675" xr:uid="{75580FB8-5A64-4634-A042-FB871CCF7FCE}"/>
    <cellStyle name="Comma 4 3 2 6" xfId="1549" xr:uid="{00000000-0005-0000-0000-000062090000}"/>
    <cellStyle name="Comma 4 3 2 6 2" xfId="3779" xr:uid="{00000000-0005-0000-0000-000063090000}"/>
    <cellStyle name="Comma 4 3 2 6 2 2" xfId="8001" xr:uid="{00000000-0005-0000-0000-000064090000}"/>
    <cellStyle name="Comma 4 3 2 6 2 2 2" xfId="33333" xr:uid="{49F0659A-FC67-41E4-A387-B0BA9B1EF886}"/>
    <cellStyle name="Comma 4 3 2 6 2 2 3" xfId="24892" xr:uid="{879E5105-0DFA-4898-9E40-B749F350351B}"/>
    <cellStyle name="Comma 4 3 2 6 2 2 4" xfId="16451" xr:uid="{62657612-C8CA-48A7-A8EE-2BAC6700D8F9}"/>
    <cellStyle name="Comma 4 3 2 6 2 3" xfId="29115" xr:uid="{654FF192-A58D-4305-971B-EE91A9F1536C}"/>
    <cellStyle name="Comma 4 3 2 6 2 4" xfId="20674" xr:uid="{582439DE-9EBA-4641-BE77-03595950AF16}"/>
    <cellStyle name="Comma 4 3 2 6 2 5" xfId="12233" xr:uid="{14E09F6C-A981-4CF0-B17E-DE77892FDF8F}"/>
    <cellStyle name="Comma 4 3 2 6 3" xfId="5856" xr:uid="{00000000-0005-0000-0000-000065090000}"/>
    <cellStyle name="Comma 4 3 2 6 3 2" xfId="31188" xr:uid="{9BD2CD30-AE5D-4B97-BBC3-DD6B1C68E91D}"/>
    <cellStyle name="Comma 4 3 2 6 3 3" xfId="22747" xr:uid="{1A93FB6C-8FDA-48CA-9ECF-D65A73A11CAC}"/>
    <cellStyle name="Comma 4 3 2 6 3 4" xfId="14306" xr:uid="{4294B6CE-1D24-423D-9EA7-E59206FF771C}"/>
    <cellStyle name="Comma 4 3 2 6 4" xfId="26970" xr:uid="{8E6D4180-061D-4639-B283-3EB98354B5F0}"/>
    <cellStyle name="Comma 4 3 2 6 5" xfId="18529" xr:uid="{3B6B7E59-0A85-4C84-BF0B-52F10E7D9BDA}"/>
    <cellStyle name="Comma 4 3 2 6 6" xfId="10088" xr:uid="{27B436F1-D5A8-46D1-A759-C219339AFBBA}"/>
    <cellStyle name="Comma 4 3 2 7" xfId="1963" xr:uid="{00000000-0005-0000-0000-000066090000}"/>
    <cellStyle name="Comma 4 3 2 7 2" xfId="4192" xr:uid="{00000000-0005-0000-0000-000067090000}"/>
    <cellStyle name="Comma 4 3 2 7 2 2" xfId="8414" xr:uid="{00000000-0005-0000-0000-000068090000}"/>
    <cellStyle name="Comma 4 3 2 7 2 2 2" xfId="33746" xr:uid="{22DCB780-04C3-4442-9432-B2CFA59E67C4}"/>
    <cellStyle name="Comma 4 3 2 7 2 2 3" xfId="25305" xr:uid="{06103C72-A81D-4FEC-9DFF-2064FB39ED03}"/>
    <cellStyle name="Comma 4 3 2 7 2 2 4" xfId="16864" xr:uid="{ADD03A39-94F3-429E-8ED2-538387D3945A}"/>
    <cellStyle name="Comma 4 3 2 7 2 3" xfId="29528" xr:uid="{60A3FAA2-AF4B-44A6-AE49-8712C176C2A2}"/>
    <cellStyle name="Comma 4 3 2 7 2 4" xfId="21087" xr:uid="{723E0249-42A8-4A96-B906-8D037E58F6A8}"/>
    <cellStyle name="Comma 4 3 2 7 2 5" xfId="12646" xr:uid="{88566498-3B57-41E3-B314-E0A14CF93D60}"/>
    <cellStyle name="Comma 4 3 2 7 3" xfId="6269" xr:uid="{00000000-0005-0000-0000-000069090000}"/>
    <cellStyle name="Comma 4 3 2 7 3 2" xfId="31601" xr:uid="{44EB519C-A397-48E1-9AD4-23272001969F}"/>
    <cellStyle name="Comma 4 3 2 7 3 3" xfId="23160" xr:uid="{2E558FCE-14A9-4916-93BA-6AB59405A2C6}"/>
    <cellStyle name="Comma 4 3 2 7 3 4" xfId="14719" xr:uid="{F5D7E80C-5533-4C94-AACD-2878B2D44D45}"/>
    <cellStyle name="Comma 4 3 2 7 4" xfId="27383" xr:uid="{7EAF8C1B-82DE-4AE4-941B-19A85DA907E8}"/>
    <cellStyle name="Comma 4 3 2 7 5" xfId="18942" xr:uid="{EF695BD9-DE36-42BC-AF25-CBF641C7D216}"/>
    <cellStyle name="Comma 4 3 2 7 6" xfId="10501" xr:uid="{6263DDE5-CFF2-4558-A548-53D9BE5F56B3}"/>
    <cellStyle name="Comma 4 3 2 8" xfId="2398" xr:uid="{00000000-0005-0000-0000-00006A090000}"/>
    <cellStyle name="Comma 4 3 2 8 2" xfId="6682" xr:uid="{00000000-0005-0000-0000-00006B090000}"/>
    <cellStyle name="Comma 4 3 2 8 2 2" xfId="32014" xr:uid="{BF266F68-34BD-4C19-A404-7F378C67DEF4}"/>
    <cellStyle name="Comma 4 3 2 8 2 3" xfId="23573" xr:uid="{F16C2DC4-E716-430F-A3E4-72192F40EA14}"/>
    <cellStyle name="Comma 4 3 2 8 2 4" xfId="15132" xr:uid="{0911CF86-121A-4B95-9E6F-C66E2694F2E9}"/>
    <cellStyle name="Comma 4 3 2 8 3" xfId="27796" xr:uid="{08192D82-4A90-41CD-8BC2-444F7CBA223F}"/>
    <cellStyle name="Comma 4 3 2 8 4" xfId="19355" xr:uid="{B5C1EAC1-7941-4B8C-B33D-51B158F4BFA6}"/>
    <cellStyle name="Comma 4 3 2 8 5" xfId="10914" xr:uid="{5E58B845-4AD8-4F6F-ACAF-67F1FE618F75}"/>
    <cellStyle name="Comma 4 3 2 9" xfId="2365" xr:uid="{00000000-0005-0000-0000-00006C090000}"/>
    <cellStyle name="Comma 4 3 3" xfId="149" xr:uid="{00000000-0005-0000-0000-00006D090000}"/>
    <cellStyle name="Comma 4 3 3 10" xfId="4620" xr:uid="{00000000-0005-0000-0000-00006E090000}"/>
    <cellStyle name="Comma 4 3 3 10 2" xfId="29952" xr:uid="{63FD75DF-EEF5-4588-A937-21C844C9BB3E}"/>
    <cellStyle name="Comma 4 3 3 10 3" xfId="21511" xr:uid="{EC04737A-6EEC-45DB-9BC0-C88B62B8D9D6}"/>
    <cellStyle name="Comma 4 3 3 10 4" xfId="13070" xr:uid="{DF10A2A4-3D0E-418D-8BC2-5B6A7D3553E9}"/>
    <cellStyle name="Comma 4 3 3 11" xfId="25734" xr:uid="{D8E8E822-889E-4FAD-9A2B-7D767FEB1D35}"/>
    <cellStyle name="Comma 4 3 3 12" xfId="17293" xr:uid="{E5BA08AC-CAD7-4E0F-B5C9-E72A33C812A6}"/>
    <cellStyle name="Comma 4 3 3 13" xfId="8852" xr:uid="{D564D49C-FBA3-422A-9C1E-B80C0E7D20BD}"/>
    <cellStyle name="Comma 4 3 3 2" xfId="150" xr:uid="{00000000-0005-0000-0000-00006F090000}"/>
    <cellStyle name="Comma 4 3 3 2 10" xfId="25735" xr:uid="{1A375EB8-6C4E-4098-9EE5-1DD6DC21853A}"/>
    <cellStyle name="Comma 4 3 3 2 11" xfId="17294" xr:uid="{0BF75E5A-D643-41A6-A583-CDA9A40C0DDC}"/>
    <cellStyle name="Comma 4 3 3 2 12" xfId="8853" xr:uid="{7B72A1DF-0B81-4FCC-A477-014EF6E0F0C6}"/>
    <cellStyle name="Comma 4 3 3 2 2" xfId="687" xr:uid="{00000000-0005-0000-0000-000070090000}"/>
    <cellStyle name="Comma 4 3 3 2 2 2" xfId="2958" xr:uid="{00000000-0005-0000-0000-000071090000}"/>
    <cellStyle name="Comma 4 3 3 2 2 2 2" xfId="7180" xr:uid="{00000000-0005-0000-0000-000072090000}"/>
    <cellStyle name="Comma 4 3 3 2 2 2 2 2" xfId="32512" xr:uid="{9AA7C5DE-A838-4AFE-9354-39BCE63EFDA3}"/>
    <cellStyle name="Comma 4 3 3 2 2 2 2 3" xfId="24071" xr:uid="{F2BE8D6B-C46F-4621-A0F1-98A1959E4471}"/>
    <cellStyle name="Comma 4 3 3 2 2 2 2 4" xfId="15630" xr:uid="{303B438A-8DC2-4BD8-ABE7-A75E4045AF37}"/>
    <cellStyle name="Comma 4 3 3 2 2 2 3" xfId="28294" xr:uid="{8A99043E-D777-4D11-A52D-C4557AA9139B}"/>
    <cellStyle name="Comma 4 3 3 2 2 2 4" xfId="19853" xr:uid="{64244614-9E06-4B11-A05F-DB9D215B62F1}"/>
    <cellStyle name="Comma 4 3 3 2 2 2 5" xfId="11412" xr:uid="{A6EC3C63-9D6B-4644-920B-98A03DCF5494}"/>
    <cellStyle name="Comma 4 3 3 2 2 3" xfId="5035" xr:uid="{00000000-0005-0000-0000-000073090000}"/>
    <cellStyle name="Comma 4 3 3 2 2 3 2" xfId="30367" xr:uid="{B6918462-FA31-4BF0-98DC-7DCFE9D614E7}"/>
    <cellStyle name="Comma 4 3 3 2 2 3 3" xfId="21926" xr:uid="{1A218E04-EBBF-4CF8-83A9-C359D1B56E28}"/>
    <cellStyle name="Comma 4 3 3 2 2 3 4" xfId="13485" xr:uid="{061CC870-3625-45AE-8B25-DBE9E4B33C96}"/>
    <cellStyle name="Comma 4 3 3 2 2 4" xfId="26149" xr:uid="{54861532-E1D8-4DCB-82C4-17D2222CA63C}"/>
    <cellStyle name="Comma 4 3 3 2 2 5" xfId="17708" xr:uid="{B0EA7E9E-CE55-441B-8EB1-AE570A7B2645}"/>
    <cellStyle name="Comma 4 3 3 2 2 6" xfId="9267" xr:uid="{759DE5CA-84BB-492D-9416-69867252632C}"/>
    <cellStyle name="Comma 4 3 3 2 3" xfId="1140" xr:uid="{00000000-0005-0000-0000-000074090000}"/>
    <cellStyle name="Comma 4 3 3 2 3 2" xfId="3371" xr:uid="{00000000-0005-0000-0000-000075090000}"/>
    <cellStyle name="Comma 4 3 3 2 3 2 2" xfId="7593" xr:uid="{00000000-0005-0000-0000-000076090000}"/>
    <cellStyle name="Comma 4 3 3 2 3 2 2 2" xfId="32925" xr:uid="{6BAB9D61-B7F8-43F2-B8C1-309C5478FA69}"/>
    <cellStyle name="Comma 4 3 3 2 3 2 2 3" xfId="24484" xr:uid="{61ECC32E-CC4F-44B4-8A64-50BD7873C5F8}"/>
    <cellStyle name="Comma 4 3 3 2 3 2 2 4" xfId="16043" xr:uid="{546A1A3D-0D99-4342-9578-319E79E9D382}"/>
    <cellStyle name="Comma 4 3 3 2 3 2 3" xfId="28707" xr:uid="{B87A8B12-B54D-4803-8A97-45782562260C}"/>
    <cellStyle name="Comma 4 3 3 2 3 2 4" xfId="20266" xr:uid="{39BA35C7-2195-45B2-82EA-4D315849E6CE}"/>
    <cellStyle name="Comma 4 3 3 2 3 2 5" xfId="11825" xr:uid="{D8B36BFE-2117-47B7-9437-E86AD8FFAA9B}"/>
    <cellStyle name="Comma 4 3 3 2 3 3" xfId="5448" xr:uid="{00000000-0005-0000-0000-000077090000}"/>
    <cellStyle name="Comma 4 3 3 2 3 3 2" xfId="30780" xr:uid="{A5A759E2-A6DE-4488-B13B-4ED01C88B7AC}"/>
    <cellStyle name="Comma 4 3 3 2 3 3 3" xfId="22339" xr:uid="{0D2533F4-509F-44E4-B5BD-C39331655BE7}"/>
    <cellStyle name="Comma 4 3 3 2 3 3 4" xfId="13898" xr:uid="{FC0B6B86-20CE-44FA-962F-BDB9631136F5}"/>
    <cellStyle name="Comma 4 3 3 2 3 4" xfId="26562" xr:uid="{1B7C9BAA-CA51-49F8-BDEC-C3995ACB4559}"/>
    <cellStyle name="Comma 4 3 3 2 3 5" xfId="18121" xr:uid="{0FDF2C79-A945-473C-A4B6-25FCB78DA195}"/>
    <cellStyle name="Comma 4 3 3 2 3 6" xfId="9680" xr:uid="{DEC959AD-D895-41C4-A3CF-D0C41404FD56}"/>
    <cellStyle name="Comma 4 3 3 2 4" xfId="1554" xr:uid="{00000000-0005-0000-0000-000078090000}"/>
    <cellStyle name="Comma 4 3 3 2 4 2" xfId="3784" xr:uid="{00000000-0005-0000-0000-000079090000}"/>
    <cellStyle name="Comma 4 3 3 2 4 2 2" xfId="8006" xr:uid="{00000000-0005-0000-0000-00007A090000}"/>
    <cellStyle name="Comma 4 3 3 2 4 2 2 2" xfId="33338" xr:uid="{4DE9CD5B-A05B-4039-A2EF-197D654237B3}"/>
    <cellStyle name="Comma 4 3 3 2 4 2 2 3" xfId="24897" xr:uid="{8FCCB2B8-3B87-40F8-B92A-CE55708C2593}"/>
    <cellStyle name="Comma 4 3 3 2 4 2 2 4" xfId="16456" xr:uid="{2526D447-5B6D-426B-86DC-0A618E07A240}"/>
    <cellStyle name="Comma 4 3 3 2 4 2 3" xfId="29120" xr:uid="{CBCEAD9E-8877-44B6-A710-E0558229F69E}"/>
    <cellStyle name="Comma 4 3 3 2 4 2 4" xfId="20679" xr:uid="{9858FE60-A765-4F50-A14E-C73D60049087}"/>
    <cellStyle name="Comma 4 3 3 2 4 2 5" xfId="12238" xr:uid="{9D9B396C-32A8-4073-B8F2-C2C4341B4C81}"/>
    <cellStyle name="Comma 4 3 3 2 4 3" xfId="5861" xr:uid="{00000000-0005-0000-0000-00007B090000}"/>
    <cellStyle name="Comma 4 3 3 2 4 3 2" xfId="31193" xr:uid="{7FBF288C-D1BC-4CF5-BDF0-9DEA504A55C5}"/>
    <cellStyle name="Comma 4 3 3 2 4 3 3" xfId="22752" xr:uid="{8F7DE91A-3AB8-4292-A292-54CC3F05D8CD}"/>
    <cellStyle name="Comma 4 3 3 2 4 3 4" xfId="14311" xr:uid="{46D17B76-5D5D-485A-9676-A576EAB57ACF}"/>
    <cellStyle name="Comma 4 3 3 2 4 4" xfId="26975" xr:uid="{CA668A56-CB60-401C-9716-ABAE6C864F85}"/>
    <cellStyle name="Comma 4 3 3 2 4 5" xfId="18534" xr:uid="{57B8E30C-2A3E-40EF-BBF4-2707C0678821}"/>
    <cellStyle name="Comma 4 3 3 2 4 6" xfId="10093" xr:uid="{8B35D21A-281B-4955-BFBC-87DEF5F77C45}"/>
    <cellStyle name="Comma 4 3 3 2 5" xfId="1968" xr:uid="{00000000-0005-0000-0000-00007C090000}"/>
    <cellStyle name="Comma 4 3 3 2 5 2" xfId="4197" xr:uid="{00000000-0005-0000-0000-00007D090000}"/>
    <cellStyle name="Comma 4 3 3 2 5 2 2" xfId="8419" xr:uid="{00000000-0005-0000-0000-00007E090000}"/>
    <cellStyle name="Comma 4 3 3 2 5 2 2 2" xfId="33751" xr:uid="{22E3F9AD-9B07-46B1-9463-9D2CDA3D5032}"/>
    <cellStyle name="Comma 4 3 3 2 5 2 2 3" xfId="25310" xr:uid="{15B2E374-2F31-40AC-A040-A4BD01876FF8}"/>
    <cellStyle name="Comma 4 3 3 2 5 2 2 4" xfId="16869" xr:uid="{D3A5786A-49B6-49D7-BDC4-C6747EC040DF}"/>
    <cellStyle name="Comma 4 3 3 2 5 2 3" xfId="29533" xr:uid="{A78C49D1-B007-49FA-80F2-5B300FD41144}"/>
    <cellStyle name="Comma 4 3 3 2 5 2 4" xfId="21092" xr:uid="{8B48D8F6-4FB6-459A-AFCD-57BFAA4757E3}"/>
    <cellStyle name="Comma 4 3 3 2 5 2 5" xfId="12651" xr:uid="{27F57A4B-EFB5-4951-A9B9-5588AA7C5700}"/>
    <cellStyle name="Comma 4 3 3 2 5 3" xfId="6274" xr:uid="{00000000-0005-0000-0000-00007F090000}"/>
    <cellStyle name="Comma 4 3 3 2 5 3 2" xfId="31606" xr:uid="{E3EF8592-2C71-408D-83DF-E9D1D34D8136}"/>
    <cellStyle name="Comma 4 3 3 2 5 3 3" xfId="23165" xr:uid="{958CA74F-D5AC-4F4A-92E6-0D6A7C5A6709}"/>
    <cellStyle name="Comma 4 3 3 2 5 3 4" xfId="14724" xr:uid="{CB18D4B7-122D-4FD5-ADA3-6CFFBC687F93}"/>
    <cellStyle name="Comma 4 3 3 2 5 4" xfId="27388" xr:uid="{B239842A-A154-49B1-8035-55CD0497B0F4}"/>
    <cellStyle name="Comma 4 3 3 2 5 5" xfId="18947" xr:uid="{A7A02545-7F0C-47E0-B9CE-5E7A8B4D7502}"/>
    <cellStyle name="Comma 4 3 3 2 5 6" xfId="10506" xr:uid="{04830712-46D6-4330-9489-166F471DDB32}"/>
    <cellStyle name="Comma 4 3 3 2 6" xfId="2403" xr:uid="{00000000-0005-0000-0000-000080090000}"/>
    <cellStyle name="Comma 4 3 3 2 6 2" xfId="6687" xr:uid="{00000000-0005-0000-0000-000081090000}"/>
    <cellStyle name="Comma 4 3 3 2 6 2 2" xfId="32019" xr:uid="{4246DD47-89FF-492B-87CD-81CCEE65CF4C}"/>
    <cellStyle name="Comma 4 3 3 2 6 2 3" xfId="23578" xr:uid="{E124FB6F-6C93-4F17-BAAC-380439E3372D}"/>
    <cellStyle name="Comma 4 3 3 2 6 2 4" xfId="15137" xr:uid="{F9CD0058-E6BE-4D4E-9890-3EF95CE2FE29}"/>
    <cellStyle name="Comma 4 3 3 2 6 3" xfId="27801" xr:uid="{470C6B63-D808-4DE6-AC91-0F54D21817E7}"/>
    <cellStyle name="Comma 4 3 3 2 6 4" xfId="19360" xr:uid="{1B047D82-BE3E-42F8-A436-4CCC7F347DA0}"/>
    <cellStyle name="Comma 4 3 3 2 6 5" xfId="10919" xr:uid="{3950357E-D41B-4BE2-9ABE-F25DFE039444}"/>
    <cellStyle name="Comma 4 3 3 2 7" xfId="2360" xr:uid="{00000000-0005-0000-0000-000082090000}"/>
    <cellStyle name="Comma 4 3 3 2 8" xfId="2781" xr:uid="{00000000-0005-0000-0000-000083090000}"/>
    <cellStyle name="Comma 4 3 3 2 8 2" xfId="7004" xr:uid="{00000000-0005-0000-0000-000084090000}"/>
    <cellStyle name="Comma 4 3 3 2 8 2 2" xfId="32336" xr:uid="{B48B27BC-6033-4C02-8C52-99C650D17B9E}"/>
    <cellStyle name="Comma 4 3 3 2 8 2 3" xfId="23895" xr:uid="{FC5A43B4-6992-495F-9571-79AE20AF7369}"/>
    <cellStyle name="Comma 4 3 3 2 8 2 4" xfId="15454" xr:uid="{30D33FEB-306A-40CC-A980-A6B52E887893}"/>
    <cellStyle name="Comma 4 3 3 2 8 3" xfId="28118" xr:uid="{EC31F8DD-DEDA-450D-960F-A40A5082AB59}"/>
    <cellStyle name="Comma 4 3 3 2 8 4" xfId="19677" xr:uid="{4AB92B80-EA1F-4C23-B4B5-EDEB31BBE87E}"/>
    <cellStyle name="Comma 4 3 3 2 8 5" xfId="11236" xr:uid="{C1BF9D88-1E9C-4982-83A9-03E5DD2A91BA}"/>
    <cellStyle name="Comma 4 3 3 2 9" xfId="4621" xr:uid="{00000000-0005-0000-0000-000085090000}"/>
    <cellStyle name="Comma 4 3 3 2 9 2" xfId="29953" xr:uid="{C790E8FB-498E-49E7-AE0E-0C1644B34BCD}"/>
    <cellStyle name="Comma 4 3 3 2 9 3" xfId="21512" xr:uid="{5EAC8078-B06A-4625-9218-9DFE236B1247}"/>
    <cellStyle name="Comma 4 3 3 2 9 4" xfId="13071" xr:uid="{4DBA2E89-136C-41F7-AE65-9B55DF3473F2}"/>
    <cellStyle name="Comma 4 3 3 3" xfId="686" xr:uid="{00000000-0005-0000-0000-000086090000}"/>
    <cellStyle name="Comma 4 3 3 3 2" xfId="2957" xr:uid="{00000000-0005-0000-0000-000087090000}"/>
    <cellStyle name="Comma 4 3 3 3 2 2" xfId="7179" xr:uid="{00000000-0005-0000-0000-000088090000}"/>
    <cellStyle name="Comma 4 3 3 3 2 2 2" xfId="32511" xr:uid="{E8237A27-6616-4B7D-B5F0-817BDA35D0F6}"/>
    <cellStyle name="Comma 4 3 3 3 2 2 3" xfId="24070" xr:uid="{2C50CB55-64D0-460F-8983-373D6A21FAAB}"/>
    <cellStyle name="Comma 4 3 3 3 2 2 4" xfId="15629" xr:uid="{172AE82F-EE4A-416A-8E5D-81164BCBC9C7}"/>
    <cellStyle name="Comma 4 3 3 3 2 3" xfId="28293" xr:uid="{62F7AF09-D748-497B-9E29-83A70B559C83}"/>
    <cellStyle name="Comma 4 3 3 3 2 4" xfId="19852" xr:uid="{906ABA08-F179-47BA-BBB6-C955E0F1ED45}"/>
    <cellStyle name="Comma 4 3 3 3 2 5" xfId="11411" xr:uid="{C62B02E9-1904-4DCF-95C7-CEF6A4F5392E}"/>
    <cellStyle name="Comma 4 3 3 3 3" xfId="5034" xr:uid="{00000000-0005-0000-0000-000089090000}"/>
    <cellStyle name="Comma 4 3 3 3 3 2" xfId="30366" xr:uid="{54B3F754-EA52-4298-9EFF-525816C01CCB}"/>
    <cellStyle name="Comma 4 3 3 3 3 3" xfId="21925" xr:uid="{8462C963-D022-4049-8181-F269DF027BA8}"/>
    <cellStyle name="Comma 4 3 3 3 3 4" xfId="13484" xr:uid="{9069F371-8773-4428-81E4-D0185341DBEF}"/>
    <cellStyle name="Comma 4 3 3 3 4" xfId="26148" xr:uid="{F817E7E8-CD5A-451D-891C-FD280A58B885}"/>
    <cellStyle name="Comma 4 3 3 3 5" xfId="17707" xr:uid="{27EBA0A5-C111-40C0-9C8D-E49F9BAE9C2A}"/>
    <cellStyle name="Comma 4 3 3 3 6" xfId="9266" xr:uid="{73B7B6B9-08D3-47E9-B36C-649F0DB612CD}"/>
    <cellStyle name="Comma 4 3 3 4" xfId="1139" xr:uid="{00000000-0005-0000-0000-00008A090000}"/>
    <cellStyle name="Comma 4 3 3 4 2" xfId="3370" xr:uid="{00000000-0005-0000-0000-00008B090000}"/>
    <cellStyle name="Comma 4 3 3 4 2 2" xfId="7592" xr:uid="{00000000-0005-0000-0000-00008C090000}"/>
    <cellStyle name="Comma 4 3 3 4 2 2 2" xfId="32924" xr:uid="{0508DC1E-0B5E-4992-978F-62717DD8A720}"/>
    <cellStyle name="Comma 4 3 3 4 2 2 3" xfId="24483" xr:uid="{9935EA41-5672-4917-BED1-631B73FAFD98}"/>
    <cellStyle name="Comma 4 3 3 4 2 2 4" xfId="16042" xr:uid="{3F8A75C5-7200-4A8A-9023-998C79DB2CB7}"/>
    <cellStyle name="Comma 4 3 3 4 2 3" xfId="28706" xr:uid="{D7102968-79D0-4A42-A627-6E003E7AF584}"/>
    <cellStyle name="Comma 4 3 3 4 2 4" xfId="20265" xr:uid="{57CDAF94-2E60-4792-B37F-342B65A375BF}"/>
    <cellStyle name="Comma 4 3 3 4 2 5" xfId="11824" xr:uid="{9441E458-24C1-461A-B15B-45EB5D6CE97F}"/>
    <cellStyle name="Comma 4 3 3 4 3" xfId="5447" xr:uid="{00000000-0005-0000-0000-00008D090000}"/>
    <cellStyle name="Comma 4 3 3 4 3 2" xfId="30779" xr:uid="{2C42B0D5-3904-4796-B93F-3BCED71B2617}"/>
    <cellStyle name="Comma 4 3 3 4 3 3" xfId="22338" xr:uid="{B221F00E-22B8-4991-8199-7E9CA6CF83A3}"/>
    <cellStyle name="Comma 4 3 3 4 3 4" xfId="13897" xr:uid="{D6D5BA69-AF3A-4971-9CB9-D632BB1FD784}"/>
    <cellStyle name="Comma 4 3 3 4 4" xfId="26561" xr:uid="{48A146BA-ABEF-47BA-A98B-A45BA0E284F1}"/>
    <cellStyle name="Comma 4 3 3 4 5" xfId="18120" xr:uid="{8D998E43-FDAD-4F56-90C5-DFF521E93CF9}"/>
    <cellStyle name="Comma 4 3 3 4 6" xfId="9679" xr:uid="{F67C7A3A-98D0-44EA-B500-878BA713F1FA}"/>
    <cellStyle name="Comma 4 3 3 5" xfId="1553" xr:uid="{00000000-0005-0000-0000-00008E090000}"/>
    <cellStyle name="Comma 4 3 3 5 2" xfId="3783" xr:uid="{00000000-0005-0000-0000-00008F090000}"/>
    <cellStyle name="Comma 4 3 3 5 2 2" xfId="8005" xr:uid="{00000000-0005-0000-0000-000090090000}"/>
    <cellStyle name="Comma 4 3 3 5 2 2 2" xfId="33337" xr:uid="{5B4F4B3E-CC6E-4C30-842C-AE2B3B1950FC}"/>
    <cellStyle name="Comma 4 3 3 5 2 2 3" xfId="24896" xr:uid="{A4CCB3BC-A1C4-41A1-B0F4-DA938322F985}"/>
    <cellStyle name="Comma 4 3 3 5 2 2 4" xfId="16455" xr:uid="{C69886FF-9D8E-4F53-9273-07FE347CAA8E}"/>
    <cellStyle name="Comma 4 3 3 5 2 3" xfId="29119" xr:uid="{02C2D011-911C-4242-A338-3010EFA221DF}"/>
    <cellStyle name="Comma 4 3 3 5 2 4" xfId="20678" xr:uid="{812A3BDF-1F24-46C5-BEE8-1C854166F580}"/>
    <cellStyle name="Comma 4 3 3 5 2 5" xfId="12237" xr:uid="{9ED75C95-F8B4-4588-BF83-3EEFF164C78F}"/>
    <cellStyle name="Comma 4 3 3 5 3" xfId="5860" xr:uid="{00000000-0005-0000-0000-000091090000}"/>
    <cellStyle name="Comma 4 3 3 5 3 2" xfId="31192" xr:uid="{EA4677B5-CD46-4D9A-AF9D-5084A6A79656}"/>
    <cellStyle name="Comma 4 3 3 5 3 3" xfId="22751" xr:uid="{7EB7EE18-F582-4736-ABA2-0D5B966EC262}"/>
    <cellStyle name="Comma 4 3 3 5 3 4" xfId="14310" xr:uid="{ED6319FB-301D-4A7E-9D8C-D71624F2BE8C}"/>
    <cellStyle name="Comma 4 3 3 5 4" xfId="26974" xr:uid="{E69FD8F5-B874-4CE7-9C71-30B769E35323}"/>
    <cellStyle name="Comma 4 3 3 5 5" xfId="18533" xr:uid="{C784A5BE-BB64-4AC2-8C07-006DEA302A77}"/>
    <cellStyle name="Comma 4 3 3 5 6" xfId="10092" xr:uid="{6313C450-02A3-41A7-B9D8-36D012391094}"/>
    <cellStyle name="Comma 4 3 3 6" xfId="1967" xr:uid="{00000000-0005-0000-0000-000092090000}"/>
    <cellStyle name="Comma 4 3 3 6 2" xfId="4196" xr:uid="{00000000-0005-0000-0000-000093090000}"/>
    <cellStyle name="Comma 4 3 3 6 2 2" xfId="8418" xr:uid="{00000000-0005-0000-0000-000094090000}"/>
    <cellStyle name="Comma 4 3 3 6 2 2 2" xfId="33750" xr:uid="{E1BF6DEF-BA28-48C1-8773-E96D8A2BFF11}"/>
    <cellStyle name="Comma 4 3 3 6 2 2 3" xfId="25309" xr:uid="{33418D70-0C20-4B87-8864-E9F64A1E1F70}"/>
    <cellStyle name="Comma 4 3 3 6 2 2 4" xfId="16868" xr:uid="{2E8FB622-D65A-4E75-B25E-4376C55FF520}"/>
    <cellStyle name="Comma 4 3 3 6 2 3" xfId="29532" xr:uid="{7C380171-5B7A-48F3-96F4-DDD7576559AD}"/>
    <cellStyle name="Comma 4 3 3 6 2 4" xfId="21091" xr:uid="{404F77BD-592B-4080-8B06-114282376257}"/>
    <cellStyle name="Comma 4 3 3 6 2 5" xfId="12650" xr:uid="{0762ACDA-63AD-4AAF-A8E5-A675CC19B598}"/>
    <cellStyle name="Comma 4 3 3 6 3" xfId="6273" xr:uid="{00000000-0005-0000-0000-000095090000}"/>
    <cellStyle name="Comma 4 3 3 6 3 2" xfId="31605" xr:uid="{4BC0D477-385A-4BCB-B679-00D09452C0F9}"/>
    <cellStyle name="Comma 4 3 3 6 3 3" xfId="23164" xr:uid="{F37686A0-42B9-4CFD-9F21-08FCDDC65C1B}"/>
    <cellStyle name="Comma 4 3 3 6 3 4" xfId="14723" xr:uid="{4BD7F519-573E-43C9-9049-DFDFFD9BF90D}"/>
    <cellStyle name="Comma 4 3 3 6 4" xfId="27387" xr:uid="{B9D2B522-DC44-4086-9E30-77240587A45A}"/>
    <cellStyle name="Comma 4 3 3 6 5" xfId="18946" xr:uid="{EA04621A-DAA8-4B19-AD5A-F99B9B0877CE}"/>
    <cellStyle name="Comma 4 3 3 6 6" xfId="10505" xr:uid="{B046FAE9-30AF-4460-9541-EE3696385754}"/>
    <cellStyle name="Comma 4 3 3 7" xfId="2402" xr:uid="{00000000-0005-0000-0000-000096090000}"/>
    <cellStyle name="Comma 4 3 3 7 2" xfId="6686" xr:uid="{00000000-0005-0000-0000-000097090000}"/>
    <cellStyle name="Comma 4 3 3 7 2 2" xfId="32018" xr:uid="{2F047EA8-53DD-4E4F-8901-C0338A5E6104}"/>
    <cellStyle name="Comma 4 3 3 7 2 3" xfId="23577" xr:uid="{83585352-C98B-4A79-9FA8-6004D11B4022}"/>
    <cellStyle name="Comma 4 3 3 7 2 4" xfId="15136" xr:uid="{2F03F788-E5FA-498F-86D2-F46011BCEF43}"/>
    <cellStyle name="Comma 4 3 3 7 3" xfId="27800" xr:uid="{78699CD6-9E73-4B90-A2AE-9CB3E558246D}"/>
    <cellStyle name="Comma 4 3 3 7 4" xfId="19359" xr:uid="{1C32A5DD-AB8B-4954-991D-24D9877FA9ED}"/>
    <cellStyle name="Comma 4 3 3 7 5" xfId="10918" xr:uid="{C888FFDD-ED70-43DD-A0B4-500B48539CAB}"/>
    <cellStyle name="Comma 4 3 3 8" xfId="2361" xr:uid="{00000000-0005-0000-0000-000098090000}"/>
    <cellStyle name="Comma 4 3 3 9" xfId="2780" xr:uid="{00000000-0005-0000-0000-000099090000}"/>
    <cellStyle name="Comma 4 3 3 9 2" xfId="7003" xr:uid="{00000000-0005-0000-0000-00009A090000}"/>
    <cellStyle name="Comma 4 3 3 9 2 2" xfId="32335" xr:uid="{00B77122-BF4D-47ED-B41B-81FFA329E835}"/>
    <cellStyle name="Comma 4 3 3 9 2 3" xfId="23894" xr:uid="{E42E8518-6440-4111-9258-54AD595C2057}"/>
    <cellStyle name="Comma 4 3 3 9 2 4" xfId="15453" xr:uid="{EE4661EA-CD8E-49FF-ADF3-55A2B3B67E7B}"/>
    <cellStyle name="Comma 4 3 3 9 3" xfId="28117" xr:uid="{F4F5D748-0602-4C70-80CF-82FBA7C939BF}"/>
    <cellStyle name="Comma 4 3 3 9 4" xfId="19676" xr:uid="{7003D5DC-865E-482A-AB53-D0F2D8F9BAE5}"/>
    <cellStyle name="Comma 4 3 3 9 5" xfId="11235" xr:uid="{A300EDE9-8CBA-4FD3-A222-27DCF7825811}"/>
    <cellStyle name="Comma 4 3 4" xfId="151" xr:uid="{00000000-0005-0000-0000-00009B090000}"/>
    <cellStyle name="Comma 4 3 4 10" xfId="25736" xr:uid="{4BA1D7AD-592D-40AB-9D3E-F89F47C298D9}"/>
    <cellStyle name="Comma 4 3 4 11" xfId="17295" xr:uid="{ECD36462-F1BB-4BED-94A9-C55770B06502}"/>
    <cellStyle name="Comma 4 3 4 12" xfId="8854" xr:uid="{2826803A-E678-4E91-B917-96EF96065485}"/>
    <cellStyle name="Comma 4 3 4 2" xfId="688" xr:uid="{00000000-0005-0000-0000-00009C090000}"/>
    <cellStyle name="Comma 4 3 4 2 2" xfId="2959" xr:uid="{00000000-0005-0000-0000-00009D090000}"/>
    <cellStyle name="Comma 4 3 4 2 2 2" xfId="7181" xr:uid="{00000000-0005-0000-0000-00009E090000}"/>
    <cellStyle name="Comma 4 3 4 2 2 2 2" xfId="32513" xr:uid="{29228285-F9FE-4A21-A2BD-9E9369AC7B4B}"/>
    <cellStyle name="Comma 4 3 4 2 2 2 3" xfId="24072" xr:uid="{F560B4B4-0F49-49B8-BFA8-A9212466DB58}"/>
    <cellStyle name="Comma 4 3 4 2 2 2 4" xfId="15631" xr:uid="{E00D8396-CD7B-49D1-A00D-E938907D2B77}"/>
    <cellStyle name="Comma 4 3 4 2 2 3" xfId="28295" xr:uid="{AA20AEA8-0612-4286-85FB-AF594AF40575}"/>
    <cellStyle name="Comma 4 3 4 2 2 4" xfId="19854" xr:uid="{95A9D576-A9AD-4717-ABA8-0106A3E03073}"/>
    <cellStyle name="Comma 4 3 4 2 2 5" xfId="11413" xr:uid="{C7C5D98F-E539-4698-830F-552A24E8DCD4}"/>
    <cellStyle name="Comma 4 3 4 2 3" xfId="5036" xr:uid="{00000000-0005-0000-0000-00009F090000}"/>
    <cellStyle name="Comma 4 3 4 2 3 2" xfId="30368" xr:uid="{7C654909-FC48-46F9-8CCA-B54F1CFDAD06}"/>
    <cellStyle name="Comma 4 3 4 2 3 3" xfId="21927" xr:uid="{3D681314-C825-4440-AF52-B7C9BB45387B}"/>
    <cellStyle name="Comma 4 3 4 2 3 4" xfId="13486" xr:uid="{2E38D9EC-B8C1-4A6A-8C04-C0F84282DC24}"/>
    <cellStyle name="Comma 4 3 4 2 4" xfId="26150" xr:uid="{A59C09A5-D368-47B6-8F5F-AFA2534F1907}"/>
    <cellStyle name="Comma 4 3 4 2 5" xfId="17709" xr:uid="{BE8A3926-3FA1-4A71-B626-91CFF82AB82C}"/>
    <cellStyle name="Comma 4 3 4 2 6" xfId="9268" xr:uid="{EC73F01B-E9CD-41D3-A58F-DB60CE86216B}"/>
    <cellStyle name="Comma 4 3 4 3" xfId="1141" xr:uid="{00000000-0005-0000-0000-0000A0090000}"/>
    <cellStyle name="Comma 4 3 4 3 2" xfId="3372" xr:uid="{00000000-0005-0000-0000-0000A1090000}"/>
    <cellStyle name="Comma 4 3 4 3 2 2" xfId="7594" xr:uid="{00000000-0005-0000-0000-0000A2090000}"/>
    <cellStyle name="Comma 4 3 4 3 2 2 2" xfId="32926" xr:uid="{D25590F5-A270-4FD5-92DF-D1DD29AC4A25}"/>
    <cellStyle name="Comma 4 3 4 3 2 2 3" xfId="24485" xr:uid="{397234F5-1B3A-4857-B6BF-9F077092764E}"/>
    <cellStyle name="Comma 4 3 4 3 2 2 4" xfId="16044" xr:uid="{3A9B0999-AEED-4809-ADB2-E821F7BAD480}"/>
    <cellStyle name="Comma 4 3 4 3 2 3" xfId="28708" xr:uid="{6D535DD0-F96A-4383-A3EF-B9DF46F68DEC}"/>
    <cellStyle name="Comma 4 3 4 3 2 4" xfId="20267" xr:uid="{4D51D4C4-7189-4108-949C-207B7DE65D59}"/>
    <cellStyle name="Comma 4 3 4 3 2 5" xfId="11826" xr:uid="{15016A5C-5B04-4A3C-8350-8E17A1B5999E}"/>
    <cellStyle name="Comma 4 3 4 3 3" xfId="5449" xr:uid="{00000000-0005-0000-0000-0000A3090000}"/>
    <cellStyle name="Comma 4 3 4 3 3 2" xfId="30781" xr:uid="{3F1B7AEE-93CC-45A2-BD22-2D9E4BA20772}"/>
    <cellStyle name="Comma 4 3 4 3 3 3" xfId="22340" xr:uid="{8DA04E1B-F3E1-4B85-86A9-019FFDE4E1DD}"/>
    <cellStyle name="Comma 4 3 4 3 3 4" xfId="13899" xr:uid="{CA408818-EA3C-4F72-A361-BA6CF810F4C7}"/>
    <cellStyle name="Comma 4 3 4 3 4" xfId="26563" xr:uid="{335F233D-012E-4F70-8571-DA92F369CA74}"/>
    <cellStyle name="Comma 4 3 4 3 5" xfId="18122" xr:uid="{8C929731-9063-45AB-9C11-50CCE8180358}"/>
    <cellStyle name="Comma 4 3 4 3 6" xfId="9681" xr:uid="{C640CC45-272F-4D97-BC12-542D54687D44}"/>
    <cellStyle name="Comma 4 3 4 4" xfId="1555" xr:uid="{00000000-0005-0000-0000-0000A4090000}"/>
    <cellStyle name="Comma 4 3 4 4 2" xfId="3785" xr:uid="{00000000-0005-0000-0000-0000A5090000}"/>
    <cellStyle name="Comma 4 3 4 4 2 2" xfId="8007" xr:uid="{00000000-0005-0000-0000-0000A6090000}"/>
    <cellStyle name="Comma 4 3 4 4 2 2 2" xfId="33339" xr:uid="{D52298D2-A3C2-4AF8-A503-4D5356324C01}"/>
    <cellStyle name="Comma 4 3 4 4 2 2 3" xfId="24898" xr:uid="{4BAB1145-C295-4A77-99BB-DEBDC2FE4BD6}"/>
    <cellStyle name="Comma 4 3 4 4 2 2 4" xfId="16457" xr:uid="{1E49FCA6-6A2D-4D29-8C56-D22ED877CDFD}"/>
    <cellStyle name="Comma 4 3 4 4 2 3" xfId="29121" xr:uid="{22BADACD-40C1-4E60-8E9B-60140A9C1EB5}"/>
    <cellStyle name="Comma 4 3 4 4 2 4" xfId="20680" xr:uid="{56146CD0-3CD1-4BCA-96C2-2D40D242B96D}"/>
    <cellStyle name="Comma 4 3 4 4 2 5" xfId="12239" xr:uid="{6A739EB9-6339-4BDA-93D5-140B037A4296}"/>
    <cellStyle name="Comma 4 3 4 4 3" xfId="5862" xr:uid="{00000000-0005-0000-0000-0000A7090000}"/>
    <cellStyle name="Comma 4 3 4 4 3 2" xfId="31194" xr:uid="{AA985BCF-A361-4D3C-ABD3-7DFCEBB3B404}"/>
    <cellStyle name="Comma 4 3 4 4 3 3" xfId="22753" xr:uid="{B9A0BCA1-8514-4AE3-92D2-37B2A9FBB935}"/>
    <cellStyle name="Comma 4 3 4 4 3 4" xfId="14312" xr:uid="{B3ADF38B-D3AB-4A3E-8666-61AE9A45FF51}"/>
    <cellStyle name="Comma 4 3 4 4 4" xfId="26976" xr:uid="{3778A4EA-F9BD-45FB-8684-7F8412F8C537}"/>
    <cellStyle name="Comma 4 3 4 4 5" xfId="18535" xr:uid="{1643575D-B2E5-45A8-9DD7-625A5C929D0D}"/>
    <cellStyle name="Comma 4 3 4 4 6" xfId="10094" xr:uid="{1344DBEC-A7A9-49C3-8D9C-35A97A58CB5D}"/>
    <cellStyle name="Comma 4 3 4 5" xfId="1969" xr:uid="{00000000-0005-0000-0000-0000A8090000}"/>
    <cellStyle name="Comma 4 3 4 5 2" xfId="4198" xr:uid="{00000000-0005-0000-0000-0000A9090000}"/>
    <cellStyle name="Comma 4 3 4 5 2 2" xfId="8420" xr:uid="{00000000-0005-0000-0000-0000AA090000}"/>
    <cellStyle name="Comma 4 3 4 5 2 2 2" xfId="33752" xr:uid="{950FF8CB-5DD7-4341-B9DD-86BDC0A57AEB}"/>
    <cellStyle name="Comma 4 3 4 5 2 2 3" xfId="25311" xr:uid="{B0E3ECAC-06DA-4201-9B92-0093FF83E8ED}"/>
    <cellStyle name="Comma 4 3 4 5 2 2 4" xfId="16870" xr:uid="{B18B6C41-473B-4F80-B919-0CFF0D806E04}"/>
    <cellStyle name="Comma 4 3 4 5 2 3" xfId="29534" xr:uid="{6202C931-A2B6-4877-9112-1902EB136EE9}"/>
    <cellStyle name="Comma 4 3 4 5 2 4" xfId="21093" xr:uid="{7D95B26F-C6BB-4E2A-A469-6DA1D253DDFC}"/>
    <cellStyle name="Comma 4 3 4 5 2 5" xfId="12652" xr:uid="{5C1E7585-9BAF-4C0D-AFA9-90B25E1A8BC3}"/>
    <cellStyle name="Comma 4 3 4 5 3" xfId="6275" xr:uid="{00000000-0005-0000-0000-0000AB090000}"/>
    <cellStyle name="Comma 4 3 4 5 3 2" xfId="31607" xr:uid="{5865ECFC-6CBA-4DC2-901D-387E98999E10}"/>
    <cellStyle name="Comma 4 3 4 5 3 3" xfId="23166" xr:uid="{8FE903F5-2C43-40EF-82E1-CE267452FF52}"/>
    <cellStyle name="Comma 4 3 4 5 3 4" xfId="14725" xr:uid="{E890249E-2FA6-4FE4-8F14-7B53D1C54D6C}"/>
    <cellStyle name="Comma 4 3 4 5 4" xfId="27389" xr:uid="{2A4C223E-9716-4C7E-8EE6-DF9B639BAA0E}"/>
    <cellStyle name="Comma 4 3 4 5 5" xfId="18948" xr:uid="{A38B9618-5D33-4190-B6DD-53C1A71D4381}"/>
    <cellStyle name="Comma 4 3 4 5 6" xfId="10507" xr:uid="{1941E732-2B95-4E71-B386-6D29ED5D3B70}"/>
    <cellStyle name="Comma 4 3 4 6" xfId="2404" xr:uid="{00000000-0005-0000-0000-0000AC090000}"/>
    <cellStyle name="Comma 4 3 4 6 2" xfId="6688" xr:uid="{00000000-0005-0000-0000-0000AD090000}"/>
    <cellStyle name="Comma 4 3 4 6 2 2" xfId="32020" xr:uid="{FBBACD61-24F4-4A42-9C47-04667BB98E77}"/>
    <cellStyle name="Comma 4 3 4 6 2 3" xfId="23579" xr:uid="{6729BEC2-F56C-4CA9-B8A8-CE5D0B8300B1}"/>
    <cellStyle name="Comma 4 3 4 6 2 4" xfId="15138" xr:uid="{11BDE1E7-A6CF-453B-BB90-0C9DEF4FFC7E}"/>
    <cellStyle name="Comma 4 3 4 6 3" xfId="27802" xr:uid="{BDBF6B49-767F-4A8C-9979-7EE7888D7F84}"/>
    <cellStyle name="Comma 4 3 4 6 4" xfId="19361" xr:uid="{127DCDF6-4D32-463F-A487-5980F553E68F}"/>
    <cellStyle name="Comma 4 3 4 6 5" xfId="10920" xr:uid="{23B66315-6A20-44D1-BFA5-AD579F0DC482}"/>
    <cellStyle name="Comma 4 3 4 7" xfId="2700" xr:uid="{00000000-0005-0000-0000-0000AE090000}"/>
    <cellStyle name="Comma 4 3 4 8" xfId="2782" xr:uid="{00000000-0005-0000-0000-0000AF090000}"/>
    <cellStyle name="Comma 4 3 4 8 2" xfId="7005" xr:uid="{00000000-0005-0000-0000-0000B0090000}"/>
    <cellStyle name="Comma 4 3 4 8 2 2" xfId="32337" xr:uid="{A0A363CE-E664-44C0-856E-597D94C9345D}"/>
    <cellStyle name="Comma 4 3 4 8 2 3" xfId="23896" xr:uid="{5EF785AD-0C23-4C23-BDF4-FA0DFB7C68AE}"/>
    <cellStyle name="Comma 4 3 4 8 2 4" xfId="15455" xr:uid="{110D9406-670A-4798-BD37-3F9CBE189E7A}"/>
    <cellStyle name="Comma 4 3 4 8 3" xfId="28119" xr:uid="{90969EF4-D863-440B-8892-5E46BADD5E99}"/>
    <cellStyle name="Comma 4 3 4 8 4" xfId="19678" xr:uid="{C5055B50-3A1A-4DE7-AB45-AEEA6E395BC3}"/>
    <cellStyle name="Comma 4 3 4 8 5" xfId="11237" xr:uid="{8E9A7A77-CCB2-4B03-8B8B-A6307A51A749}"/>
    <cellStyle name="Comma 4 3 4 9" xfId="4622" xr:uid="{00000000-0005-0000-0000-0000B1090000}"/>
    <cellStyle name="Comma 4 3 4 9 2" xfId="29954" xr:uid="{701A25CA-2CC9-41F4-B2D2-1520F9E65CD9}"/>
    <cellStyle name="Comma 4 3 4 9 3" xfId="21513" xr:uid="{A1432E86-8034-47B5-BF7B-EABF4CCA4650}"/>
    <cellStyle name="Comma 4 3 4 9 4" xfId="13072" xr:uid="{82F4BCDF-472E-457B-9F76-AAF76BBD1121}"/>
    <cellStyle name="Comma 4 3 5" xfId="152" xr:uid="{00000000-0005-0000-0000-0000B2090000}"/>
    <cellStyle name="Comma 4 3 5 10" xfId="25737" xr:uid="{352FBC67-9D06-4962-94FC-41608260003B}"/>
    <cellStyle name="Comma 4 3 5 11" xfId="17296" xr:uid="{EEDC6A8B-38EA-4159-84EA-6491CD061BDC}"/>
    <cellStyle name="Comma 4 3 5 12" xfId="8855" xr:uid="{EC9BD3CC-21C3-4B75-96C9-07148360EB6A}"/>
    <cellStyle name="Comma 4 3 5 2" xfId="689" xr:uid="{00000000-0005-0000-0000-0000B3090000}"/>
    <cellStyle name="Comma 4 3 5 2 2" xfId="2960" xr:uid="{00000000-0005-0000-0000-0000B4090000}"/>
    <cellStyle name="Comma 4 3 5 2 2 2" xfId="7182" xr:uid="{00000000-0005-0000-0000-0000B5090000}"/>
    <cellStyle name="Comma 4 3 5 2 2 2 2" xfId="32514" xr:uid="{5B7A8175-C06A-4DA1-AF58-1C0044E84565}"/>
    <cellStyle name="Comma 4 3 5 2 2 2 3" xfId="24073" xr:uid="{BCEFC5F9-FB70-48A1-B888-30427E763972}"/>
    <cellStyle name="Comma 4 3 5 2 2 2 4" xfId="15632" xr:uid="{6BF754E4-ED38-476D-987D-16977DFB0171}"/>
    <cellStyle name="Comma 4 3 5 2 2 3" xfId="28296" xr:uid="{AB406973-0843-4895-9EEB-E25ED0B6D60A}"/>
    <cellStyle name="Comma 4 3 5 2 2 4" xfId="19855" xr:uid="{17E62FBE-1562-4B9A-A1A9-B450D4127B02}"/>
    <cellStyle name="Comma 4 3 5 2 2 5" xfId="11414" xr:uid="{0FED7E28-3A8B-420C-979D-482A525DEB71}"/>
    <cellStyle name="Comma 4 3 5 2 3" xfId="5037" xr:uid="{00000000-0005-0000-0000-0000B6090000}"/>
    <cellStyle name="Comma 4 3 5 2 3 2" xfId="30369" xr:uid="{BF43428F-B0B5-4D0D-8C1C-CCE4871B28A5}"/>
    <cellStyle name="Comma 4 3 5 2 3 3" xfId="21928" xr:uid="{4BD07EC9-A35C-490E-ACC8-72375538330F}"/>
    <cellStyle name="Comma 4 3 5 2 3 4" xfId="13487" xr:uid="{84478CAC-CC68-4873-93F0-F6483E4B98AE}"/>
    <cellStyle name="Comma 4 3 5 2 4" xfId="26151" xr:uid="{AF0B4C1B-AA2B-4DAF-A0B1-EDF946F32BF3}"/>
    <cellStyle name="Comma 4 3 5 2 5" xfId="17710" xr:uid="{9C3C4CD5-1E3C-452A-A396-E2862044D678}"/>
    <cellStyle name="Comma 4 3 5 2 6" xfId="9269" xr:uid="{4D5AA016-71A3-46A0-BC40-3F4FB5ACF76D}"/>
    <cellStyle name="Comma 4 3 5 3" xfId="1142" xr:uid="{00000000-0005-0000-0000-0000B7090000}"/>
    <cellStyle name="Comma 4 3 5 3 2" xfId="3373" xr:uid="{00000000-0005-0000-0000-0000B8090000}"/>
    <cellStyle name="Comma 4 3 5 3 2 2" xfId="7595" xr:uid="{00000000-0005-0000-0000-0000B9090000}"/>
    <cellStyle name="Comma 4 3 5 3 2 2 2" xfId="32927" xr:uid="{CA1AF5E4-52AC-4025-A317-8E0821BC847E}"/>
    <cellStyle name="Comma 4 3 5 3 2 2 3" xfId="24486" xr:uid="{992C9A81-31F8-4868-809B-4547CCCDA907}"/>
    <cellStyle name="Comma 4 3 5 3 2 2 4" xfId="16045" xr:uid="{3B7150D5-5A8F-4AFF-88E8-ACFDFD653548}"/>
    <cellStyle name="Comma 4 3 5 3 2 3" xfId="28709" xr:uid="{F4C1B0F7-80AC-4869-96CC-3F959E2FCCF7}"/>
    <cellStyle name="Comma 4 3 5 3 2 4" xfId="20268" xr:uid="{7A6A99C1-0664-4979-8413-93685078DD1F}"/>
    <cellStyle name="Comma 4 3 5 3 2 5" xfId="11827" xr:uid="{9F77718F-3DD4-4003-A491-6216BE0E04AE}"/>
    <cellStyle name="Comma 4 3 5 3 3" xfId="5450" xr:uid="{00000000-0005-0000-0000-0000BA090000}"/>
    <cellStyle name="Comma 4 3 5 3 3 2" xfId="30782" xr:uid="{931B3B2A-9980-4F3B-93AD-A4B9B7F16F4C}"/>
    <cellStyle name="Comma 4 3 5 3 3 3" xfId="22341" xr:uid="{9223A4FE-C6A5-4131-BD68-B134F351541C}"/>
    <cellStyle name="Comma 4 3 5 3 3 4" xfId="13900" xr:uid="{01E3D201-9042-458F-B400-01551FCEEB78}"/>
    <cellStyle name="Comma 4 3 5 3 4" xfId="26564" xr:uid="{0B387F98-F372-43EE-937F-1BF1AE3041A7}"/>
    <cellStyle name="Comma 4 3 5 3 5" xfId="18123" xr:uid="{96525398-320E-4C15-9569-6DCDE508A6A8}"/>
    <cellStyle name="Comma 4 3 5 3 6" xfId="9682" xr:uid="{EFE9ED7A-C6D7-40FD-8F9B-A32290D9B7A3}"/>
    <cellStyle name="Comma 4 3 5 4" xfId="1556" xr:uid="{00000000-0005-0000-0000-0000BB090000}"/>
    <cellStyle name="Comma 4 3 5 4 2" xfId="3786" xr:uid="{00000000-0005-0000-0000-0000BC090000}"/>
    <cellStyle name="Comma 4 3 5 4 2 2" xfId="8008" xr:uid="{00000000-0005-0000-0000-0000BD090000}"/>
    <cellStyle name="Comma 4 3 5 4 2 2 2" xfId="33340" xr:uid="{D5A9AA49-B98F-4060-9DD4-F6323A5963B2}"/>
    <cellStyle name="Comma 4 3 5 4 2 2 3" xfId="24899" xr:uid="{41D58D42-404F-44C2-B451-38CB427831E4}"/>
    <cellStyle name="Comma 4 3 5 4 2 2 4" xfId="16458" xr:uid="{4C58DDA6-6B7B-406B-8C85-F9120F06E65B}"/>
    <cellStyle name="Comma 4 3 5 4 2 3" xfId="29122" xr:uid="{79788F94-693C-4136-B0F4-017ECFB2DDC8}"/>
    <cellStyle name="Comma 4 3 5 4 2 4" xfId="20681" xr:uid="{0C79ECC2-9CB5-4F5E-8359-40F06DFC36B0}"/>
    <cellStyle name="Comma 4 3 5 4 2 5" xfId="12240" xr:uid="{B0AABF9B-F095-4FDF-80C9-EA3216449698}"/>
    <cellStyle name="Comma 4 3 5 4 3" xfId="5863" xr:uid="{00000000-0005-0000-0000-0000BE090000}"/>
    <cellStyle name="Comma 4 3 5 4 3 2" xfId="31195" xr:uid="{0C0D9E04-ABA1-4E2D-B28C-1C6A9D7E8F6D}"/>
    <cellStyle name="Comma 4 3 5 4 3 3" xfId="22754" xr:uid="{5B880A9F-02F7-4425-9E1F-27D9D1DB1944}"/>
    <cellStyle name="Comma 4 3 5 4 3 4" xfId="14313" xr:uid="{74268EA1-EFC9-49CF-A822-5A95C54C593E}"/>
    <cellStyle name="Comma 4 3 5 4 4" xfId="26977" xr:uid="{91F793BB-9F6C-43AE-A137-5DD3DFF8588F}"/>
    <cellStyle name="Comma 4 3 5 4 5" xfId="18536" xr:uid="{775464CC-ADB6-4048-90B2-CD1257DA596C}"/>
    <cellStyle name="Comma 4 3 5 4 6" xfId="10095" xr:uid="{37BDE4FD-C9CA-4949-A58F-3F851D94C825}"/>
    <cellStyle name="Comma 4 3 5 5" xfId="1970" xr:uid="{00000000-0005-0000-0000-0000BF090000}"/>
    <cellStyle name="Comma 4 3 5 5 2" xfId="4199" xr:uid="{00000000-0005-0000-0000-0000C0090000}"/>
    <cellStyle name="Comma 4 3 5 5 2 2" xfId="8421" xr:uid="{00000000-0005-0000-0000-0000C1090000}"/>
    <cellStyle name="Comma 4 3 5 5 2 2 2" xfId="33753" xr:uid="{095CB50A-9060-45E0-8209-C5B8DF5D6FE3}"/>
    <cellStyle name="Comma 4 3 5 5 2 2 3" xfId="25312" xr:uid="{2F3D9BEC-D8B6-46BC-82CB-B4920943E5B9}"/>
    <cellStyle name="Comma 4 3 5 5 2 2 4" xfId="16871" xr:uid="{4BC3E064-1E63-4D51-88EC-D0B8E93ED925}"/>
    <cellStyle name="Comma 4 3 5 5 2 3" xfId="29535" xr:uid="{409ECBEF-0837-415A-9711-C7B123CC3E55}"/>
    <cellStyle name="Comma 4 3 5 5 2 4" xfId="21094" xr:uid="{9ED9B0EF-A6BA-4F41-BA25-2A4EA2DBA13C}"/>
    <cellStyle name="Comma 4 3 5 5 2 5" xfId="12653" xr:uid="{A01DAB04-BEAB-45F2-A30E-27C6F21340A8}"/>
    <cellStyle name="Comma 4 3 5 5 3" xfId="6276" xr:uid="{00000000-0005-0000-0000-0000C2090000}"/>
    <cellStyle name="Comma 4 3 5 5 3 2" xfId="31608" xr:uid="{367AB590-016C-47C6-A548-CB9C6A90D664}"/>
    <cellStyle name="Comma 4 3 5 5 3 3" xfId="23167" xr:uid="{D993D45B-5174-466A-A8ED-C817D782A043}"/>
    <cellStyle name="Comma 4 3 5 5 3 4" xfId="14726" xr:uid="{A3F5137C-0AE0-4218-B763-B6712D612DBC}"/>
    <cellStyle name="Comma 4 3 5 5 4" xfId="27390" xr:uid="{FA2F1B01-2696-4BF8-B86F-16EC8BC89893}"/>
    <cellStyle name="Comma 4 3 5 5 5" xfId="18949" xr:uid="{F40C7346-3E0A-42EB-980A-0A77399C65F6}"/>
    <cellStyle name="Comma 4 3 5 5 6" xfId="10508" xr:uid="{6B4D276A-B37B-428E-8A39-64285643053B}"/>
    <cellStyle name="Comma 4 3 5 6" xfId="2405" xr:uid="{00000000-0005-0000-0000-0000C3090000}"/>
    <cellStyle name="Comma 4 3 5 6 2" xfId="6689" xr:uid="{00000000-0005-0000-0000-0000C4090000}"/>
    <cellStyle name="Comma 4 3 5 6 2 2" xfId="32021" xr:uid="{863AEE9A-524E-4C17-9CFA-DF146F5CDA2B}"/>
    <cellStyle name="Comma 4 3 5 6 2 3" xfId="23580" xr:uid="{D0E0DBF3-0A62-43A0-BAB1-AD6381C90556}"/>
    <cellStyle name="Comma 4 3 5 6 2 4" xfId="15139" xr:uid="{B7F96E2F-8335-4EE4-A494-61E84FCCABA5}"/>
    <cellStyle name="Comma 4 3 5 6 3" xfId="27803" xr:uid="{825E81E7-9AE0-42B3-A2B6-B4CF2145CCB3}"/>
    <cellStyle name="Comma 4 3 5 6 4" xfId="19362" xr:uid="{AC3DF7D0-073B-4C4A-834B-333F4FBE364B}"/>
    <cellStyle name="Comma 4 3 5 6 5" xfId="10921" xr:uid="{7912ED4F-2F3B-4F10-9B4C-AC2625E620AE}"/>
    <cellStyle name="Comma 4 3 5 7" xfId="2701" xr:uid="{00000000-0005-0000-0000-0000C5090000}"/>
    <cellStyle name="Comma 4 3 5 8" xfId="2783" xr:uid="{00000000-0005-0000-0000-0000C6090000}"/>
    <cellStyle name="Comma 4 3 5 8 2" xfId="7006" xr:uid="{00000000-0005-0000-0000-0000C7090000}"/>
    <cellStyle name="Comma 4 3 5 8 2 2" xfId="32338" xr:uid="{6ED15818-BF24-4CC4-A200-B1D9C8D03732}"/>
    <cellStyle name="Comma 4 3 5 8 2 3" xfId="23897" xr:uid="{890C261B-49A5-4FC3-AF6F-0E63CA571FC2}"/>
    <cellStyle name="Comma 4 3 5 8 2 4" xfId="15456" xr:uid="{0F8FFBAD-D15E-4447-8D96-967A2B3BDCB1}"/>
    <cellStyle name="Comma 4 3 5 8 3" xfId="28120" xr:uid="{38B5E3FE-4A6F-437A-8687-BAA51ABF7C07}"/>
    <cellStyle name="Comma 4 3 5 8 4" xfId="19679" xr:uid="{AF8D80FA-1DC5-4A5A-BDD3-712F49348054}"/>
    <cellStyle name="Comma 4 3 5 8 5" xfId="11238" xr:uid="{412A2D73-9B4B-48AF-985D-7A40066E785B}"/>
    <cellStyle name="Comma 4 3 5 9" xfId="4623" xr:uid="{00000000-0005-0000-0000-0000C8090000}"/>
    <cellStyle name="Comma 4 3 5 9 2" xfId="29955" xr:uid="{C1304116-A85F-4A03-BB16-64B63A239983}"/>
    <cellStyle name="Comma 4 3 5 9 3" xfId="21514" xr:uid="{44FE2CB4-749F-4062-B49C-BCF74E7691D4}"/>
    <cellStyle name="Comma 4 3 5 9 4" xfId="13073" xr:uid="{719DA539-673E-43D8-8715-D6CDA95B116C}"/>
    <cellStyle name="Comma 4 4" xfId="153" xr:uid="{00000000-0005-0000-0000-0000C9090000}"/>
    <cellStyle name="Comma 4 4 10" xfId="2784" xr:uid="{00000000-0005-0000-0000-0000CA090000}"/>
    <cellStyle name="Comma 4 4 10 2" xfId="7007" xr:uid="{00000000-0005-0000-0000-0000CB090000}"/>
    <cellStyle name="Comma 4 4 10 2 2" xfId="32339" xr:uid="{13B1FECD-4168-4954-AAFD-85034C17AE5F}"/>
    <cellStyle name="Comma 4 4 10 2 3" xfId="23898" xr:uid="{49EE25C4-FEE9-4966-B685-29720AA0520B}"/>
    <cellStyle name="Comma 4 4 10 2 4" xfId="15457" xr:uid="{FC6936D9-F858-4CC5-B3E6-0138CEBC0A77}"/>
    <cellStyle name="Comma 4 4 10 3" xfId="28121" xr:uid="{E2945529-2473-44DC-A14E-18EE3DA8335E}"/>
    <cellStyle name="Comma 4 4 10 4" xfId="19680" xr:uid="{C9E34C6B-3045-4A91-A8BD-92DA91CBD2C1}"/>
    <cellStyle name="Comma 4 4 10 5" xfId="11239" xr:uid="{2CF63A1B-4F0E-4637-879E-9A8020864C07}"/>
    <cellStyle name="Comma 4 4 11" xfId="4624" xr:uid="{00000000-0005-0000-0000-0000CC090000}"/>
    <cellStyle name="Comma 4 4 11 2" xfId="29956" xr:uid="{255C167C-7744-401A-9472-0A53EA87D823}"/>
    <cellStyle name="Comma 4 4 11 3" xfId="21515" xr:uid="{83D31192-F954-4090-9C51-7248B7721667}"/>
    <cellStyle name="Comma 4 4 11 4" xfId="13074" xr:uid="{4562709B-4009-4B72-8FE2-5A96C8D0804E}"/>
    <cellStyle name="Comma 4 4 12" xfId="25738" xr:uid="{E689C89B-0A1F-4E60-A982-7581AC53F926}"/>
    <cellStyle name="Comma 4 4 13" xfId="17297" xr:uid="{5D2C1EB6-FDD7-4768-B41A-F3D9BD9AC183}"/>
    <cellStyle name="Comma 4 4 14" xfId="8856" xr:uid="{52153DD7-ACCE-4B8C-B8DB-C99BE2A45102}"/>
    <cellStyle name="Comma 4 4 2" xfId="154" xr:uid="{00000000-0005-0000-0000-0000CD090000}"/>
    <cellStyle name="Comma 4 4 2 10" xfId="4625" xr:uid="{00000000-0005-0000-0000-0000CE090000}"/>
    <cellStyle name="Comma 4 4 2 10 2" xfId="29957" xr:uid="{CFF2EDA0-7810-416C-960C-238DCE1E8175}"/>
    <cellStyle name="Comma 4 4 2 10 3" xfId="21516" xr:uid="{FEB7FB3A-7F2C-46F4-B705-0A9947FAF901}"/>
    <cellStyle name="Comma 4 4 2 10 4" xfId="13075" xr:uid="{AFC47CEC-F0DE-4A81-AC24-AD945FFFB9F1}"/>
    <cellStyle name="Comma 4 4 2 11" xfId="25739" xr:uid="{42EA7A0A-E274-49D9-9474-5D7781A090CF}"/>
    <cellStyle name="Comma 4 4 2 12" xfId="17298" xr:uid="{6A490621-FE65-40BD-A95E-564FB0844249}"/>
    <cellStyle name="Comma 4 4 2 13" xfId="8857" xr:uid="{CD016C1C-9B51-4E82-8B18-717A0104753C}"/>
    <cellStyle name="Comma 4 4 2 2" xfId="155" xr:uid="{00000000-0005-0000-0000-0000CF090000}"/>
    <cellStyle name="Comma 4 4 2 2 10" xfId="25740" xr:uid="{0CAB9A54-EC35-425D-849C-488B45792A0F}"/>
    <cellStyle name="Comma 4 4 2 2 11" xfId="17299" xr:uid="{40403560-32F5-4F13-8BBD-8C3747F392F1}"/>
    <cellStyle name="Comma 4 4 2 2 12" xfId="8858" xr:uid="{1C7C6CD8-1C2A-4F00-801F-FDC01B588860}"/>
    <cellStyle name="Comma 4 4 2 2 2" xfId="692" xr:uid="{00000000-0005-0000-0000-0000D0090000}"/>
    <cellStyle name="Comma 4 4 2 2 2 2" xfId="2963" xr:uid="{00000000-0005-0000-0000-0000D1090000}"/>
    <cellStyle name="Comma 4 4 2 2 2 2 2" xfId="7185" xr:uid="{00000000-0005-0000-0000-0000D2090000}"/>
    <cellStyle name="Comma 4 4 2 2 2 2 2 2" xfId="32517" xr:uid="{A0F3889C-C406-48E1-9041-37A565C45469}"/>
    <cellStyle name="Comma 4 4 2 2 2 2 2 3" xfId="24076" xr:uid="{F9323866-977A-47FC-8F74-71C9124D9AF4}"/>
    <cellStyle name="Comma 4 4 2 2 2 2 2 4" xfId="15635" xr:uid="{DD409947-74B1-4568-8E4C-476A1E92BB22}"/>
    <cellStyle name="Comma 4 4 2 2 2 2 3" xfId="28299" xr:uid="{13542060-85D4-4474-B089-5B3708FBA3C7}"/>
    <cellStyle name="Comma 4 4 2 2 2 2 4" xfId="19858" xr:uid="{FB118056-7C57-40EF-A7F7-8872C8A66FF9}"/>
    <cellStyle name="Comma 4 4 2 2 2 2 5" xfId="11417" xr:uid="{1B19A5EF-BD8D-41A8-8DEB-AFBD229584CB}"/>
    <cellStyle name="Comma 4 4 2 2 2 3" xfId="5040" xr:uid="{00000000-0005-0000-0000-0000D3090000}"/>
    <cellStyle name="Comma 4 4 2 2 2 3 2" xfId="30372" xr:uid="{0E59D06A-2E2D-463B-A76A-71E239436396}"/>
    <cellStyle name="Comma 4 4 2 2 2 3 3" xfId="21931" xr:uid="{29603D53-DD14-4CDA-93CF-7B4DA135C0A2}"/>
    <cellStyle name="Comma 4 4 2 2 2 3 4" xfId="13490" xr:uid="{E884ACDF-3885-4D76-8CE1-35A8BAF5F195}"/>
    <cellStyle name="Comma 4 4 2 2 2 4" xfId="26154" xr:uid="{A53ACED2-6207-484B-B254-34A9584C9B1E}"/>
    <cellStyle name="Comma 4 4 2 2 2 5" xfId="17713" xr:uid="{33C6AF9B-2C87-417D-BEC3-C6963790CE6D}"/>
    <cellStyle name="Comma 4 4 2 2 2 6" xfId="9272" xr:uid="{F1C3EEE6-5B24-415A-847C-F2BCA1FFA0BE}"/>
    <cellStyle name="Comma 4 4 2 2 3" xfId="1145" xr:uid="{00000000-0005-0000-0000-0000D4090000}"/>
    <cellStyle name="Comma 4 4 2 2 3 2" xfId="3376" xr:uid="{00000000-0005-0000-0000-0000D5090000}"/>
    <cellStyle name="Comma 4 4 2 2 3 2 2" xfId="7598" xr:uid="{00000000-0005-0000-0000-0000D6090000}"/>
    <cellStyle name="Comma 4 4 2 2 3 2 2 2" xfId="32930" xr:uid="{96A8A2C7-1F6E-4FFA-B44D-2F0FF703EBEB}"/>
    <cellStyle name="Comma 4 4 2 2 3 2 2 3" xfId="24489" xr:uid="{AB6B1643-45E2-4D54-9980-61199250551B}"/>
    <cellStyle name="Comma 4 4 2 2 3 2 2 4" xfId="16048" xr:uid="{AC584A01-5FF7-4A8F-B787-B1A7D8B17453}"/>
    <cellStyle name="Comma 4 4 2 2 3 2 3" xfId="28712" xr:uid="{0679730E-B79E-4BBD-96C5-8A57B77C6900}"/>
    <cellStyle name="Comma 4 4 2 2 3 2 4" xfId="20271" xr:uid="{2E6C7DBA-B37B-4CF7-9E71-C41CE23347BE}"/>
    <cellStyle name="Comma 4 4 2 2 3 2 5" xfId="11830" xr:uid="{BD610A58-5C0F-48B7-8E78-4A54B93F59B3}"/>
    <cellStyle name="Comma 4 4 2 2 3 3" xfId="5453" xr:uid="{00000000-0005-0000-0000-0000D7090000}"/>
    <cellStyle name="Comma 4 4 2 2 3 3 2" xfId="30785" xr:uid="{46B09800-EE9D-4959-8C88-27FFC596DC0A}"/>
    <cellStyle name="Comma 4 4 2 2 3 3 3" xfId="22344" xr:uid="{EF7205C8-7BD2-4851-8E1F-8BC020E40145}"/>
    <cellStyle name="Comma 4 4 2 2 3 3 4" xfId="13903" xr:uid="{383FE7FB-0CC3-40BA-A18C-DBCD43D391BA}"/>
    <cellStyle name="Comma 4 4 2 2 3 4" xfId="26567" xr:uid="{7D678BBF-DEF5-45B8-907A-6AC818F5FC3C}"/>
    <cellStyle name="Comma 4 4 2 2 3 5" xfId="18126" xr:uid="{83BE9D12-C842-4AED-9A1C-443E7595EFD5}"/>
    <cellStyle name="Comma 4 4 2 2 3 6" xfId="9685" xr:uid="{6FCB306C-B6D7-417F-941B-CBB76C3BEEBC}"/>
    <cellStyle name="Comma 4 4 2 2 4" xfId="1559" xr:uid="{00000000-0005-0000-0000-0000D8090000}"/>
    <cellStyle name="Comma 4 4 2 2 4 2" xfId="3789" xr:uid="{00000000-0005-0000-0000-0000D9090000}"/>
    <cellStyle name="Comma 4 4 2 2 4 2 2" xfId="8011" xr:uid="{00000000-0005-0000-0000-0000DA090000}"/>
    <cellStyle name="Comma 4 4 2 2 4 2 2 2" xfId="33343" xr:uid="{C9C5F6EC-A976-4CA0-A1D9-1261F7C4355F}"/>
    <cellStyle name="Comma 4 4 2 2 4 2 2 3" xfId="24902" xr:uid="{D202C80E-A2B0-4FC4-BDF2-C8495E4F7CE8}"/>
    <cellStyle name="Comma 4 4 2 2 4 2 2 4" xfId="16461" xr:uid="{B705F284-7DEF-46D3-A6F3-A8F1872B456D}"/>
    <cellStyle name="Comma 4 4 2 2 4 2 3" xfId="29125" xr:uid="{124AA9CD-CAF6-4A63-8CB9-B632A0EBF795}"/>
    <cellStyle name="Comma 4 4 2 2 4 2 4" xfId="20684" xr:uid="{5CC2879F-F499-4907-84B9-9C8003C4A549}"/>
    <cellStyle name="Comma 4 4 2 2 4 2 5" xfId="12243" xr:uid="{513670C2-85BE-475D-81B3-A7C3295CD02E}"/>
    <cellStyle name="Comma 4 4 2 2 4 3" xfId="5866" xr:uid="{00000000-0005-0000-0000-0000DB090000}"/>
    <cellStyle name="Comma 4 4 2 2 4 3 2" xfId="31198" xr:uid="{A0E1E862-0E8C-4CE8-8032-18407AEC8F06}"/>
    <cellStyle name="Comma 4 4 2 2 4 3 3" xfId="22757" xr:uid="{7368A451-FF66-4D5F-92B9-5D7A00124857}"/>
    <cellStyle name="Comma 4 4 2 2 4 3 4" xfId="14316" xr:uid="{F2B813B5-982C-4ECC-96BF-A21FA4953123}"/>
    <cellStyle name="Comma 4 4 2 2 4 4" xfId="26980" xr:uid="{BA3A425A-C20C-4049-8ACA-E5A465DF8395}"/>
    <cellStyle name="Comma 4 4 2 2 4 5" xfId="18539" xr:uid="{F1CB7CE2-A89A-4DF5-8A50-28033DC56289}"/>
    <cellStyle name="Comma 4 4 2 2 4 6" xfId="10098" xr:uid="{7C56AFA1-F6C1-41E5-B9D0-9D0DAF780EE1}"/>
    <cellStyle name="Comma 4 4 2 2 5" xfId="1973" xr:uid="{00000000-0005-0000-0000-0000DC090000}"/>
    <cellStyle name="Comma 4 4 2 2 5 2" xfId="4202" xr:uid="{00000000-0005-0000-0000-0000DD090000}"/>
    <cellStyle name="Comma 4 4 2 2 5 2 2" xfId="8424" xr:uid="{00000000-0005-0000-0000-0000DE090000}"/>
    <cellStyle name="Comma 4 4 2 2 5 2 2 2" xfId="33756" xr:uid="{5C81ECB0-DDF7-4123-805D-5D527107A4FB}"/>
    <cellStyle name="Comma 4 4 2 2 5 2 2 3" xfId="25315" xr:uid="{E27B0083-9FE6-4B55-A2AE-52BBFEEB2018}"/>
    <cellStyle name="Comma 4 4 2 2 5 2 2 4" xfId="16874" xr:uid="{BE914E97-53FD-4A2F-BAFD-22307D4DDD90}"/>
    <cellStyle name="Comma 4 4 2 2 5 2 3" xfId="29538" xr:uid="{A3CAC14F-E635-4B3E-A6AC-F1D8599A8462}"/>
    <cellStyle name="Comma 4 4 2 2 5 2 4" xfId="21097" xr:uid="{09196A6B-4B55-4E53-8B70-230F3ACE8A7C}"/>
    <cellStyle name="Comma 4 4 2 2 5 2 5" xfId="12656" xr:uid="{5D255191-316D-44CF-B0AF-C99975DA8F6D}"/>
    <cellStyle name="Comma 4 4 2 2 5 3" xfId="6279" xr:uid="{00000000-0005-0000-0000-0000DF090000}"/>
    <cellStyle name="Comma 4 4 2 2 5 3 2" xfId="31611" xr:uid="{D4618E33-23AF-45C0-A258-D37A3722C932}"/>
    <cellStyle name="Comma 4 4 2 2 5 3 3" xfId="23170" xr:uid="{231E7D5E-A9F7-449B-9CEC-00206FFAE088}"/>
    <cellStyle name="Comma 4 4 2 2 5 3 4" xfId="14729" xr:uid="{7569DE01-DC81-4626-AFE1-8DF1C5372AF1}"/>
    <cellStyle name="Comma 4 4 2 2 5 4" xfId="27393" xr:uid="{6D60250E-EC1C-4CEC-BE31-5B3D6FBCC728}"/>
    <cellStyle name="Comma 4 4 2 2 5 5" xfId="18952" xr:uid="{35D50EBC-D932-49AC-89AD-98558D5E670D}"/>
    <cellStyle name="Comma 4 4 2 2 5 6" xfId="10511" xr:uid="{81A4B1D1-6477-462A-8333-339107387D6C}"/>
    <cellStyle name="Comma 4 4 2 2 6" xfId="2408" xr:uid="{00000000-0005-0000-0000-0000E0090000}"/>
    <cellStyle name="Comma 4 4 2 2 6 2" xfId="6692" xr:uid="{00000000-0005-0000-0000-0000E1090000}"/>
    <cellStyle name="Comma 4 4 2 2 6 2 2" xfId="32024" xr:uid="{8A3A9813-F05B-4F1B-B806-428B51446C0F}"/>
    <cellStyle name="Comma 4 4 2 2 6 2 3" xfId="23583" xr:uid="{697B703C-0332-4CBA-90D4-7099016D4C6F}"/>
    <cellStyle name="Comma 4 4 2 2 6 2 4" xfId="15142" xr:uid="{11D2765B-9A03-4256-B049-FDE83EDCFAC3}"/>
    <cellStyle name="Comma 4 4 2 2 6 3" xfId="27806" xr:uid="{5A56A651-8F6A-4993-B778-D9850B56D593}"/>
    <cellStyle name="Comma 4 4 2 2 6 4" xfId="19365" xr:uid="{D080ACC1-6540-4D43-9AD9-E39E657A5BC4}"/>
    <cellStyle name="Comma 4 4 2 2 6 5" xfId="10924" xr:uid="{115D78BC-B740-4AA9-A366-22ED7E83C339}"/>
    <cellStyle name="Comma 4 4 2 2 7" xfId="2704" xr:uid="{00000000-0005-0000-0000-0000E2090000}"/>
    <cellStyle name="Comma 4 4 2 2 8" xfId="2786" xr:uid="{00000000-0005-0000-0000-0000E3090000}"/>
    <cellStyle name="Comma 4 4 2 2 8 2" xfId="7009" xr:uid="{00000000-0005-0000-0000-0000E4090000}"/>
    <cellStyle name="Comma 4 4 2 2 8 2 2" xfId="32341" xr:uid="{2A14C925-C95C-46DD-96A5-05A112529596}"/>
    <cellStyle name="Comma 4 4 2 2 8 2 3" xfId="23900" xr:uid="{31569F67-16A3-4643-96A6-E897A924EC52}"/>
    <cellStyle name="Comma 4 4 2 2 8 2 4" xfId="15459" xr:uid="{3FB70F49-58B6-46FB-B065-085F6BF9C136}"/>
    <cellStyle name="Comma 4 4 2 2 8 3" xfId="28123" xr:uid="{5F43A7F3-A973-47BE-986E-72D63BC82B1D}"/>
    <cellStyle name="Comma 4 4 2 2 8 4" xfId="19682" xr:uid="{8C6E726E-21B9-45A0-AC5A-A1423C04C7CE}"/>
    <cellStyle name="Comma 4 4 2 2 8 5" xfId="11241" xr:uid="{B3B7C45D-00A2-4A27-BC89-4ECAD9AFA15A}"/>
    <cellStyle name="Comma 4 4 2 2 9" xfId="4626" xr:uid="{00000000-0005-0000-0000-0000E5090000}"/>
    <cellStyle name="Comma 4 4 2 2 9 2" xfId="29958" xr:uid="{62BE8AC2-C60D-4FA8-BB1E-8D2421216936}"/>
    <cellStyle name="Comma 4 4 2 2 9 3" xfId="21517" xr:uid="{FB7A3240-F292-40DE-B182-17C4B81DF37C}"/>
    <cellStyle name="Comma 4 4 2 2 9 4" xfId="13076" xr:uid="{9D1F45A1-6115-4DC2-9635-818628E66C34}"/>
    <cellStyle name="Comma 4 4 2 3" xfId="691" xr:uid="{00000000-0005-0000-0000-0000E6090000}"/>
    <cellStyle name="Comma 4 4 2 3 2" xfId="2962" xr:uid="{00000000-0005-0000-0000-0000E7090000}"/>
    <cellStyle name="Comma 4 4 2 3 2 2" xfId="7184" xr:uid="{00000000-0005-0000-0000-0000E8090000}"/>
    <cellStyle name="Comma 4 4 2 3 2 2 2" xfId="32516" xr:uid="{F5B65538-880B-477D-9150-2A609C2F02BD}"/>
    <cellStyle name="Comma 4 4 2 3 2 2 3" xfId="24075" xr:uid="{816F78A2-D4DF-4AA7-80C0-D6973A5BD8BD}"/>
    <cellStyle name="Comma 4 4 2 3 2 2 4" xfId="15634" xr:uid="{54E84E78-540E-4296-AB50-717263544330}"/>
    <cellStyle name="Comma 4 4 2 3 2 3" xfId="28298" xr:uid="{81B3AA23-0977-46BD-AECF-2B84DE291B95}"/>
    <cellStyle name="Comma 4 4 2 3 2 4" xfId="19857" xr:uid="{3B450CB6-E7C7-4555-B328-348ADE54A97B}"/>
    <cellStyle name="Comma 4 4 2 3 2 5" xfId="11416" xr:uid="{4F21965E-51FD-4129-8E0D-F91E1C44D9C4}"/>
    <cellStyle name="Comma 4 4 2 3 3" xfId="5039" xr:uid="{00000000-0005-0000-0000-0000E9090000}"/>
    <cellStyle name="Comma 4 4 2 3 3 2" xfId="30371" xr:uid="{5A278062-EA33-4BB2-B87A-9373AE0EED5C}"/>
    <cellStyle name="Comma 4 4 2 3 3 3" xfId="21930" xr:uid="{2BCEB241-4DA1-4B5E-AE61-CB1239C6643F}"/>
    <cellStyle name="Comma 4 4 2 3 3 4" xfId="13489" xr:uid="{E7435929-C860-4A82-B64A-6DB92389FB66}"/>
    <cellStyle name="Comma 4 4 2 3 4" xfId="26153" xr:uid="{38277D14-000B-42AF-809F-65281BEB278C}"/>
    <cellStyle name="Comma 4 4 2 3 5" xfId="17712" xr:uid="{8FF67326-F3E4-4CF7-A89B-8DDCC5E201F9}"/>
    <cellStyle name="Comma 4 4 2 3 6" xfId="9271" xr:uid="{FC717650-AB94-4447-BD3D-DA8C97A7B11A}"/>
    <cellStyle name="Comma 4 4 2 4" xfId="1144" xr:uid="{00000000-0005-0000-0000-0000EA090000}"/>
    <cellStyle name="Comma 4 4 2 4 2" xfId="3375" xr:uid="{00000000-0005-0000-0000-0000EB090000}"/>
    <cellStyle name="Comma 4 4 2 4 2 2" xfId="7597" xr:uid="{00000000-0005-0000-0000-0000EC090000}"/>
    <cellStyle name="Comma 4 4 2 4 2 2 2" xfId="32929" xr:uid="{36060F75-2C1E-422E-80EF-5A509556555C}"/>
    <cellStyle name="Comma 4 4 2 4 2 2 3" xfId="24488" xr:uid="{BDD3F77A-7896-4803-B0A0-E36AA0C0EA00}"/>
    <cellStyle name="Comma 4 4 2 4 2 2 4" xfId="16047" xr:uid="{F22E857D-B460-4EFC-AC25-824D2888115C}"/>
    <cellStyle name="Comma 4 4 2 4 2 3" xfId="28711" xr:uid="{2A714EF0-237F-4FDB-9DCA-1A1C6816A022}"/>
    <cellStyle name="Comma 4 4 2 4 2 4" xfId="20270" xr:uid="{513F2935-1561-416D-935C-16F04CD9E6A6}"/>
    <cellStyle name="Comma 4 4 2 4 2 5" xfId="11829" xr:uid="{3760D4AD-40F1-4385-81C0-6F468E189230}"/>
    <cellStyle name="Comma 4 4 2 4 3" xfId="5452" xr:uid="{00000000-0005-0000-0000-0000ED090000}"/>
    <cellStyle name="Comma 4 4 2 4 3 2" xfId="30784" xr:uid="{E04CFABE-C94B-49B0-9F8A-2BFABAD2FBD2}"/>
    <cellStyle name="Comma 4 4 2 4 3 3" xfId="22343" xr:uid="{F12E5211-6350-42EB-B65C-BFC05F459627}"/>
    <cellStyle name="Comma 4 4 2 4 3 4" xfId="13902" xr:uid="{5C7E3E87-213E-49F2-B8C0-A2ACA73D0F8C}"/>
    <cellStyle name="Comma 4 4 2 4 4" xfId="26566" xr:uid="{B1703F12-B3E7-49BF-9439-7477E2EBA4F2}"/>
    <cellStyle name="Comma 4 4 2 4 5" xfId="18125" xr:uid="{FBB3EC8A-43D1-48C5-A163-BFA1365EE4A2}"/>
    <cellStyle name="Comma 4 4 2 4 6" xfId="9684" xr:uid="{545E0619-AF6F-457A-B6BC-0FC55DC90FFA}"/>
    <cellStyle name="Comma 4 4 2 5" xfId="1558" xr:uid="{00000000-0005-0000-0000-0000EE090000}"/>
    <cellStyle name="Comma 4 4 2 5 2" xfId="3788" xr:uid="{00000000-0005-0000-0000-0000EF090000}"/>
    <cellStyle name="Comma 4 4 2 5 2 2" xfId="8010" xr:uid="{00000000-0005-0000-0000-0000F0090000}"/>
    <cellStyle name="Comma 4 4 2 5 2 2 2" xfId="33342" xr:uid="{7E2AFCE9-A69E-4D9B-BABF-A06E4ABDEEFE}"/>
    <cellStyle name="Comma 4 4 2 5 2 2 3" xfId="24901" xr:uid="{E659BBFC-023D-420B-81BD-D00851D0FBE8}"/>
    <cellStyle name="Comma 4 4 2 5 2 2 4" xfId="16460" xr:uid="{DF85C08D-C940-4CAB-8C1E-4E5327F700F4}"/>
    <cellStyle name="Comma 4 4 2 5 2 3" xfId="29124" xr:uid="{5F62D6D2-18E8-4B72-B750-7D473D0A429B}"/>
    <cellStyle name="Comma 4 4 2 5 2 4" xfId="20683" xr:uid="{4C8A2288-6E09-4347-ADD2-4077F2701265}"/>
    <cellStyle name="Comma 4 4 2 5 2 5" xfId="12242" xr:uid="{57DB00CA-A7C0-4FC0-A66C-78AE37899E07}"/>
    <cellStyle name="Comma 4 4 2 5 3" xfId="5865" xr:uid="{00000000-0005-0000-0000-0000F1090000}"/>
    <cellStyle name="Comma 4 4 2 5 3 2" xfId="31197" xr:uid="{1300E83A-0028-41F1-BCCF-000D729C854F}"/>
    <cellStyle name="Comma 4 4 2 5 3 3" xfId="22756" xr:uid="{5DC25D08-D158-437B-B4AC-9FB2121D00D6}"/>
    <cellStyle name="Comma 4 4 2 5 3 4" xfId="14315" xr:uid="{AB63F986-3D71-41DF-8DFD-9640A6BC4E1D}"/>
    <cellStyle name="Comma 4 4 2 5 4" xfId="26979" xr:uid="{100D9AA8-BE99-4AEF-B28F-B54BEE40DF0A}"/>
    <cellStyle name="Comma 4 4 2 5 5" xfId="18538" xr:uid="{DA390E40-8CD2-48AC-B617-63439A8492D7}"/>
    <cellStyle name="Comma 4 4 2 5 6" xfId="10097" xr:uid="{61A4264A-2DEB-4EE2-B5C7-6DFA89C1B04D}"/>
    <cellStyle name="Comma 4 4 2 6" xfId="1972" xr:uid="{00000000-0005-0000-0000-0000F2090000}"/>
    <cellStyle name="Comma 4 4 2 6 2" xfId="4201" xr:uid="{00000000-0005-0000-0000-0000F3090000}"/>
    <cellStyle name="Comma 4 4 2 6 2 2" xfId="8423" xr:uid="{00000000-0005-0000-0000-0000F4090000}"/>
    <cellStyle name="Comma 4 4 2 6 2 2 2" xfId="33755" xr:uid="{7AE4C8FB-71B4-4EAE-B39E-BB68CE050BA7}"/>
    <cellStyle name="Comma 4 4 2 6 2 2 3" xfId="25314" xr:uid="{01554A0B-DEA5-48F0-836D-61D096E68A9E}"/>
    <cellStyle name="Comma 4 4 2 6 2 2 4" xfId="16873" xr:uid="{FBE7DCFA-56D2-420D-82CB-6BDACB13A756}"/>
    <cellStyle name="Comma 4 4 2 6 2 3" xfId="29537" xr:uid="{7176E399-EAD8-4E13-9E4F-27995124B5B5}"/>
    <cellStyle name="Comma 4 4 2 6 2 4" xfId="21096" xr:uid="{43966462-737B-4C0D-A2D8-89ACD5EAB23B}"/>
    <cellStyle name="Comma 4 4 2 6 2 5" xfId="12655" xr:uid="{E9C2E021-D009-41D0-8B58-77521B7DD76C}"/>
    <cellStyle name="Comma 4 4 2 6 3" xfId="6278" xr:uid="{00000000-0005-0000-0000-0000F5090000}"/>
    <cellStyle name="Comma 4 4 2 6 3 2" xfId="31610" xr:uid="{C2A9B807-6A2D-40FC-AAD7-55D82F7999CA}"/>
    <cellStyle name="Comma 4 4 2 6 3 3" xfId="23169" xr:uid="{E78EB852-401B-4CAB-9D52-DFDA8B30B403}"/>
    <cellStyle name="Comma 4 4 2 6 3 4" xfId="14728" xr:uid="{C225601D-A5D4-4CED-A7B2-4F7483F41579}"/>
    <cellStyle name="Comma 4 4 2 6 4" xfId="27392" xr:uid="{5F1CE260-2A09-418E-8C6C-245A32D34886}"/>
    <cellStyle name="Comma 4 4 2 6 5" xfId="18951" xr:uid="{62EC2576-898E-45A6-8F81-0689C36558A3}"/>
    <cellStyle name="Comma 4 4 2 6 6" xfId="10510" xr:uid="{EFF46D79-851E-454A-B3E5-986D02A4E0AE}"/>
    <cellStyle name="Comma 4 4 2 7" xfId="2407" xr:uid="{00000000-0005-0000-0000-0000F6090000}"/>
    <cellStyle name="Comma 4 4 2 7 2" xfId="6691" xr:uid="{00000000-0005-0000-0000-0000F7090000}"/>
    <cellStyle name="Comma 4 4 2 7 2 2" xfId="32023" xr:uid="{EC0272D2-315D-4B43-88C7-976ABBBB574E}"/>
    <cellStyle name="Comma 4 4 2 7 2 3" xfId="23582" xr:uid="{250D741E-AFBB-473C-836D-1700D554EC59}"/>
    <cellStyle name="Comma 4 4 2 7 2 4" xfId="15141" xr:uid="{471F4FD2-9FA0-4A7D-93E0-575C16706F32}"/>
    <cellStyle name="Comma 4 4 2 7 3" xfId="27805" xr:uid="{5ACC1884-D45F-4081-A2D1-7B2E92D41CCB}"/>
    <cellStyle name="Comma 4 4 2 7 4" xfId="19364" xr:uid="{BA32F7A3-0544-4488-8EAF-861A0FE5F1FB}"/>
    <cellStyle name="Comma 4 4 2 7 5" xfId="10923" xr:uid="{5F333DAE-2693-4CF2-B625-2CFA7BE69556}"/>
    <cellStyle name="Comma 4 4 2 8" xfId="2703" xr:uid="{00000000-0005-0000-0000-0000F8090000}"/>
    <cellStyle name="Comma 4 4 2 9" xfId="2785" xr:uid="{00000000-0005-0000-0000-0000F9090000}"/>
    <cellStyle name="Comma 4 4 2 9 2" xfId="7008" xr:uid="{00000000-0005-0000-0000-0000FA090000}"/>
    <cellStyle name="Comma 4 4 2 9 2 2" xfId="32340" xr:uid="{EAF107E5-4B52-4B27-87BB-F43AD65648B7}"/>
    <cellStyle name="Comma 4 4 2 9 2 3" xfId="23899" xr:uid="{48A1B622-2B09-4141-A816-09648291955D}"/>
    <cellStyle name="Comma 4 4 2 9 2 4" xfId="15458" xr:uid="{7CCCC2BA-E2ED-4B44-BAA4-154702BAA392}"/>
    <cellStyle name="Comma 4 4 2 9 3" xfId="28122" xr:uid="{B998ACE4-1BC9-4ED3-9C69-DD731E5B3054}"/>
    <cellStyle name="Comma 4 4 2 9 4" xfId="19681" xr:uid="{897DC986-D92E-4779-8AED-79608D753141}"/>
    <cellStyle name="Comma 4 4 2 9 5" xfId="11240" xr:uid="{B315DFF2-00D5-42CE-8E99-BF909953D4E5}"/>
    <cellStyle name="Comma 4 4 3" xfId="156" xr:uid="{00000000-0005-0000-0000-0000FB090000}"/>
    <cellStyle name="Comma 4 4 3 10" xfId="25741" xr:uid="{FC2B0639-BEEE-454F-A671-460998C9788C}"/>
    <cellStyle name="Comma 4 4 3 11" xfId="17300" xr:uid="{C16C4A97-516C-4D21-8C3B-345A707230B5}"/>
    <cellStyle name="Comma 4 4 3 12" xfId="8859" xr:uid="{29C73F21-0037-48A2-A540-F1788019CAEB}"/>
    <cellStyle name="Comma 4 4 3 2" xfId="693" xr:uid="{00000000-0005-0000-0000-0000FC090000}"/>
    <cellStyle name="Comma 4 4 3 2 2" xfId="2964" xr:uid="{00000000-0005-0000-0000-0000FD090000}"/>
    <cellStyle name="Comma 4 4 3 2 2 2" xfId="7186" xr:uid="{00000000-0005-0000-0000-0000FE090000}"/>
    <cellStyle name="Comma 4 4 3 2 2 2 2" xfId="32518" xr:uid="{CD70CC00-9757-47BD-89AD-2433E0AE2A30}"/>
    <cellStyle name="Comma 4 4 3 2 2 2 3" xfId="24077" xr:uid="{41DE2192-D260-4A15-8B18-D4CF35CA1EC4}"/>
    <cellStyle name="Comma 4 4 3 2 2 2 4" xfId="15636" xr:uid="{5203B788-3355-449D-BE66-0959A24C556A}"/>
    <cellStyle name="Comma 4 4 3 2 2 3" xfId="28300" xr:uid="{019FA89F-988E-4531-861C-AC15E2D8229C}"/>
    <cellStyle name="Comma 4 4 3 2 2 4" xfId="19859" xr:uid="{C478F6FF-CB9B-4116-A354-164FEEB724AE}"/>
    <cellStyle name="Comma 4 4 3 2 2 5" xfId="11418" xr:uid="{43D8752D-EB05-42E2-832F-622489E74963}"/>
    <cellStyle name="Comma 4 4 3 2 3" xfId="5041" xr:uid="{00000000-0005-0000-0000-0000FF090000}"/>
    <cellStyle name="Comma 4 4 3 2 3 2" xfId="30373" xr:uid="{6494426E-4627-4A01-ABAE-E8E14613DD8B}"/>
    <cellStyle name="Comma 4 4 3 2 3 3" xfId="21932" xr:uid="{9E0248C3-D2F6-48AD-8772-E519A3AB21C6}"/>
    <cellStyle name="Comma 4 4 3 2 3 4" xfId="13491" xr:uid="{E053A294-E780-4A95-B2D8-43BFCA72B9F5}"/>
    <cellStyle name="Comma 4 4 3 2 4" xfId="26155" xr:uid="{7E276602-5EA1-4E6B-A2BA-7CB6F7345415}"/>
    <cellStyle name="Comma 4 4 3 2 5" xfId="17714" xr:uid="{C10FA00F-E68F-4F7A-ADBA-A2558A3DF1D7}"/>
    <cellStyle name="Comma 4 4 3 2 6" xfId="9273" xr:uid="{71B79DC9-8644-4879-81A5-FB9763B7C024}"/>
    <cellStyle name="Comma 4 4 3 3" xfId="1146" xr:uid="{00000000-0005-0000-0000-0000000A0000}"/>
    <cellStyle name="Comma 4 4 3 3 2" xfId="3377" xr:uid="{00000000-0005-0000-0000-0000010A0000}"/>
    <cellStyle name="Comma 4 4 3 3 2 2" xfId="7599" xr:uid="{00000000-0005-0000-0000-0000020A0000}"/>
    <cellStyle name="Comma 4 4 3 3 2 2 2" xfId="32931" xr:uid="{BAAE7ABA-5A9F-4B91-8127-DFE67A25E37F}"/>
    <cellStyle name="Comma 4 4 3 3 2 2 3" xfId="24490" xr:uid="{D62C7024-D13B-4285-82AA-00AA73F131BA}"/>
    <cellStyle name="Comma 4 4 3 3 2 2 4" xfId="16049" xr:uid="{90CE8213-4EE7-437F-8A66-3BD6B88C7F54}"/>
    <cellStyle name="Comma 4 4 3 3 2 3" xfId="28713" xr:uid="{73A49B3C-91A1-4B10-A995-9C3496F286B9}"/>
    <cellStyle name="Comma 4 4 3 3 2 4" xfId="20272" xr:uid="{5542FAA7-8D72-453F-9640-8BD93A626DBC}"/>
    <cellStyle name="Comma 4 4 3 3 2 5" xfId="11831" xr:uid="{00BBB42B-AC15-4B0C-81DC-9ADAA20B6491}"/>
    <cellStyle name="Comma 4 4 3 3 3" xfId="5454" xr:uid="{00000000-0005-0000-0000-0000030A0000}"/>
    <cellStyle name="Comma 4 4 3 3 3 2" xfId="30786" xr:uid="{FE35680D-250F-441D-B9E6-4A184FE21F6F}"/>
    <cellStyle name="Comma 4 4 3 3 3 3" xfId="22345" xr:uid="{AD635FEF-F6AA-4736-95B8-69A0E12BBB33}"/>
    <cellStyle name="Comma 4 4 3 3 3 4" xfId="13904" xr:uid="{A17B0585-DC3B-4BE0-AA02-04A42B68DFED}"/>
    <cellStyle name="Comma 4 4 3 3 4" xfId="26568" xr:uid="{78D8A6FD-8F84-4A3C-A261-29332BB5A258}"/>
    <cellStyle name="Comma 4 4 3 3 5" xfId="18127" xr:uid="{97BB0C21-0B7B-4FA9-A727-A97CC9168446}"/>
    <cellStyle name="Comma 4 4 3 3 6" xfId="9686" xr:uid="{302E5290-DF7E-491E-A44C-6D912A2C00B9}"/>
    <cellStyle name="Comma 4 4 3 4" xfId="1560" xr:uid="{00000000-0005-0000-0000-0000040A0000}"/>
    <cellStyle name="Comma 4 4 3 4 2" xfId="3790" xr:uid="{00000000-0005-0000-0000-0000050A0000}"/>
    <cellStyle name="Comma 4 4 3 4 2 2" xfId="8012" xr:uid="{00000000-0005-0000-0000-0000060A0000}"/>
    <cellStyle name="Comma 4 4 3 4 2 2 2" xfId="33344" xr:uid="{36906A67-298F-4A9D-918C-99BD11558F1E}"/>
    <cellStyle name="Comma 4 4 3 4 2 2 3" xfId="24903" xr:uid="{9ECDF1BC-85DC-428A-BDAF-78B0500E6EAD}"/>
    <cellStyle name="Comma 4 4 3 4 2 2 4" xfId="16462" xr:uid="{03275CBF-E877-4486-BA4C-50CFF5965A7D}"/>
    <cellStyle name="Comma 4 4 3 4 2 3" xfId="29126" xr:uid="{04B7EEBB-95AB-44AD-8AF2-4B6B9FC54A82}"/>
    <cellStyle name="Comma 4 4 3 4 2 4" xfId="20685" xr:uid="{6F180A6C-0E29-473D-9016-EC265CB557A3}"/>
    <cellStyle name="Comma 4 4 3 4 2 5" xfId="12244" xr:uid="{05601349-52A2-4664-A580-E9CA7DC4BC5F}"/>
    <cellStyle name="Comma 4 4 3 4 3" xfId="5867" xr:uid="{00000000-0005-0000-0000-0000070A0000}"/>
    <cellStyle name="Comma 4 4 3 4 3 2" xfId="31199" xr:uid="{31B58FD7-8D97-4CEF-955F-8811F8AFCE74}"/>
    <cellStyle name="Comma 4 4 3 4 3 3" xfId="22758" xr:uid="{B6D73557-DC1C-4B5A-B4E6-8908CCB82FE2}"/>
    <cellStyle name="Comma 4 4 3 4 3 4" xfId="14317" xr:uid="{611DAC50-C77D-4308-ABF4-9984F94C51BA}"/>
    <cellStyle name="Comma 4 4 3 4 4" xfId="26981" xr:uid="{63B98DEE-6087-428B-8B58-54B36A2C40D7}"/>
    <cellStyle name="Comma 4 4 3 4 5" xfId="18540" xr:uid="{C56CED69-C09B-45D8-B2C5-C2DD510568B0}"/>
    <cellStyle name="Comma 4 4 3 4 6" xfId="10099" xr:uid="{6C6197E8-86CB-482D-8A5C-F01F6A86FDE8}"/>
    <cellStyle name="Comma 4 4 3 5" xfId="1974" xr:uid="{00000000-0005-0000-0000-0000080A0000}"/>
    <cellStyle name="Comma 4 4 3 5 2" xfId="4203" xr:uid="{00000000-0005-0000-0000-0000090A0000}"/>
    <cellStyle name="Comma 4 4 3 5 2 2" xfId="8425" xr:uid="{00000000-0005-0000-0000-00000A0A0000}"/>
    <cellStyle name="Comma 4 4 3 5 2 2 2" xfId="33757" xr:uid="{CC538463-898B-4EA3-9CF7-27BB67EC90C4}"/>
    <cellStyle name="Comma 4 4 3 5 2 2 3" xfId="25316" xr:uid="{8902701B-B8B1-4FCF-8157-F4EB5761DB02}"/>
    <cellStyle name="Comma 4 4 3 5 2 2 4" xfId="16875" xr:uid="{5ADA6DFA-9A80-4FF9-B3F0-E7694FCB273A}"/>
    <cellStyle name="Comma 4 4 3 5 2 3" xfId="29539" xr:uid="{2ED9C96B-7B6C-4103-ABF3-924C5D83C741}"/>
    <cellStyle name="Comma 4 4 3 5 2 4" xfId="21098" xr:uid="{DE19ABA0-A3A8-4A19-87BE-CD6289521E1E}"/>
    <cellStyle name="Comma 4 4 3 5 2 5" xfId="12657" xr:uid="{AA67DB62-1F04-4854-9BA4-B85EC0997A57}"/>
    <cellStyle name="Comma 4 4 3 5 3" xfId="6280" xr:uid="{00000000-0005-0000-0000-00000B0A0000}"/>
    <cellStyle name="Comma 4 4 3 5 3 2" xfId="31612" xr:uid="{07AD9E24-DFF5-461E-8D6A-1CB50ED0CA54}"/>
    <cellStyle name="Comma 4 4 3 5 3 3" xfId="23171" xr:uid="{35752685-5CFE-419D-93E7-2515D0F784C0}"/>
    <cellStyle name="Comma 4 4 3 5 3 4" xfId="14730" xr:uid="{B722045E-D667-4DA7-B115-1C3F491B4FC9}"/>
    <cellStyle name="Comma 4 4 3 5 4" xfId="27394" xr:uid="{517B8C3D-CB7D-4F0A-BA2E-128D2CCED9CF}"/>
    <cellStyle name="Comma 4 4 3 5 5" xfId="18953" xr:uid="{D982C9A0-6B98-46B9-94F8-FA1506753B3B}"/>
    <cellStyle name="Comma 4 4 3 5 6" xfId="10512" xr:uid="{EB8E930D-9B00-4DDB-9921-1282F763831A}"/>
    <cellStyle name="Comma 4 4 3 6" xfId="2409" xr:uid="{00000000-0005-0000-0000-00000C0A0000}"/>
    <cellStyle name="Comma 4 4 3 6 2" xfId="6693" xr:uid="{00000000-0005-0000-0000-00000D0A0000}"/>
    <cellStyle name="Comma 4 4 3 6 2 2" xfId="32025" xr:uid="{C645C58D-D0A6-4E3A-BF57-EE1080B85FC8}"/>
    <cellStyle name="Comma 4 4 3 6 2 3" xfId="23584" xr:uid="{3DF5A327-735C-473D-BBE3-42074CFE38A6}"/>
    <cellStyle name="Comma 4 4 3 6 2 4" xfId="15143" xr:uid="{A4C1C402-E41D-47A9-9ED3-EA7EAB9A1687}"/>
    <cellStyle name="Comma 4 4 3 6 3" xfId="27807" xr:uid="{2E21C61A-70F8-407A-8344-BACD847303AB}"/>
    <cellStyle name="Comma 4 4 3 6 4" xfId="19366" xr:uid="{768A5C32-F754-4A99-954A-BDA477EF8035}"/>
    <cellStyle name="Comma 4 4 3 6 5" xfId="10925" xr:uid="{C78BE9A3-2E16-42D9-89A7-07D525510C69}"/>
    <cellStyle name="Comma 4 4 3 7" xfId="2705" xr:uid="{00000000-0005-0000-0000-00000E0A0000}"/>
    <cellStyle name="Comma 4 4 3 8" xfId="2787" xr:uid="{00000000-0005-0000-0000-00000F0A0000}"/>
    <cellStyle name="Comma 4 4 3 8 2" xfId="7010" xr:uid="{00000000-0005-0000-0000-0000100A0000}"/>
    <cellStyle name="Comma 4 4 3 8 2 2" xfId="32342" xr:uid="{BD465D7C-8E98-41C4-A8F5-FB9DCFAB508C}"/>
    <cellStyle name="Comma 4 4 3 8 2 3" xfId="23901" xr:uid="{86CE75CB-66FE-46F8-BD0C-340D09B1A019}"/>
    <cellStyle name="Comma 4 4 3 8 2 4" xfId="15460" xr:uid="{858164F0-96F1-434E-BE2E-C439F789EB3A}"/>
    <cellStyle name="Comma 4 4 3 8 3" xfId="28124" xr:uid="{86BFFF02-430A-44CE-AF8B-7E6DB1269359}"/>
    <cellStyle name="Comma 4 4 3 8 4" xfId="19683" xr:uid="{68E8A66B-F72C-4F3D-AFB9-B36129D92122}"/>
    <cellStyle name="Comma 4 4 3 8 5" xfId="11242" xr:uid="{5F9F6C1D-0DCC-4658-B820-F73756ACBAF9}"/>
    <cellStyle name="Comma 4 4 3 9" xfId="4627" xr:uid="{00000000-0005-0000-0000-0000110A0000}"/>
    <cellStyle name="Comma 4 4 3 9 2" xfId="29959" xr:uid="{02E1AC88-8EBC-496A-BDA7-CA874122FDD4}"/>
    <cellStyle name="Comma 4 4 3 9 3" xfId="21518" xr:uid="{7C204E40-2258-4EF3-B1C2-F26C107C1367}"/>
    <cellStyle name="Comma 4 4 3 9 4" xfId="13077" xr:uid="{BE554F26-E035-42FD-9BA3-4B917241D36F}"/>
    <cellStyle name="Comma 4 4 4" xfId="690" xr:uid="{00000000-0005-0000-0000-0000120A0000}"/>
    <cellStyle name="Comma 4 4 4 2" xfId="2961" xr:uid="{00000000-0005-0000-0000-0000130A0000}"/>
    <cellStyle name="Comma 4 4 4 2 2" xfId="7183" xr:uid="{00000000-0005-0000-0000-0000140A0000}"/>
    <cellStyle name="Comma 4 4 4 2 2 2" xfId="32515" xr:uid="{8A73C6CA-4B78-46D1-A65C-05CA3983F7CA}"/>
    <cellStyle name="Comma 4 4 4 2 2 3" xfId="24074" xr:uid="{F1D67C3B-C219-4B91-AC91-45D5678987E5}"/>
    <cellStyle name="Comma 4 4 4 2 2 4" xfId="15633" xr:uid="{7FB20304-FD3A-481E-B773-61E4BBD17676}"/>
    <cellStyle name="Comma 4 4 4 2 3" xfId="28297" xr:uid="{9794E7EC-A538-4B0A-ABD2-7967CAEBDB21}"/>
    <cellStyle name="Comma 4 4 4 2 4" xfId="19856" xr:uid="{EC6D92BC-B0EF-4C45-8FAA-990F51EAAD99}"/>
    <cellStyle name="Comma 4 4 4 2 5" xfId="11415" xr:uid="{A54CAC5E-A4B9-43C2-A654-72C110310277}"/>
    <cellStyle name="Comma 4 4 4 3" xfId="5038" xr:uid="{00000000-0005-0000-0000-0000150A0000}"/>
    <cellStyle name="Comma 4 4 4 3 2" xfId="30370" xr:uid="{934BCFB3-AEBA-465B-AE3A-1EE69238B687}"/>
    <cellStyle name="Comma 4 4 4 3 3" xfId="21929" xr:uid="{C1AE4194-7E55-4C5C-9E46-E62C6E3737CA}"/>
    <cellStyle name="Comma 4 4 4 3 4" xfId="13488" xr:uid="{D7501BCD-FE7F-4D51-83FD-2DD431FEBE5C}"/>
    <cellStyle name="Comma 4 4 4 4" xfId="26152" xr:uid="{70711129-2AAC-4BF1-B055-11E062ED2B63}"/>
    <cellStyle name="Comma 4 4 4 5" xfId="17711" xr:uid="{E39C5884-F8B8-4501-9BAB-A3FE8EA0C7D5}"/>
    <cellStyle name="Comma 4 4 4 6" xfId="9270" xr:uid="{0ADE1653-AF90-4411-9E78-FED93377FD89}"/>
    <cellStyle name="Comma 4 4 5" xfId="1143" xr:uid="{00000000-0005-0000-0000-0000160A0000}"/>
    <cellStyle name="Comma 4 4 5 2" xfId="3374" xr:uid="{00000000-0005-0000-0000-0000170A0000}"/>
    <cellStyle name="Comma 4 4 5 2 2" xfId="7596" xr:uid="{00000000-0005-0000-0000-0000180A0000}"/>
    <cellStyle name="Comma 4 4 5 2 2 2" xfId="32928" xr:uid="{21F442E9-5A5C-437E-B292-B9953A15159F}"/>
    <cellStyle name="Comma 4 4 5 2 2 3" xfId="24487" xr:uid="{9A7D438D-7C79-4064-A5D4-65253BDD9D59}"/>
    <cellStyle name="Comma 4 4 5 2 2 4" xfId="16046" xr:uid="{09CC79C1-8670-4F19-AB0D-B963FDAD2781}"/>
    <cellStyle name="Comma 4 4 5 2 3" xfId="28710" xr:uid="{96F06F67-93D5-498B-BDEC-336CBE69B3E3}"/>
    <cellStyle name="Comma 4 4 5 2 4" xfId="20269" xr:uid="{A998475A-6683-4687-8DEA-BFF7C0ED0646}"/>
    <cellStyle name="Comma 4 4 5 2 5" xfId="11828" xr:uid="{3344ABAD-BC01-47C0-B8E7-4FF8FBFAAE7B}"/>
    <cellStyle name="Comma 4 4 5 3" xfId="5451" xr:uid="{00000000-0005-0000-0000-0000190A0000}"/>
    <cellStyle name="Comma 4 4 5 3 2" xfId="30783" xr:uid="{EE21BF25-EBAF-421C-A84A-7901C5CDFCC7}"/>
    <cellStyle name="Comma 4 4 5 3 3" xfId="22342" xr:uid="{534EABD4-E15D-4F5B-B64C-CD311F9D9905}"/>
    <cellStyle name="Comma 4 4 5 3 4" xfId="13901" xr:uid="{AB93871A-F85D-4EC5-BF67-81732D3FDFFE}"/>
    <cellStyle name="Comma 4 4 5 4" xfId="26565" xr:uid="{73F8B4C2-C15D-4060-B70D-F6485A35E9E9}"/>
    <cellStyle name="Comma 4 4 5 5" xfId="18124" xr:uid="{0A4C849D-4540-4BA7-8279-35968DCC53E2}"/>
    <cellStyle name="Comma 4 4 5 6" xfId="9683" xr:uid="{847B34C2-9DC5-42A9-8FB6-31C01341FCAC}"/>
    <cellStyle name="Comma 4 4 6" xfId="1557" xr:uid="{00000000-0005-0000-0000-00001A0A0000}"/>
    <cellStyle name="Comma 4 4 6 2" xfId="3787" xr:uid="{00000000-0005-0000-0000-00001B0A0000}"/>
    <cellStyle name="Comma 4 4 6 2 2" xfId="8009" xr:uid="{00000000-0005-0000-0000-00001C0A0000}"/>
    <cellStyle name="Comma 4 4 6 2 2 2" xfId="33341" xr:uid="{69B0EBA8-62A1-481F-8602-42828232E417}"/>
    <cellStyle name="Comma 4 4 6 2 2 3" xfId="24900" xr:uid="{88E3ABC9-F693-4766-9F8F-0DA1FFE9C254}"/>
    <cellStyle name="Comma 4 4 6 2 2 4" xfId="16459" xr:uid="{C69E77D8-134A-4DAE-905B-3396BA1B1C5D}"/>
    <cellStyle name="Comma 4 4 6 2 3" xfId="29123" xr:uid="{E880A6FE-4DE6-4ACA-82FF-B54DD5118129}"/>
    <cellStyle name="Comma 4 4 6 2 4" xfId="20682" xr:uid="{4522FD96-92AD-4307-9A74-9406BE507CF7}"/>
    <cellStyle name="Comma 4 4 6 2 5" xfId="12241" xr:uid="{EE49C05E-ECB1-4F34-92E1-2F4E90759502}"/>
    <cellStyle name="Comma 4 4 6 3" xfId="5864" xr:uid="{00000000-0005-0000-0000-00001D0A0000}"/>
    <cellStyle name="Comma 4 4 6 3 2" xfId="31196" xr:uid="{213CA3F7-EB07-40A6-9979-486173C9FF0B}"/>
    <cellStyle name="Comma 4 4 6 3 3" xfId="22755" xr:uid="{95B46F9F-C0DC-4973-AE5E-7581DD5A8C40}"/>
    <cellStyle name="Comma 4 4 6 3 4" xfId="14314" xr:uid="{6ACAE76D-4E92-4420-827C-F61DF371EF3D}"/>
    <cellStyle name="Comma 4 4 6 4" xfId="26978" xr:uid="{20BF7996-01E2-4BF3-A5BE-FCA5DDDCC1A8}"/>
    <cellStyle name="Comma 4 4 6 5" xfId="18537" xr:uid="{273339BF-F4BD-4F6F-B8F4-9425C7437E20}"/>
    <cellStyle name="Comma 4 4 6 6" xfId="10096" xr:uid="{868ADC76-2733-41B7-A01B-E8C90240B901}"/>
    <cellStyle name="Comma 4 4 7" xfId="1971" xr:uid="{00000000-0005-0000-0000-00001E0A0000}"/>
    <cellStyle name="Comma 4 4 7 2" xfId="4200" xr:uid="{00000000-0005-0000-0000-00001F0A0000}"/>
    <cellStyle name="Comma 4 4 7 2 2" xfId="8422" xr:uid="{00000000-0005-0000-0000-0000200A0000}"/>
    <cellStyle name="Comma 4 4 7 2 2 2" xfId="33754" xr:uid="{5299925F-166D-4989-A7B8-EF2093536CF8}"/>
    <cellStyle name="Comma 4 4 7 2 2 3" xfId="25313" xr:uid="{84245D97-5355-4DD2-A8BD-F387EE875D41}"/>
    <cellStyle name="Comma 4 4 7 2 2 4" xfId="16872" xr:uid="{F0AFA939-B484-474A-A7A0-2C8973E6EBCB}"/>
    <cellStyle name="Comma 4 4 7 2 3" xfId="29536" xr:uid="{2B4233F9-FA4D-4BB3-A383-2FD4DC98035A}"/>
    <cellStyle name="Comma 4 4 7 2 4" xfId="21095" xr:uid="{8766D811-3BAE-425D-AB27-1CC65F27B5DD}"/>
    <cellStyle name="Comma 4 4 7 2 5" xfId="12654" xr:uid="{650618DC-96AE-469A-B6EA-4CC9E42D5A78}"/>
    <cellStyle name="Comma 4 4 7 3" xfId="6277" xr:uid="{00000000-0005-0000-0000-0000210A0000}"/>
    <cellStyle name="Comma 4 4 7 3 2" xfId="31609" xr:uid="{5AEBB28D-390B-4DD3-A346-BCA53AB8C677}"/>
    <cellStyle name="Comma 4 4 7 3 3" xfId="23168" xr:uid="{2B022CDC-008A-440D-91DD-B2A95A6935B1}"/>
    <cellStyle name="Comma 4 4 7 3 4" xfId="14727" xr:uid="{F33CD6DE-6CD8-4E69-864C-B7451BD1DE2E}"/>
    <cellStyle name="Comma 4 4 7 4" xfId="27391" xr:uid="{C5646644-F59A-4CB8-A55C-153F1D55EF52}"/>
    <cellStyle name="Comma 4 4 7 5" xfId="18950" xr:uid="{77F0347F-DD57-4651-ABE1-BAF018F63018}"/>
    <cellStyle name="Comma 4 4 7 6" xfId="10509" xr:uid="{60B001B6-C2F5-4A01-8931-283611B9BC71}"/>
    <cellStyle name="Comma 4 4 8" xfId="2406" xr:uid="{00000000-0005-0000-0000-0000220A0000}"/>
    <cellStyle name="Comma 4 4 8 2" xfId="6690" xr:uid="{00000000-0005-0000-0000-0000230A0000}"/>
    <cellStyle name="Comma 4 4 8 2 2" xfId="32022" xr:uid="{406ECD4E-AAC7-406B-9406-1C412B4D7E3B}"/>
    <cellStyle name="Comma 4 4 8 2 3" xfId="23581" xr:uid="{D317370E-46B8-40BC-A950-DA85060D810A}"/>
    <cellStyle name="Comma 4 4 8 2 4" xfId="15140" xr:uid="{4ED103AD-77BC-4D4F-BCE3-3F030B5282A2}"/>
    <cellStyle name="Comma 4 4 8 3" xfId="27804" xr:uid="{99A0099E-363A-4BAB-A14F-73D962785242}"/>
    <cellStyle name="Comma 4 4 8 4" xfId="19363" xr:uid="{47B8EA86-9B7F-43A2-B261-18DA0B4672B1}"/>
    <cellStyle name="Comma 4 4 8 5" xfId="10922" xr:uid="{34463169-AF48-43E8-AACE-EC716EA54197}"/>
    <cellStyle name="Comma 4 4 9" xfId="2702" xr:uid="{00000000-0005-0000-0000-0000240A0000}"/>
    <cellStyle name="Comma 4 5" xfId="157" xr:uid="{00000000-0005-0000-0000-0000250A0000}"/>
    <cellStyle name="Comma 4 5 10" xfId="4628" xr:uid="{00000000-0005-0000-0000-0000260A0000}"/>
    <cellStyle name="Comma 4 5 10 2" xfId="29960" xr:uid="{BFC4D771-B97D-45ED-9BEE-A6D65F99C7CD}"/>
    <cellStyle name="Comma 4 5 10 3" xfId="21519" xr:uid="{D0001D97-FD37-4D17-B8E6-7374A8860E90}"/>
    <cellStyle name="Comma 4 5 10 4" xfId="13078" xr:uid="{1A2B856D-51CF-40DB-B616-AA6DA3BD1FC3}"/>
    <cellStyle name="Comma 4 5 11" xfId="25742" xr:uid="{1CD18A54-50BF-4C0E-9225-881BECEE7FD3}"/>
    <cellStyle name="Comma 4 5 12" xfId="17301" xr:uid="{541ABDE4-43EE-46EF-88A1-837B84726C5E}"/>
    <cellStyle name="Comma 4 5 13" xfId="8860" xr:uid="{3C39A6CC-BED1-4BB7-AC05-2E591B359E84}"/>
    <cellStyle name="Comma 4 5 2" xfId="158" xr:uid="{00000000-0005-0000-0000-0000270A0000}"/>
    <cellStyle name="Comma 4 5 2 10" xfId="25743" xr:uid="{1686D131-23F8-4878-9B7D-108BF22470DA}"/>
    <cellStyle name="Comma 4 5 2 11" xfId="17302" xr:uid="{FD219E09-BC7C-4846-9707-11A1CF5F2DC2}"/>
    <cellStyle name="Comma 4 5 2 12" xfId="8861" xr:uid="{5CCA9137-13C4-422C-A7A4-4F2674B00143}"/>
    <cellStyle name="Comma 4 5 2 2" xfId="695" xr:uid="{00000000-0005-0000-0000-0000280A0000}"/>
    <cellStyle name="Comma 4 5 2 2 2" xfId="2966" xr:uid="{00000000-0005-0000-0000-0000290A0000}"/>
    <cellStyle name="Comma 4 5 2 2 2 2" xfId="7188" xr:uid="{00000000-0005-0000-0000-00002A0A0000}"/>
    <cellStyle name="Comma 4 5 2 2 2 2 2" xfId="32520" xr:uid="{91F1EC24-B413-4348-957D-2DC5E8967E21}"/>
    <cellStyle name="Comma 4 5 2 2 2 2 3" xfId="24079" xr:uid="{B5A44E14-250C-411E-849E-DC8203D74CC3}"/>
    <cellStyle name="Comma 4 5 2 2 2 2 4" xfId="15638" xr:uid="{58CB3021-AFEA-4BFF-A15A-6AE5000DE260}"/>
    <cellStyle name="Comma 4 5 2 2 2 3" xfId="28302" xr:uid="{3B99D604-8DB0-402D-8885-92B2F5EAE2DB}"/>
    <cellStyle name="Comma 4 5 2 2 2 4" xfId="19861" xr:uid="{A829A414-427B-4ACB-BBA3-E99C1E1E5FD6}"/>
    <cellStyle name="Comma 4 5 2 2 2 5" xfId="11420" xr:uid="{9527CC42-41F4-4460-9097-A680CE7EE672}"/>
    <cellStyle name="Comma 4 5 2 2 3" xfId="5043" xr:uid="{00000000-0005-0000-0000-00002B0A0000}"/>
    <cellStyle name="Comma 4 5 2 2 3 2" xfId="30375" xr:uid="{E3C2E9F5-DE21-466E-A973-B92B83037B0E}"/>
    <cellStyle name="Comma 4 5 2 2 3 3" xfId="21934" xr:uid="{BE046ECF-C517-4A91-94F2-313F3CBB08D5}"/>
    <cellStyle name="Comma 4 5 2 2 3 4" xfId="13493" xr:uid="{5C6C3081-59FA-49F1-B7A3-2DBF6DDD888C}"/>
    <cellStyle name="Comma 4 5 2 2 4" xfId="26157" xr:uid="{24F4DB84-43A2-4FA7-9E9E-50FE1F11BC72}"/>
    <cellStyle name="Comma 4 5 2 2 5" xfId="17716" xr:uid="{470CF7B8-B7B5-47BD-B64C-8CA6FE23EF96}"/>
    <cellStyle name="Comma 4 5 2 2 6" xfId="9275" xr:uid="{FE01BA41-6386-4981-B9C2-624EA5C1D541}"/>
    <cellStyle name="Comma 4 5 2 3" xfId="1148" xr:uid="{00000000-0005-0000-0000-00002C0A0000}"/>
    <cellStyle name="Comma 4 5 2 3 2" xfId="3379" xr:uid="{00000000-0005-0000-0000-00002D0A0000}"/>
    <cellStyle name="Comma 4 5 2 3 2 2" xfId="7601" xr:uid="{00000000-0005-0000-0000-00002E0A0000}"/>
    <cellStyle name="Comma 4 5 2 3 2 2 2" xfId="32933" xr:uid="{B7A78C4E-EC9E-40E2-9F41-BF451A5542B1}"/>
    <cellStyle name="Comma 4 5 2 3 2 2 3" xfId="24492" xr:uid="{D6935A15-E964-45CB-A042-2EC3E41905E8}"/>
    <cellStyle name="Comma 4 5 2 3 2 2 4" xfId="16051" xr:uid="{C57913D6-DEAC-47E2-81FC-9525821B13BB}"/>
    <cellStyle name="Comma 4 5 2 3 2 3" xfId="28715" xr:uid="{E3B25ADD-9477-43CD-BE97-4C3297FC90E5}"/>
    <cellStyle name="Comma 4 5 2 3 2 4" xfId="20274" xr:uid="{EB2EF9D1-821F-438C-B7E6-D3D819C8DAE4}"/>
    <cellStyle name="Comma 4 5 2 3 2 5" xfId="11833" xr:uid="{0D2C9A11-10A2-408C-91FA-28384D269200}"/>
    <cellStyle name="Comma 4 5 2 3 3" xfId="5456" xr:uid="{00000000-0005-0000-0000-00002F0A0000}"/>
    <cellStyle name="Comma 4 5 2 3 3 2" xfId="30788" xr:uid="{2FE82E8C-1248-43CE-B791-30BF87FF101E}"/>
    <cellStyle name="Comma 4 5 2 3 3 3" xfId="22347" xr:uid="{4161400A-35C2-4D7D-B818-090838E5093D}"/>
    <cellStyle name="Comma 4 5 2 3 3 4" xfId="13906" xr:uid="{CC85C6A5-8B7A-49F7-A877-3D91F810A2C3}"/>
    <cellStyle name="Comma 4 5 2 3 4" xfId="26570" xr:uid="{64065002-3BEC-4136-A000-B92FE0E29C3E}"/>
    <cellStyle name="Comma 4 5 2 3 5" xfId="18129" xr:uid="{028FA8DB-DF25-4506-8911-E2BDD6B454F2}"/>
    <cellStyle name="Comma 4 5 2 3 6" xfId="9688" xr:uid="{955BC222-5EEF-4ED7-BAF0-C813CC1E350C}"/>
    <cellStyle name="Comma 4 5 2 4" xfId="1562" xr:uid="{00000000-0005-0000-0000-0000300A0000}"/>
    <cellStyle name="Comma 4 5 2 4 2" xfId="3792" xr:uid="{00000000-0005-0000-0000-0000310A0000}"/>
    <cellStyle name="Comma 4 5 2 4 2 2" xfId="8014" xr:uid="{00000000-0005-0000-0000-0000320A0000}"/>
    <cellStyle name="Comma 4 5 2 4 2 2 2" xfId="33346" xr:uid="{DD4CF637-6D48-4E31-9F98-BA575DFB0118}"/>
    <cellStyle name="Comma 4 5 2 4 2 2 3" xfId="24905" xr:uid="{7DF8E17E-7E6F-442A-81D4-DB9900970A2E}"/>
    <cellStyle name="Comma 4 5 2 4 2 2 4" xfId="16464" xr:uid="{264A5894-6AE1-4E3F-93A5-FE5CE2540172}"/>
    <cellStyle name="Comma 4 5 2 4 2 3" xfId="29128" xr:uid="{386A0F23-1CB1-4D69-957D-0EA8337079A0}"/>
    <cellStyle name="Comma 4 5 2 4 2 4" xfId="20687" xr:uid="{4786CB47-0E7D-48D1-A37B-86C84E0E9855}"/>
    <cellStyle name="Comma 4 5 2 4 2 5" xfId="12246" xr:uid="{F027938A-81AB-40B2-B084-79249FB516B0}"/>
    <cellStyle name="Comma 4 5 2 4 3" xfId="5869" xr:uid="{00000000-0005-0000-0000-0000330A0000}"/>
    <cellStyle name="Comma 4 5 2 4 3 2" xfId="31201" xr:uid="{6CB37CEF-0418-4FDE-AB90-3D7FC631DDCE}"/>
    <cellStyle name="Comma 4 5 2 4 3 3" xfId="22760" xr:uid="{D84C6236-1D66-444B-BF17-1AD46D8D8F9B}"/>
    <cellStyle name="Comma 4 5 2 4 3 4" xfId="14319" xr:uid="{4D330D3E-3047-4AD2-B06F-D2C28B78DACF}"/>
    <cellStyle name="Comma 4 5 2 4 4" xfId="26983" xr:uid="{CD35FEA3-B85D-401C-BCC5-3CE8C0FCD34D}"/>
    <cellStyle name="Comma 4 5 2 4 5" xfId="18542" xr:uid="{F532956C-883D-4479-ADE7-4DB60CF553A5}"/>
    <cellStyle name="Comma 4 5 2 4 6" xfId="10101" xr:uid="{F5C73DCF-0F03-46CF-A604-7ED122CF9FE8}"/>
    <cellStyle name="Comma 4 5 2 5" xfId="1976" xr:uid="{00000000-0005-0000-0000-0000340A0000}"/>
    <cellStyle name="Comma 4 5 2 5 2" xfId="4205" xr:uid="{00000000-0005-0000-0000-0000350A0000}"/>
    <cellStyle name="Comma 4 5 2 5 2 2" xfId="8427" xr:uid="{00000000-0005-0000-0000-0000360A0000}"/>
    <cellStyle name="Comma 4 5 2 5 2 2 2" xfId="33759" xr:uid="{45A7EB48-1A72-49DA-8A58-D66D7230052E}"/>
    <cellStyle name="Comma 4 5 2 5 2 2 3" xfId="25318" xr:uid="{4E8C5FC3-7272-4ED2-85E4-1E2FCC720CF6}"/>
    <cellStyle name="Comma 4 5 2 5 2 2 4" xfId="16877" xr:uid="{17D4D5A6-F816-437E-AF49-37981E70BF88}"/>
    <cellStyle name="Comma 4 5 2 5 2 3" xfId="29541" xr:uid="{94AAD627-3D47-476B-9E86-B9DB28AF8A1B}"/>
    <cellStyle name="Comma 4 5 2 5 2 4" xfId="21100" xr:uid="{26AA2AED-58F5-4F70-BAC8-0FCA60E66A88}"/>
    <cellStyle name="Comma 4 5 2 5 2 5" xfId="12659" xr:uid="{441C93DC-880D-4D0F-B4E9-BA45E2153D0C}"/>
    <cellStyle name="Comma 4 5 2 5 3" xfId="6282" xr:uid="{00000000-0005-0000-0000-0000370A0000}"/>
    <cellStyle name="Comma 4 5 2 5 3 2" xfId="31614" xr:uid="{84D36ACD-9560-4E32-9073-A0D25D606E0C}"/>
    <cellStyle name="Comma 4 5 2 5 3 3" xfId="23173" xr:uid="{D7F0B9FB-E95C-46DE-BF68-7546F267C5DB}"/>
    <cellStyle name="Comma 4 5 2 5 3 4" xfId="14732" xr:uid="{771E60BB-1F44-4535-BD65-CD0592262EEF}"/>
    <cellStyle name="Comma 4 5 2 5 4" xfId="27396" xr:uid="{E5C18443-C7EA-48D9-9E89-1687F7243ED5}"/>
    <cellStyle name="Comma 4 5 2 5 5" xfId="18955" xr:uid="{1147170B-03EE-4F93-9779-AD4A7A2B76FA}"/>
    <cellStyle name="Comma 4 5 2 5 6" xfId="10514" xr:uid="{2B4BD6D8-4974-47EA-847F-096D69859BB6}"/>
    <cellStyle name="Comma 4 5 2 6" xfId="2411" xr:uid="{00000000-0005-0000-0000-0000380A0000}"/>
    <cellStyle name="Comma 4 5 2 6 2" xfId="6695" xr:uid="{00000000-0005-0000-0000-0000390A0000}"/>
    <cellStyle name="Comma 4 5 2 6 2 2" xfId="32027" xr:uid="{116A6ED2-680D-4BC4-86C0-5E74C1EF84A4}"/>
    <cellStyle name="Comma 4 5 2 6 2 3" xfId="23586" xr:uid="{7A72D515-44D1-4D6F-A04F-1E4A350EBEB0}"/>
    <cellStyle name="Comma 4 5 2 6 2 4" xfId="15145" xr:uid="{5A89BABE-ECE3-4916-A1A3-06462EFDB156}"/>
    <cellStyle name="Comma 4 5 2 6 3" xfId="27809" xr:uid="{C11EAA54-AED0-4552-AEE8-00AE0B37DEA5}"/>
    <cellStyle name="Comma 4 5 2 6 4" xfId="19368" xr:uid="{3B41C6FA-DC2E-4B79-BEC0-0881778F1D13}"/>
    <cellStyle name="Comma 4 5 2 6 5" xfId="10927" xr:uid="{9442C0F6-C9EB-4060-A18F-66999E8CBA79}"/>
    <cellStyle name="Comma 4 5 2 7" xfId="2707" xr:uid="{00000000-0005-0000-0000-00003A0A0000}"/>
    <cellStyle name="Comma 4 5 2 8" xfId="2789" xr:uid="{00000000-0005-0000-0000-00003B0A0000}"/>
    <cellStyle name="Comma 4 5 2 8 2" xfId="7012" xr:uid="{00000000-0005-0000-0000-00003C0A0000}"/>
    <cellStyle name="Comma 4 5 2 8 2 2" xfId="32344" xr:uid="{E0246A3B-464F-4AAD-A01D-C77AB549932F}"/>
    <cellStyle name="Comma 4 5 2 8 2 3" xfId="23903" xr:uid="{74484875-5FE9-443B-A3F2-67028A21E44B}"/>
    <cellStyle name="Comma 4 5 2 8 2 4" xfId="15462" xr:uid="{A6705691-78B5-4201-8321-62A70B634537}"/>
    <cellStyle name="Comma 4 5 2 8 3" xfId="28126" xr:uid="{3FF15B51-D7CE-49C1-B51D-195812BD4BDA}"/>
    <cellStyle name="Comma 4 5 2 8 4" xfId="19685" xr:uid="{C3EEA84E-FC83-4D6A-9505-3AF00D6349B7}"/>
    <cellStyle name="Comma 4 5 2 8 5" xfId="11244" xr:uid="{88BAF446-8494-48CE-81FD-83052CAB80F2}"/>
    <cellStyle name="Comma 4 5 2 9" xfId="4629" xr:uid="{00000000-0005-0000-0000-00003D0A0000}"/>
    <cellStyle name="Comma 4 5 2 9 2" xfId="29961" xr:uid="{59A2C003-0409-45E5-973F-D20430ABBF9D}"/>
    <cellStyle name="Comma 4 5 2 9 3" xfId="21520" xr:uid="{387E2A51-8674-46CF-BF82-546F31860796}"/>
    <cellStyle name="Comma 4 5 2 9 4" xfId="13079" xr:uid="{DC999E59-30AD-4B47-8CDF-00B9445D1A7A}"/>
    <cellStyle name="Comma 4 5 3" xfId="694" xr:uid="{00000000-0005-0000-0000-00003E0A0000}"/>
    <cellStyle name="Comma 4 5 3 2" xfId="2965" xr:uid="{00000000-0005-0000-0000-00003F0A0000}"/>
    <cellStyle name="Comma 4 5 3 2 2" xfId="7187" xr:uid="{00000000-0005-0000-0000-0000400A0000}"/>
    <cellStyle name="Comma 4 5 3 2 2 2" xfId="32519" xr:uid="{6290131E-F7B4-4A6F-911C-63BC23EB9CC3}"/>
    <cellStyle name="Comma 4 5 3 2 2 3" xfId="24078" xr:uid="{801A03BB-DD49-4131-9BA6-9283834A8E6A}"/>
    <cellStyle name="Comma 4 5 3 2 2 4" xfId="15637" xr:uid="{3B60CE04-C79C-4454-8158-F0A0B7338A79}"/>
    <cellStyle name="Comma 4 5 3 2 3" xfId="28301" xr:uid="{82F857D9-D5F1-4C81-99A1-801C5F56A94B}"/>
    <cellStyle name="Comma 4 5 3 2 4" xfId="19860" xr:uid="{6B9BB93E-B233-427A-AB39-1B920C475AF1}"/>
    <cellStyle name="Comma 4 5 3 2 5" xfId="11419" xr:uid="{8B9A5A29-ABEE-4DDC-9CED-46253ED60588}"/>
    <cellStyle name="Comma 4 5 3 3" xfId="5042" xr:uid="{00000000-0005-0000-0000-0000410A0000}"/>
    <cellStyle name="Comma 4 5 3 3 2" xfId="30374" xr:uid="{461A4887-93F6-481F-8D37-3556BB5EB621}"/>
    <cellStyle name="Comma 4 5 3 3 3" xfId="21933" xr:uid="{29DB18ED-2E04-4CAA-9BAA-57A07E42C336}"/>
    <cellStyle name="Comma 4 5 3 3 4" xfId="13492" xr:uid="{E346AD33-816E-46EA-8EF8-2CF2699697BE}"/>
    <cellStyle name="Comma 4 5 3 4" xfId="26156" xr:uid="{A7C375B5-2E89-4034-87BE-48C56611B23A}"/>
    <cellStyle name="Comma 4 5 3 5" xfId="17715" xr:uid="{86DFC44F-7863-46CF-9A0D-FE9A3767A986}"/>
    <cellStyle name="Comma 4 5 3 6" xfId="9274" xr:uid="{8B9FD9A5-61E9-4281-B3FE-193D1B6D4629}"/>
    <cellStyle name="Comma 4 5 4" xfId="1147" xr:uid="{00000000-0005-0000-0000-0000420A0000}"/>
    <cellStyle name="Comma 4 5 4 2" xfId="3378" xr:uid="{00000000-0005-0000-0000-0000430A0000}"/>
    <cellStyle name="Comma 4 5 4 2 2" xfId="7600" xr:uid="{00000000-0005-0000-0000-0000440A0000}"/>
    <cellStyle name="Comma 4 5 4 2 2 2" xfId="32932" xr:uid="{3E47CFF1-F823-46B2-836D-8C6072F7E367}"/>
    <cellStyle name="Comma 4 5 4 2 2 3" xfId="24491" xr:uid="{0DEF7824-4B73-4B7D-A1E2-C448C2C74CBE}"/>
    <cellStyle name="Comma 4 5 4 2 2 4" xfId="16050" xr:uid="{D89F32D5-1E52-465F-96F8-C7DC9DF679CD}"/>
    <cellStyle name="Comma 4 5 4 2 3" xfId="28714" xr:uid="{076877E4-B856-49AF-AEC5-E03E52BAD30C}"/>
    <cellStyle name="Comma 4 5 4 2 4" xfId="20273" xr:uid="{17A94008-BC9E-4048-820A-AABD309A8E39}"/>
    <cellStyle name="Comma 4 5 4 2 5" xfId="11832" xr:uid="{90050454-A4EA-46A8-BB3C-998A1B816284}"/>
    <cellStyle name="Comma 4 5 4 3" xfId="5455" xr:uid="{00000000-0005-0000-0000-0000450A0000}"/>
    <cellStyle name="Comma 4 5 4 3 2" xfId="30787" xr:uid="{8A7EF455-98A8-4834-8CA8-E640E2F80B1F}"/>
    <cellStyle name="Comma 4 5 4 3 3" xfId="22346" xr:uid="{A225CAE7-3EA1-46B3-88B7-8E8CF1E80FCD}"/>
    <cellStyle name="Comma 4 5 4 3 4" xfId="13905" xr:uid="{E6D42511-A0F1-4988-A811-0D30D445732C}"/>
    <cellStyle name="Comma 4 5 4 4" xfId="26569" xr:uid="{6AE3460E-E6D8-4FA7-84C9-EB3CB9CF5FFC}"/>
    <cellStyle name="Comma 4 5 4 5" xfId="18128" xr:uid="{F3026413-E49A-4BF0-BC7D-2165BEF35FF7}"/>
    <cellStyle name="Comma 4 5 4 6" xfId="9687" xr:uid="{06B9447F-DC9B-4264-A3E5-D791DDF36F5F}"/>
    <cellStyle name="Comma 4 5 5" xfId="1561" xr:uid="{00000000-0005-0000-0000-0000460A0000}"/>
    <cellStyle name="Comma 4 5 5 2" xfId="3791" xr:uid="{00000000-0005-0000-0000-0000470A0000}"/>
    <cellStyle name="Comma 4 5 5 2 2" xfId="8013" xr:uid="{00000000-0005-0000-0000-0000480A0000}"/>
    <cellStyle name="Comma 4 5 5 2 2 2" xfId="33345" xr:uid="{07FD5BFF-AF2E-4B33-B3C6-5BFBF8C7F80C}"/>
    <cellStyle name="Comma 4 5 5 2 2 3" xfId="24904" xr:uid="{EF7F6A75-DB6E-4CA4-BE60-12E5D930D331}"/>
    <cellStyle name="Comma 4 5 5 2 2 4" xfId="16463" xr:uid="{F8377CF6-00C9-4013-84D1-6BB6321C26A8}"/>
    <cellStyle name="Comma 4 5 5 2 3" xfId="29127" xr:uid="{F2ADBE81-EB4A-445D-B110-D966A1DE5EEC}"/>
    <cellStyle name="Comma 4 5 5 2 4" xfId="20686" xr:uid="{E44EB351-607A-4928-8C6F-BAA1443A6058}"/>
    <cellStyle name="Comma 4 5 5 2 5" xfId="12245" xr:uid="{2D5027FA-1DD8-4CE6-B3C5-982FC587E3C1}"/>
    <cellStyle name="Comma 4 5 5 3" xfId="5868" xr:uid="{00000000-0005-0000-0000-0000490A0000}"/>
    <cellStyle name="Comma 4 5 5 3 2" xfId="31200" xr:uid="{4BE6C022-DE82-4465-B00E-331D7F2E8EBB}"/>
    <cellStyle name="Comma 4 5 5 3 3" xfId="22759" xr:uid="{BF4787C4-9836-425C-A603-6871FA8F78B8}"/>
    <cellStyle name="Comma 4 5 5 3 4" xfId="14318" xr:uid="{03F52511-1C06-4D8A-B8FB-CB16FDE2EE1D}"/>
    <cellStyle name="Comma 4 5 5 4" xfId="26982" xr:uid="{F2F5DFA9-1846-4220-9FFE-BE2E46CCD018}"/>
    <cellStyle name="Comma 4 5 5 5" xfId="18541" xr:uid="{EC13AB61-FF90-4D2B-A247-BCBE85555319}"/>
    <cellStyle name="Comma 4 5 5 6" xfId="10100" xr:uid="{70A9C826-416D-4B25-B619-C5DCF7EFB2B7}"/>
    <cellStyle name="Comma 4 5 6" xfId="1975" xr:uid="{00000000-0005-0000-0000-00004A0A0000}"/>
    <cellStyle name="Comma 4 5 6 2" xfId="4204" xr:uid="{00000000-0005-0000-0000-00004B0A0000}"/>
    <cellStyle name="Comma 4 5 6 2 2" xfId="8426" xr:uid="{00000000-0005-0000-0000-00004C0A0000}"/>
    <cellStyle name="Comma 4 5 6 2 2 2" xfId="33758" xr:uid="{D9FAF383-6E8F-4C91-BAB8-1E9248FAAF1B}"/>
    <cellStyle name="Comma 4 5 6 2 2 3" xfId="25317" xr:uid="{AA288C65-8454-4B51-992C-BA841B26A369}"/>
    <cellStyle name="Comma 4 5 6 2 2 4" xfId="16876" xr:uid="{70F25F21-E380-4DC3-99E1-295E1F7CD454}"/>
    <cellStyle name="Comma 4 5 6 2 3" xfId="29540" xr:uid="{10B4B8F6-F9BE-4A9E-8CA3-AF087CA51825}"/>
    <cellStyle name="Comma 4 5 6 2 4" xfId="21099" xr:uid="{90DF1AB0-79FE-4D1B-A7B2-E0C96F0F3CA4}"/>
    <cellStyle name="Comma 4 5 6 2 5" xfId="12658" xr:uid="{6CFABBBB-0992-4DE5-8FF4-0D84468DF16D}"/>
    <cellStyle name="Comma 4 5 6 3" xfId="6281" xr:uid="{00000000-0005-0000-0000-00004D0A0000}"/>
    <cellStyle name="Comma 4 5 6 3 2" xfId="31613" xr:uid="{4A89EC59-DE04-4D82-91A5-C0FB3E8096B3}"/>
    <cellStyle name="Comma 4 5 6 3 3" xfId="23172" xr:uid="{5E86FE37-8CD0-43B5-AA26-800998204886}"/>
    <cellStyle name="Comma 4 5 6 3 4" xfId="14731" xr:uid="{BA60C46F-8468-4C42-9342-0D5CE76FB174}"/>
    <cellStyle name="Comma 4 5 6 4" xfId="27395" xr:uid="{932DC61E-2FD6-4114-98EA-60D9294E9A6F}"/>
    <cellStyle name="Comma 4 5 6 5" xfId="18954" xr:uid="{24CE068B-8416-4019-AD41-C7F7E7FC2BDA}"/>
    <cellStyle name="Comma 4 5 6 6" xfId="10513" xr:uid="{23FA51C5-355E-439D-BFCA-5951245E6555}"/>
    <cellStyle name="Comma 4 5 7" xfId="2410" xr:uid="{00000000-0005-0000-0000-00004E0A0000}"/>
    <cellStyle name="Comma 4 5 7 2" xfId="6694" xr:uid="{00000000-0005-0000-0000-00004F0A0000}"/>
    <cellStyle name="Comma 4 5 7 2 2" xfId="32026" xr:uid="{2D3DA998-4DC6-4788-9444-D225490D0104}"/>
    <cellStyle name="Comma 4 5 7 2 3" xfId="23585" xr:uid="{C2C4199E-946C-4115-A4A1-C9E81E6FCE7C}"/>
    <cellStyle name="Comma 4 5 7 2 4" xfId="15144" xr:uid="{995B0226-0993-4D84-9D7E-544EC5FD6FAF}"/>
    <cellStyle name="Comma 4 5 7 3" xfId="27808" xr:uid="{133A35DE-4760-4545-9B10-27A1C688CD29}"/>
    <cellStyle name="Comma 4 5 7 4" xfId="19367" xr:uid="{8C2B7E2F-391A-44DE-ADFE-E7CF8C9ECA13}"/>
    <cellStyle name="Comma 4 5 7 5" xfId="10926" xr:uid="{83F0DEB9-0BC2-4116-BC91-C8068D61F1FF}"/>
    <cellStyle name="Comma 4 5 8" xfId="2706" xr:uid="{00000000-0005-0000-0000-0000500A0000}"/>
    <cellStyle name="Comma 4 5 9" xfId="2788" xr:uid="{00000000-0005-0000-0000-0000510A0000}"/>
    <cellStyle name="Comma 4 5 9 2" xfId="7011" xr:uid="{00000000-0005-0000-0000-0000520A0000}"/>
    <cellStyle name="Comma 4 5 9 2 2" xfId="32343" xr:uid="{AEC3D347-17AF-48EF-8765-F7B9E5037C22}"/>
    <cellStyle name="Comma 4 5 9 2 3" xfId="23902" xr:uid="{390452DC-4261-4EA2-9BBA-BEAF00320606}"/>
    <cellStyle name="Comma 4 5 9 2 4" xfId="15461" xr:uid="{40750F80-0927-49B7-AC18-F558B0DF48E3}"/>
    <cellStyle name="Comma 4 5 9 3" xfId="28125" xr:uid="{9890565B-753E-44DB-AAC2-AC94E3D14374}"/>
    <cellStyle name="Comma 4 5 9 4" xfId="19684" xr:uid="{C93AC25C-848E-4645-BA24-2AE2AABDC16C}"/>
    <cellStyle name="Comma 4 5 9 5" xfId="11243" xr:uid="{E9D85C8D-4BAF-40B8-B25C-E7F9CDCCA9D1}"/>
    <cellStyle name="Comma 4 6" xfId="159" xr:uid="{00000000-0005-0000-0000-0000530A0000}"/>
    <cellStyle name="Comma 4 6 10" xfId="25744" xr:uid="{3F5275AC-2077-4C4B-BBE6-CF97F72F49D2}"/>
    <cellStyle name="Comma 4 6 11" xfId="17303" xr:uid="{9F1DD24C-850D-4374-A6DF-EC8ACDE86A23}"/>
    <cellStyle name="Comma 4 6 12" xfId="8862" xr:uid="{EB88DCFC-0A1B-4FA0-8A16-90D2EB0DEC43}"/>
    <cellStyle name="Comma 4 6 2" xfId="696" xr:uid="{00000000-0005-0000-0000-0000540A0000}"/>
    <cellStyle name="Comma 4 6 2 2" xfId="2967" xr:uid="{00000000-0005-0000-0000-0000550A0000}"/>
    <cellStyle name="Comma 4 6 2 2 2" xfId="7189" xr:uid="{00000000-0005-0000-0000-0000560A0000}"/>
    <cellStyle name="Comma 4 6 2 2 2 2" xfId="32521" xr:uid="{107FFB19-9689-4C4B-8E93-7B8974D898F9}"/>
    <cellStyle name="Comma 4 6 2 2 2 3" xfId="24080" xr:uid="{74013D2E-51B4-4979-8463-34D12D77CB2C}"/>
    <cellStyle name="Comma 4 6 2 2 2 4" xfId="15639" xr:uid="{77AFDCCF-E170-459F-84DD-DB5080EE537B}"/>
    <cellStyle name="Comma 4 6 2 2 3" xfId="28303" xr:uid="{409E216D-5045-4BB4-82E1-36F19BB76782}"/>
    <cellStyle name="Comma 4 6 2 2 4" xfId="19862" xr:uid="{FAF7464D-3C0E-46CD-A890-DCA92BC0E182}"/>
    <cellStyle name="Comma 4 6 2 2 5" xfId="11421" xr:uid="{2744E86D-0A7B-4915-A158-C104E141428C}"/>
    <cellStyle name="Comma 4 6 2 3" xfId="5044" xr:uid="{00000000-0005-0000-0000-0000570A0000}"/>
    <cellStyle name="Comma 4 6 2 3 2" xfId="30376" xr:uid="{9E4FEFB6-4C30-4AE0-92ED-4A2EF4189291}"/>
    <cellStyle name="Comma 4 6 2 3 3" xfId="21935" xr:uid="{DD58635A-1C4C-4BF0-B04E-64B7969C1066}"/>
    <cellStyle name="Comma 4 6 2 3 4" xfId="13494" xr:uid="{C560DD73-F35E-4D90-9854-987ED4135CD4}"/>
    <cellStyle name="Comma 4 6 2 4" xfId="26158" xr:uid="{332570BB-55D0-4BE3-8074-6B5865765A1B}"/>
    <cellStyle name="Comma 4 6 2 5" xfId="17717" xr:uid="{21497961-D582-4CE5-ACE4-A3F040C1660F}"/>
    <cellStyle name="Comma 4 6 2 6" xfId="9276" xr:uid="{5EE705A7-A5C3-4FE2-BE33-9B8885D0F9C2}"/>
    <cellStyle name="Comma 4 6 3" xfId="1149" xr:uid="{00000000-0005-0000-0000-0000580A0000}"/>
    <cellStyle name="Comma 4 6 3 2" xfId="3380" xr:uid="{00000000-0005-0000-0000-0000590A0000}"/>
    <cellStyle name="Comma 4 6 3 2 2" xfId="7602" xr:uid="{00000000-0005-0000-0000-00005A0A0000}"/>
    <cellStyle name="Comma 4 6 3 2 2 2" xfId="32934" xr:uid="{E63B8927-7A8E-4439-8FF5-C63D518A01B1}"/>
    <cellStyle name="Comma 4 6 3 2 2 3" xfId="24493" xr:uid="{C0A606FA-F7B1-4031-A83C-7AFE70167CE7}"/>
    <cellStyle name="Comma 4 6 3 2 2 4" xfId="16052" xr:uid="{3B38A9A8-6F69-45AD-9FBF-8FD7E0971ED7}"/>
    <cellStyle name="Comma 4 6 3 2 3" xfId="28716" xr:uid="{CF8D629B-9EDF-4FE0-B15F-240E7D14582D}"/>
    <cellStyle name="Comma 4 6 3 2 4" xfId="20275" xr:uid="{F15F0DD1-0E07-4BCF-B78C-0E139B25C9B8}"/>
    <cellStyle name="Comma 4 6 3 2 5" xfId="11834" xr:uid="{198714A1-1E26-4C33-A78E-7D3AC1A67DE5}"/>
    <cellStyle name="Comma 4 6 3 3" xfId="5457" xr:uid="{00000000-0005-0000-0000-00005B0A0000}"/>
    <cellStyle name="Comma 4 6 3 3 2" xfId="30789" xr:uid="{D548AEB8-A9E0-4007-8658-C4D67AC053C5}"/>
    <cellStyle name="Comma 4 6 3 3 3" xfId="22348" xr:uid="{AAA7D1FC-1938-4C09-9384-321546E0D5E0}"/>
    <cellStyle name="Comma 4 6 3 3 4" xfId="13907" xr:uid="{DC944DE5-15B8-42DF-87F9-50E3CABFA58E}"/>
    <cellStyle name="Comma 4 6 3 4" xfId="26571" xr:uid="{67392A7A-0B17-4F19-8911-D4547E48D0EB}"/>
    <cellStyle name="Comma 4 6 3 5" xfId="18130" xr:uid="{040F4C1F-8254-471D-9F62-30996A6960EE}"/>
    <cellStyle name="Comma 4 6 3 6" xfId="9689" xr:uid="{7770F1D1-AFBD-4290-95A0-955C6C46B58E}"/>
    <cellStyle name="Comma 4 6 4" xfId="1563" xr:uid="{00000000-0005-0000-0000-00005C0A0000}"/>
    <cellStyle name="Comma 4 6 4 2" xfId="3793" xr:uid="{00000000-0005-0000-0000-00005D0A0000}"/>
    <cellStyle name="Comma 4 6 4 2 2" xfId="8015" xr:uid="{00000000-0005-0000-0000-00005E0A0000}"/>
    <cellStyle name="Comma 4 6 4 2 2 2" xfId="33347" xr:uid="{FDFD354E-C63B-42D6-B1F0-C0B2A46ACE6F}"/>
    <cellStyle name="Comma 4 6 4 2 2 3" xfId="24906" xr:uid="{3A0C9608-1B7C-4AF6-B347-F3FF42E45C15}"/>
    <cellStyle name="Comma 4 6 4 2 2 4" xfId="16465" xr:uid="{E962EBEE-81CD-4C1B-97EE-24E8036D5F80}"/>
    <cellStyle name="Comma 4 6 4 2 3" xfId="29129" xr:uid="{196230D0-1173-419D-8D8F-A57AA7240A4E}"/>
    <cellStyle name="Comma 4 6 4 2 4" xfId="20688" xr:uid="{BFB076E2-333D-4E6E-96EF-94B1A6E35D1F}"/>
    <cellStyle name="Comma 4 6 4 2 5" xfId="12247" xr:uid="{624F6918-97E3-4BA6-A648-C7D0D28278B5}"/>
    <cellStyle name="Comma 4 6 4 3" xfId="5870" xr:uid="{00000000-0005-0000-0000-00005F0A0000}"/>
    <cellStyle name="Comma 4 6 4 3 2" xfId="31202" xr:uid="{11348423-A90B-4301-BE7B-6A7BC9A0B686}"/>
    <cellStyle name="Comma 4 6 4 3 3" xfId="22761" xr:uid="{B51358B3-C50D-4522-A471-EE82BB3C84B9}"/>
    <cellStyle name="Comma 4 6 4 3 4" xfId="14320" xr:uid="{96D31A51-F0FC-43B7-8E3E-92121D727705}"/>
    <cellStyle name="Comma 4 6 4 4" xfId="26984" xr:uid="{967AB923-85AA-4E47-B934-3B4D90FC66D0}"/>
    <cellStyle name="Comma 4 6 4 5" xfId="18543" xr:uid="{34AF8319-0AC3-46E3-9F55-8C1AEF67D872}"/>
    <cellStyle name="Comma 4 6 4 6" xfId="10102" xr:uid="{11393EE7-C0B4-4634-BFB8-A0DC179CE046}"/>
    <cellStyle name="Comma 4 6 5" xfId="1977" xr:uid="{00000000-0005-0000-0000-0000600A0000}"/>
    <cellStyle name="Comma 4 6 5 2" xfId="4206" xr:uid="{00000000-0005-0000-0000-0000610A0000}"/>
    <cellStyle name="Comma 4 6 5 2 2" xfId="8428" xr:uid="{00000000-0005-0000-0000-0000620A0000}"/>
    <cellStyle name="Comma 4 6 5 2 2 2" xfId="33760" xr:uid="{72E4F4DB-EA0D-4465-A0DE-EA2498E100F7}"/>
    <cellStyle name="Comma 4 6 5 2 2 3" xfId="25319" xr:uid="{5B7B50AE-9E0F-4043-9440-C78D5DCA0927}"/>
    <cellStyle name="Comma 4 6 5 2 2 4" xfId="16878" xr:uid="{D603FBF6-7397-4A2E-9D1B-CD9263CF3268}"/>
    <cellStyle name="Comma 4 6 5 2 3" xfId="29542" xr:uid="{58C8D959-A9E2-4A29-8352-9C46967937F0}"/>
    <cellStyle name="Comma 4 6 5 2 4" xfId="21101" xr:uid="{AA95029F-D757-4CBD-8A3D-6ACB61594B1E}"/>
    <cellStyle name="Comma 4 6 5 2 5" xfId="12660" xr:uid="{772C4072-A6AC-4B32-80D5-66C70D1EAAC6}"/>
    <cellStyle name="Comma 4 6 5 3" xfId="6283" xr:uid="{00000000-0005-0000-0000-0000630A0000}"/>
    <cellStyle name="Comma 4 6 5 3 2" xfId="31615" xr:uid="{EF3ABE5F-4506-472E-9601-BBAE05E859FD}"/>
    <cellStyle name="Comma 4 6 5 3 3" xfId="23174" xr:uid="{8E17B999-5CDC-4895-82C4-B7AC2F99DC3A}"/>
    <cellStyle name="Comma 4 6 5 3 4" xfId="14733" xr:uid="{ED81720F-626B-4BEE-B76E-C811A39F1CB5}"/>
    <cellStyle name="Comma 4 6 5 4" xfId="27397" xr:uid="{C2564279-50EC-4608-B2BA-BCCA6F13E002}"/>
    <cellStyle name="Comma 4 6 5 5" xfId="18956" xr:uid="{A5A36525-8604-4C2C-9DB0-D4FF694628EF}"/>
    <cellStyle name="Comma 4 6 5 6" xfId="10515" xr:uid="{0185B331-0FB2-4826-A512-F02F03224423}"/>
    <cellStyle name="Comma 4 6 6" xfId="2412" xr:uid="{00000000-0005-0000-0000-0000640A0000}"/>
    <cellStyle name="Comma 4 6 6 2" xfId="6696" xr:uid="{00000000-0005-0000-0000-0000650A0000}"/>
    <cellStyle name="Comma 4 6 6 2 2" xfId="32028" xr:uid="{11A49316-F1F8-4E68-A75D-8E5BE3869E0F}"/>
    <cellStyle name="Comma 4 6 6 2 3" xfId="23587" xr:uid="{C97E4BC4-50B8-42E4-BAE5-4F2BBD7C241B}"/>
    <cellStyle name="Comma 4 6 6 2 4" xfId="15146" xr:uid="{E040021E-F7F7-4DC7-A39F-8887D4239B13}"/>
    <cellStyle name="Comma 4 6 6 3" xfId="27810" xr:uid="{A8AFE9EB-B730-40CC-9F48-C3BA2693B9DF}"/>
    <cellStyle name="Comma 4 6 6 4" xfId="19369" xr:uid="{CB1182D4-D593-4E69-8ADF-D8358786A868}"/>
    <cellStyle name="Comma 4 6 6 5" xfId="10928" xr:uid="{BFC5A367-21E6-455E-83E4-9F62E5EAF8D4}"/>
    <cellStyle name="Comma 4 6 7" xfId="2708" xr:uid="{00000000-0005-0000-0000-0000660A0000}"/>
    <cellStyle name="Comma 4 6 8" xfId="2790" xr:uid="{00000000-0005-0000-0000-0000670A0000}"/>
    <cellStyle name="Comma 4 6 8 2" xfId="7013" xr:uid="{00000000-0005-0000-0000-0000680A0000}"/>
    <cellStyle name="Comma 4 6 8 2 2" xfId="32345" xr:uid="{737182AF-22D8-405D-B679-28B4F82B6089}"/>
    <cellStyle name="Comma 4 6 8 2 3" xfId="23904" xr:uid="{725452E2-F597-4980-B1CE-AC2B1D7435BF}"/>
    <cellStyle name="Comma 4 6 8 2 4" xfId="15463" xr:uid="{C3EE7268-6205-4AF4-9F3A-7A02F8BBF900}"/>
    <cellStyle name="Comma 4 6 8 3" xfId="28127" xr:uid="{BBA47141-F183-413C-8957-9E604A432640}"/>
    <cellStyle name="Comma 4 6 8 4" xfId="19686" xr:uid="{EEC854B3-28F5-47BA-BEBB-9C6A67B61E10}"/>
    <cellStyle name="Comma 4 6 8 5" xfId="11245" xr:uid="{6EAEFE5E-6B08-4D40-BCBF-DD5935042E0E}"/>
    <cellStyle name="Comma 4 6 9" xfId="4630" xr:uid="{00000000-0005-0000-0000-0000690A0000}"/>
    <cellStyle name="Comma 4 6 9 2" xfId="29962" xr:uid="{1810A341-EB37-4DFB-A11B-B65B39ACAFB7}"/>
    <cellStyle name="Comma 4 6 9 3" xfId="21521" xr:uid="{68888CAD-7889-4385-97E4-2F391B2F8F84}"/>
    <cellStyle name="Comma 4 6 9 4" xfId="13080" xr:uid="{52469BF7-DA36-41C3-824B-51E1B5AAD610}"/>
    <cellStyle name="Comma 4 7" xfId="160" xr:uid="{00000000-0005-0000-0000-00006A0A0000}"/>
    <cellStyle name="Comma 4 7 10" xfId="25745" xr:uid="{9309038E-241C-43C5-8BB1-E8E22A086B15}"/>
    <cellStyle name="Comma 4 7 11" xfId="17304" xr:uid="{5811B0E4-CBC7-4902-94D0-1A677D40C20B}"/>
    <cellStyle name="Comma 4 7 12" xfId="8863" xr:uid="{B1328B24-D181-4AE7-8254-041CE8163AC8}"/>
    <cellStyle name="Comma 4 7 2" xfId="697" xr:uid="{00000000-0005-0000-0000-00006B0A0000}"/>
    <cellStyle name="Comma 4 7 2 2" xfId="2968" xr:uid="{00000000-0005-0000-0000-00006C0A0000}"/>
    <cellStyle name="Comma 4 7 2 2 2" xfId="7190" xr:uid="{00000000-0005-0000-0000-00006D0A0000}"/>
    <cellStyle name="Comma 4 7 2 2 2 2" xfId="32522" xr:uid="{DB589D75-67C4-41A6-8A81-6B060B92A53F}"/>
    <cellStyle name="Comma 4 7 2 2 2 3" xfId="24081" xr:uid="{4CFE7B41-2F47-4CDE-B03D-7792C06D9123}"/>
    <cellStyle name="Comma 4 7 2 2 2 4" xfId="15640" xr:uid="{CDE56480-11BB-45AE-819D-8AE84CFFC997}"/>
    <cellStyle name="Comma 4 7 2 2 3" xfId="28304" xr:uid="{D0F4FC40-6124-4B58-A9C8-A3897526B8B5}"/>
    <cellStyle name="Comma 4 7 2 2 4" xfId="19863" xr:uid="{306DA782-5505-4BCC-8A30-5AE3A2178DD1}"/>
    <cellStyle name="Comma 4 7 2 2 5" xfId="11422" xr:uid="{154C1595-7673-4AA4-BE59-A07D45D525D0}"/>
    <cellStyle name="Comma 4 7 2 3" xfId="5045" xr:uid="{00000000-0005-0000-0000-00006E0A0000}"/>
    <cellStyle name="Comma 4 7 2 3 2" xfId="30377" xr:uid="{53C18E16-4120-4100-81C7-28CAA2C5C668}"/>
    <cellStyle name="Comma 4 7 2 3 3" xfId="21936" xr:uid="{5EEC212D-AABA-4FB1-8EEF-E34CB51399B2}"/>
    <cellStyle name="Comma 4 7 2 3 4" xfId="13495" xr:uid="{6E5A8F4E-02D0-4F7B-9D95-E84EDEE11A2E}"/>
    <cellStyle name="Comma 4 7 2 4" xfId="26159" xr:uid="{A9E7D9D3-8A96-4531-A6FF-52B8C464C934}"/>
    <cellStyle name="Comma 4 7 2 5" xfId="17718" xr:uid="{91707312-3E63-4241-9224-451004B1F72E}"/>
    <cellStyle name="Comma 4 7 2 6" xfId="9277" xr:uid="{F31E6844-165B-45F6-85A9-6543983CB1C6}"/>
    <cellStyle name="Comma 4 7 3" xfId="1150" xr:uid="{00000000-0005-0000-0000-00006F0A0000}"/>
    <cellStyle name="Comma 4 7 3 2" xfId="3381" xr:uid="{00000000-0005-0000-0000-0000700A0000}"/>
    <cellStyle name="Comma 4 7 3 2 2" xfId="7603" xr:uid="{00000000-0005-0000-0000-0000710A0000}"/>
    <cellStyle name="Comma 4 7 3 2 2 2" xfId="32935" xr:uid="{2929991D-55E6-41C6-8887-8BB00F196140}"/>
    <cellStyle name="Comma 4 7 3 2 2 3" xfId="24494" xr:uid="{1617EB85-D5CD-45AD-ADEF-117F60C2C1C5}"/>
    <cellStyle name="Comma 4 7 3 2 2 4" xfId="16053" xr:uid="{360FA7BD-8466-4C44-A214-A43A0B26F0B6}"/>
    <cellStyle name="Comma 4 7 3 2 3" xfId="28717" xr:uid="{5266AC8A-6B43-45E1-AB71-DC390AA5E64D}"/>
    <cellStyle name="Comma 4 7 3 2 4" xfId="20276" xr:uid="{F09B9E63-FA46-4032-87E9-21066814BC20}"/>
    <cellStyle name="Comma 4 7 3 2 5" xfId="11835" xr:uid="{F7465CBE-2DD4-4FA1-AD85-E89F8C72905E}"/>
    <cellStyle name="Comma 4 7 3 3" xfId="5458" xr:uid="{00000000-0005-0000-0000-0000720A0000}"/>
    <cellStyle name="Comma 4 7 3 3 2" xfId="30790" xr:uid="{BF1D4C24-E8A3-49BA-9B8A-E7C40F1E6C0F}"/>
    <cellStyle name="Comma 4 7 3 3 3" xfId="22349" xr:uid="{AF669C3B-247F-4A50-8C39-CD27C6EF83CA}"/>
    <cellStyle name="Comma 4 7 3 3 4" xfId="13908" xr:uid="{8B11C93E-387B-47AE-9FF9-D60FF136B63B}"/>
    <cellStyle name="Comma 4 7 3 4" xfId="26572" xr:uid="{0FBD9480-80ED-41FA-9068-F6ABE089788A}"/>
    <cellStyle name="Comma 4 7 3 5" xfId="18131" xr:uid="{2858CE6A-EB07-43D0-B33B-82EBFAEEC53D}"/>
    <cellStyle name="Comma 4 7 3 6" xfId="9690" xr:uid="{E8195B37-D801-4368-8F04-1EF1C47616A1}"/>
    <cellStyle name="Comma 4 7 4" xfId="1564" xr:uid="{00000000-0005-0000-0000-0000730A0000}"/>
    <cellStyle name="Comma 4 7 4 2" xfId="3794" xr:uid="{00000000-0005-0000-0000-0000740A0000}"/>
    <cellStyle name="Comma 4 7 4 2 2" xfId="8016" xr:uid="{00000000-0005-0000-0000-0000750A0000}"/>
    <cellStyle name="Comma 4 7 4 2 2 2" xfId="33348" xr:uid="{0146C92E-8FC1-44CB-B564-C8B31400A3C6}"/>
    <cellStyle name="Comma 4 7 4 2 2 3" xfId="24907" xr:uid="{27969FE5-0CB9-432A-92EA-1323DDDA3E3C}"/>
    <cellStyle name="Comma 4 7 4 2 2 4" xfId="16466" xr:uid="{82C4F927-6018-428D-B44C-7082DF2FEF14}"/>
    <cellStyle name="Comma 4 7 4 2 3" xfId="29130" xr:uid="{12B36625-9019-4060-9D4A-7AD9AFCC8BEA}"/>
    <cellStyle name="Comma 4 7 4 2 4" xfId="20689" xr:uid="{5A2C670F-D787-4EFC-8DDB-753811B18A13}"/>
    <cellStyle name="Comma 4 7 4 2 5" xfId="12248" xr:uid="{107409C8-01F6-4B19-89BA-5DC90E7828D9}"/>
    <cellStyle name="Comma 4 7 4 3" xfId="5871" xr:uid="{00000000-0005-0000-0000-0000760A0000}"/>
    <cellStyle name="Comma 4 7 4 3 2" xfId="31203" xr:uid="{EC491650-B258-4C06-8F5C-FA7822B2F9DB}"/>
    <cellStyle name="Comma 4 7 4 3 3" xfId="22762" xr:uid="{59A1BFB2-6055-4DB8-A913-CD4FA0D8B4FB}"/>
    <cellStyle name="Comma 4 7 4 3 4" xfId="14321" xr:uid="{DD1E3A17-2D34-429C-9669-BF7A4D7F5401}"/>
    <cellStyle name="Comma 4 7 4 4" xfId="26985" xr:uid="{19542814-3E7D-4F8B-9D95-E020B39BADF6}"/>
    <cellStyle name="Comma 4 7 4 5" xfId="18544" xr:uid="{37DFA2F0-CFC3-4545-9770-6F52D5B3007D}"/>
    <cellStyle name="Comma 4 7 4 6" xfId="10103" xr:uid="{AE1A959A-F9DD-469F-BBEF-6D8CE918D797}"/>
    <cellStyle name="Comma 4 7 5" xfId="1978" xr:uid="{00000000-0005-0000-0000-0000770A0000}"/>
    <cellStyle name="Comma 4 7 5 2" xfId="4207" xr:uid="{00000000-0005-0000-0000-0000780A0000}"/>
    <cellStyle name="Comma 4 7 5 2 2" xfId="8429" xr:uid="{00000000-0005-0000-0000-0000790A0000}"/>
    <cellStyle name="Comma 4 7 5 2 2 2" xfId="33761" xr:uid="{C56B6B92-BF26-4F6E-A63F-7B64CDE6E5BB}"/>
    <cellStyle name="Comma 4 7 5 2 2 3" xfId="25320" xr:uid="{AE7C8460-D772-4B49-B0D2-1437E452608D}"/>
    <cellStyle name="Comma 4 7 5 2 2 4" xfId="16879" xr:uid="{1A455394-3603-4676-918B-65E4D1F1CE9A}"/>
    <cellStyle name="Comma 4 7 5 2 3" xfId="29543" xr:uid="{928783FF-0A81-48FC-95E1-6F2C11B1E765}"/>
    <cellStyle name="Comma 4 7 5 2 4" xfId="21102" xr:uid="{75066B1C-6AD7-4DDB-AA52-729656F7F7E6}"/>
    <cellStyle name="Comma 4 7 5 2 5" xfId="12661" xr:uid="{C5CD3959-607B-4FB4-AB09-5C974545916D}"/>
    <cellStyle name="Comma 4 7 5 3" xfId="6284" xr:uid="{00000000-0005-0000-0000-00007A0A0000}"/>
    <cellStyle name="Comma 4 7 5 3 2" xfId="31616" xr:uid="{0C6AC1F7-C055-4E80-BDA5-C84DDAC97F8F}"/>
    <cellStyle name="Comma 4 7 5 3 3" xfId="23175" xr:uid="{D8DF169D-D34A-42B4-8511-B900C5FF6E79}"/>
    <cellStyle name="Comma 4 7 5 3 4" xfId="14734" xr:uid="{E381D2B0-99E3-4C25-82C1-B82D8BC38509}"/>
    <cellStyle name="Comma 4 7 5 4" xfId="27398" xr:uid="{B0A28EF1-95CD-4B5A-BAEF-A448C297CF6E}"/>
    <cellStyle name="Comma 4 7 5 5" xfId="18957" xr:uid="{D1BD509D-B17F-4F5B-BD23-318374CD36B2}"/>
    <cellStyle name="Comma 4 7 5 6" xfId="10516" xr:uid="{6B3DCE1A-ECD7-4904-957D-6C0A218062B8}"/>
    <cellStyle name="Comma 4 7 6" xfId="2413" xr:uid="{00000000-0005-0000-0000-00007B0A0000}"/>
    <cellStyle name="Comma 4 7 6 2" xfId="6697" xr:uid="{00000000-0005-0000-0000-00007C0A0000}"/>
    <cellStyle name="Comma 4 7 6 2 2" xfId="32029" xr:uid="{6D164DFC-9805-4F5C-84F7-582F5501A398}"/>
    <cellStyle name="Comma 4 7 6 2 3" xfId="23588" xr:uid="{9C6D2704-F96A-472A-A855-94A201DEE5C8}"/>
    <cellStyle name="Comma 4 7 6 2 4" xfId="15147" xr:uid="{68960B7E-8EC3-411C-81C2-C318F6B829C6}"/>
    <cellStyle name="Comma 4 7 6 3" xfId="27811" xr:uid="{8C5116F6-77CA-46E9-A988-121F151B70C0}"/>
    <cellStyle name="Comma 4 7 6 4" xfId="19370" xr:uid="{D2AE1F06-94BD-4463-9125-D2ED474EFC48}"/>
    <cellStyle name="Comma 4 7 6 5" xfId="10929" xr:uid="{1671447B-E9C3-4798-9908-9727B356EF5F}"/>
    <cellStyle name="Comma 4 7 7" xfId="2709" xr:uid="{00000000-0005-0000-0000-00007D0A0000}"/>
    <cellStyle name="Comma 4 7 8" xfId="2791" xr:uid="{00000000-0005-0000-0000-00007E0A0000}"/>
    <cellStyle name="Comma 4 7 8 2" xfId="7014" xr:uid="{00000000-0005-0000-0000-00007F0A0000}"/>
    <cellStyle name="Comma 4 7 8 2 2" xfId="32346" xr:uid="{B7F3FB1F-6426-4C59-9E89-3DE4F673A70E}"/>
    <cellStyle name="Comma 4 7 8 2 3" xfId="23905" xr:uid="{1E075B12-98C8-4DF2-8995-A80DABBC6F04}"/>
    <cellStyle name="Comma 4 7 8 2 4" xfId="15464" xr:uid="{D5FACD3A-6B57-4257-BFC0-840027EB901F}"/>
    <cellStyle name="Comma 4 7 8 3" xfId="28128" xr:uid="{D35F0F41-2ED7-46AA-B1FB-D16ABA6BF908}"/>
    <cellStyle name="Comma 4 7 8 4" xfId="19687" xr:uid="{49525546-5A40-40F3-A884-6DF8D4F1C959}"/>
    <cellStyle name="Comma 4 7 8 5" xfId="11246" xr:uid="{91EAB334-A27A-4226-9F1F-852893CCE9C8}"/>
    <cellStyle name="Comma 4 7 9" xfId="4631" xr:uid="{00000000-0005-0000-0000-0000800A0000}"/>
    <cellStyle name="Comma 4 7 9 2" xfId="29963" xr:uid="{92B429F8-ACA0-4B0D-8FC2-E3A4A81687FF}"/>
    <cellStyle name="Comma 4 7 9 3" xfId="21522" xr:uid="{AE96C1F9-5879-45E4-B6CB-5A2FAE8ED357}"/>
    <cellStyle name="Comma 4 7 9 4" xfId="13081" xr:uid="{826AA327-9829-4A50-AC42-EB645A261D75}"/>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29831" xr:uid="{18CC145E-E82B-4251-BC42-ABC552C3425C}"/>
    <cellStyle name="Comma 7 3" xfId="21390" xr:uid="{E931FA92-E3EE-4DEC-9F67-E72A5901C872}"/>
    <cellStyle name="Comma 7 4" xfId="12949" xr:uid="{601BAA16-8DE8-4814-9CEA-E4CC72B662EC}"/>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2 2" xfId="34048" xr:uid="{94756E57-B48B-43BE-B2AE-34B83B9943E8}"/>
    <cellStyle name="Currency 14 2 3" xfId="25607" xr:uid="{6780D303-3B3E-4EF8-A9ED-BE3E0838F7EB}"/>
    <cellStyle name="Currency 14 2 4" xfId="17166" xr:uid="{CD81C2AA-154E-42B7-81D3-955D30AD615A}"/>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3" xfId="34057" xr:uid="{5B6B6266-FE4E-40A0-A461-67298F13D2FD}"/>
    <cellStyle name="Currency 14 3 2 2 3" xfId="25616" xr:uid="{6AAA1455-9DCD-4810-AE73-75963DD44F37}"/>
    <cellStyle name="Currency 14 3 2 2 4" xfId="17175" xr:uid="{563A19E6-FDA7-40C7-8BDD-11D4A3A5BEB2}"/>
    <cellStyle name="Currency 14 3 2 3" xfId="34054" xr:uid="{B0EF685F-FB72-4007-966A-2250E5AA8537}"/>
    <cellStyle name="Currency 14 3 2 4" xfId="25613" xr:uid="{6C67D186-57D5-49E1-93F3-B12E09613BAD}"/>
    <cellStyle name="Currency 14 3 2 5" xfId="17172" xr:uid="{E551FDC0-801D-425D-9B4C-8F42B34290A2}"/>
    <cellStyle name="Currency 14 3 3" xfId="34051" xr:uid="{DEC5A7AF-AE9C-47F2-BF47-55EF4D3F8BE5}"/>
    <cellStyle name="Currency 14 3 4" xfId="25610" xr:uid="{E6D76902-A174-4D47-A13C-BC594A11B9D4}"/>
    <cellStyle name="Currency 14 3 5" xfId="17169" xr:uid="{AC60F8B0-2778-45D8-AE76-AF5B42F5BC3E}"/>
    <cellStyle name="Currency 14 4" xfId="29834" xr:uid="{BCD62015-B81E-46FE-8A06-E377EC6FB723}"/>
    <cellStyle name="Currency 14 5" xfId="21393" xr:uid="{08F65A13-DAA4-494E-8167-27D026D1769A}"/>
    <cellStyle name="Currency 14 6" xfId="12952" xr:uid="{59DB9F4C-EB1C-4618-B3D0-BB5AB051F562}"/>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0 2 2" xfId="32347" xr:uid="{212DDFD5-7B57-4BDF-B84C-3BFC2CD0727D}"/>
    <cellStyle name="Currency 3 2 2 10 2 3" xfId="23906" xr:uid="{FB3FDC3E-3E27-495E-8529-3370AC3BC1BC}"/>
    <cellStyle name="Currency 3 2 2 10 2 4" xfId="15465" xr:uid="{18B536F6-911F-4491-9E69-0F8645706BE7}"/>
    <cellStyle name="Currency 3 2 2 10 3" xfId="28129" xr:uid="{DC890D3E-AF06-46EC-AB88-7994A96B82F0}"/>
    <cellStyle name="Currency 3 2 2 10 4" xfId="19688" xr:uid="{94D6643A-C118-4C4D-BC2D-EAEF268780AA}"/>
    <cellStyle name="Currency 3 2 2 10 5" xfId="11247" xr:uid="{3E0600DD-FEFF-470F-BE99-906837053B36}"/>
    <cellStyle name="Currency 3 2 2 11" xfId="4632" xr:uid="{00000000-0005-0000-0000-0000A50A0000}"/>
    <cellStyle name="Currency 3 2 2 11 2" xfId="29964" xr:uid="{E3DF7E86-C528-4B72-BE41-14A47F0A9A94}"/>
    <cellStyle name="Currency 3 2 2 11 3" xfId="21523" xr:uid="{18DD2E65-48CD-484B-9F33-CE0188FB14AD}"/>
    <cellStyle name="Currency 3 2 2 11 4" xfId="13082" xr:uid="{453085D9-27BB-41B3-8F09-86D4BD1AE590}"/>
    <cellStyle name="Currency 3 2 2 12" xfId="25746" xr:uid="{D0B643B2-F423-4D45-9C23-A9B47B2CEE5A}"/>
    <cellStyle name="Currency 3 2 2 13" xfId="17305" xr:uid="{98D563C3-81EF-4252-AC28-55395A3CBD90}"/>
    <cellStyle name="Currency 3 2 2 14" xfId="8864" xr:uid="{7F78B9ED-3C88-486E-BD0B-6E48998E1CE3}"/>
    <cellStyle name="Currency 3 2 2 2" xfId="179" xr:uid="{00000000-0005-0000-0000-0000A60A0000}"/>
    <cellStyle name="Currency 3 2 2 2 10" xfId="4633" xr:uid="{00000000-0005-0000-0000-0000A70A0000}"/>
    <cellStyle name="Currency 3 2 2 2 10 2" xfId="29965" xr:uid="{563D98DB-6322-4611-926A-5600CD8F800C}"/>
    <cellStyle name="Currency 3 2 2 2 10 3" xfId="21524" xr:uid="{3E09059A-C281-4C2A-8EFE-6CB015AA8382}"/>
    <cellStyle name="Currency 3 2 2 2 10 4" xfId="13083" xr:uid="{B53160B4-EF8C-4E2C-BFF1-1309802458B3}"/>
    <cellStyle name="Currency 3 2 2 2 11" xfId="25747" xr:uid="{5FFDA0F5-BED4-48C2-AE37-6179C190C80C}"/>
    <cellStyle name="Currency 3 2 2 2 12" xfId="17306" xr:uid="{3C27798F-AA95-4D8D-81D4-31BED039FC05}"/>
    <cellStyle name="Currency 3 2 2 2 13" xfId="8865" xr:uid="{BE525AC1-32B7-4698-B7CD-BD7BECC6B78B}"/>
    <cellStyle name="Currency 3 2 2 2 2" xfId="180" xr:uid="{00000000-0005-0000-0000-0000A80A0000}"/>
    <cellStyle name="Currency 3 2 2 2 2 10" xfId="25748" xr:uid="{003D5F49-09B4-4361-BAB0-4458A6D426B3}"/>
    <cellStyle name="Currency 3 2 2 2 2 11" xfId="17307" xr:uid="{31646BE9-5F9F-4C7D-AFB3-9CA51BF18C50}"/>
    <cellStyle name="Currency 3 2 2 2 2 12" xfId="8866" xr:uid="{328A1E24-9142-4F38-9FB0-7ECD4B14E05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2 2 2" xfId="32525" xr:uid="{F3F0E49A-4FC0-4BC2-9A17-07AA3256FCD9}"/>
    <cellStyle name="Currency 3 2 2 2 2 2 2 2 3" xfId="24084" xr:uid="{8D417BBE-A342-4B29-997B-B51FD6F48ED3}"/>
    <cellStyle name="Currency 3 2 2 2 2 2 2 2 4" xfId="15643" xr:uid="{274E9DC2-9974-4FA2-B6EE-732DB89732A6}"/>
    <cellStyle name="Currency 3 2 2 2 2 2 2 3" xfId="28307" xr:uid="{B486BE6C-AAFE-4EF8-8B85-455F4902C451}"/>
    <cellStyle name="Currency 3 2 2 2 2 2 2 4" xfId="19866" xr:uid="{1D144632-D446-4953-99D5-05EDC81E47C2}"/>
    <cellStyle name="Currency 3 2 2 2 2 2 2 5" xfId="11425" xr:uid="{7EFD7061-4E3E-48E2-ADA2-51202789429A}"/>
    <cellStyle name="Currency 3 2 2 2 2 2 3" xfId="5048" xr:uid="{00000000-0005-0000-0000-0000AC0A0000}"/>
    <cellStyle name="Currency 3 2 2 2 2 2 3 2" xfId="30380" xr:uid="{026BC29D-CDE3-4E08-A148-DCBBC637C715}"/>
    <cellStyle name="Currency 3 2 2 2 2 2 3 3" xfId="21939" xr:uid="{01945E4C-13A7-4B23-8B78-18CA2D51AFFB}"/>
    <cellStyle name="Currency 3 2 2 2 2 2 3 4" xfId="13498" xr:uid="{E92E30D6-1F55-43FD-83B6-A021143948BA}"/>
    <cellStyle name="Currency 3 2 2 2 2 2 4" xfId="26162" xr:uid="{21EB519F-7C67-4465-9CD9-1040449CDA44}"/>
    <cellStyle name="Currency 3 2 2 2 2 2 5" xfId="17721" xr:uid="{E89E1534-EF9C-4F24-A93B-45D6FC44DD2C}"/>
    <cellStyle name="Currency 3 2 2 2 2 2 6" xfId="9280" xr:uid="{48D6BDC5-A69C-4BE0-BB6A-4B8AAEF5F003}"/>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2 2 2" xfId="32938" xr:uid="{BB17E793-574B-464A-82DF-678306B91940}"/>
    <cellStyle name="Currency 3 2 2 2 2 3 2 2 3" xfId="24497" xr:uid="{01B53EAC-34C1-4E6A-9A7C-3BD346BC7F16}"/>
    <cellStyle name="Currency 3 2 2 2 2 3 2 2 4" xfId="16056" xr:uid="{BBA20911-EAEA-4A95-A1D8-2DC61A1D7D04}"/>
    <cellStyle name="Currency 3 2 2 2 2 3 2 3" xfId="28720" xr:uid="{A15C1418-3D80-440A-8057-8BAA96ADE937}"/>
    <cellStyle name="Currency 3 2 2 2 2 3 2 4" xfId="20279" xr:uid="{5278D2D9-54D6-4D15-AFE7-02E6D5B6CB78}"/>
    <cellStyle name="Currency 3 2 2 2 2 3 2 5" xfId="11838" xr:uid="{16531AD6-8DEA-47AA-BB32-4860C84D7568}"/>
    <cellStyle name="Currency 3 2 2 2 2 3 3" xfId="5461" xr:uid="{00000000-0005-0000-0000-0000B00A0000}"/>
    <cellStyle name="Currency 3 2 2 2 2 3 3 2" xfId="30793" xr:uid="{488E2AA7-6B39-4B49-A42E-684950D7DB60}"/>
    <cellStyle name="Currency 3 2 2 2 2 3 3 3" xfId="22352" xr:uid="{F4063181-35C4-44B8-B11C-846BE20010B5}"/>
    <cellStyle name="Currency 3 2 2 2 2 3 3 4" xfId="13911" xr:uid="{5BEC4F19-05E0-4FF8-9354-057F8B677380}"/>
    <cellStyle name="Currency 3 2 2 2 2 3 4" xfId="26575" xr:uid="{5C686423-8775-4233-A9C8-DFDBBF808776}"/>
    <cellStyle name="Currency 3 2 2 2 2 3 5" xfId="18134" xr:uid="{F5B5867C-39D9-4946-A739-92F805117F8D}"/>
    <cellStyle name="Currency 3 2 2 2 2 3 6" xfId="9693" xr:uid="{3652769D-9320-4EAE-9922-47783B76D61C}"/>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2 2 2" xfId="33351" xr:uid="{2951D246-7CD0-44DE-9B85-B21B47617801}"/>
    <cellStyle name="Currency 3 2 2 2 2 4 2 2 3" xfId="24910" xr:uid="{38D82547-E955-4081-BBF7-29C45EFA07B4}"/>
    <cellStyle name="Currency 3 2 2 2 2 4 2 2 4" xfId="16469" xr:uid="{FD88BB11-F73A-43BB-A874-19D87FD20050}"/>
    <cellStyle name="Currency 3 2 2 2 2 4 2 3" xfId="29133" xr:uid="{679C1902-11E1-4000-A81E-BFAE3A234FBE}"/>
    <cellStyle name="Currency 3 2 2 2 2 4 2 4" xfId="20692" xr:uid="{DFAF56F2-C17C-419F-9AFB-49E8D84A024D}"/>
    <cellStyle name="Currency 3 2 2 2 2 4 2 5" xfId="12251" xr:uid="{3AA9EFD3-D1B6-4F8F-AFFA-ED4976B10027}"/>
    <cellStyle name="Currency 3 2 2 2 2 4 3" xfId="5874" xr:uid="{00000000-0005-0000-0000-0000B40A0000}"/>
    <cellStyle name="Currency 3 2 2 2 2 4 3 2" xfId="31206" xr:uid="{4A2ADEC0-6684-46E1-AED1-F5C7D1776C95}"/>
    <cellStyle name="Currency 3 2 2 2 2 4 3 3" xfId="22765" xr:uid="{8DDE7D0B-36C5-4B15-84EB-1036E01E4392}"/>
    <cellStyle name="Currency 3 2 2 2 2 4 3 4" xfId="14324" xr:uid="{F4BE1A73-F977-4004-ACD5-40F7696AACEF}"/>
    <cellStyle name="Currency 3 2 2 2 2 4 4" xfId="26988" xr:uid="{565BD989-3C9E-40B0-B8C6-7439DEECC8D9}"/>
    <cellStyle name="Currency 3 2 2 2 2 4 5" xfId="18547" xr:uid="{2BCB70ED-5C95-4B78-A4D0-F501643F131B}"/>
    <cellStyle name="Currency 3 2 2 2 2 4 6" xfId="10106" xr:uid="{CAC51628-46FA-471F-A127-B0486C75C97E}"/>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2 2 2" xfId="33764" xr:uid="{BD2D8AD0-B432-429A-85CE-7785C3D6BFEA}"/>
    <cellStyle name="Currency 3 2 2 2 2 5 2 2 3" xfId="25323" xr:uid="{89E64407-7599-49DD-8238-EA8583225328}"/>
    <cellStyle name="Currency 3 2 2 2 2 5 2 2 4" xfId="16882" xr:uid="{D4274B98-50C4-4242-AEFD-8FBAD5EB2CFF}"/>
    <cellStyle name="Currency 3 2 2 2 2 5 2 3" xfId="29546" xr:uid="{2DED21AE-5939-4DE6-AC2E-65C742DB3E0F}"/>
    <cellStyle name="Currency 3 2 2 2 2 5 2 4" xfId="21105" xr:uid="{F80DC6EB-071C-4B8E-923C-C45E7F667EEC}"/>
    <cellStyle name="Currency 3 2 2 2 2 5 2 5" xfId="12664" xr:uid="{77BB2C94-842E-4224-92A3-C94C9BBE571B}"/>
    <cellStyle name="Currency 3 2 2 2 2 5 3" xfId="6287" xr:uid="{00000000-0005-0000-0000-0000B80A0000}"/>
    <cellStyle name="Currency 3 2 2 2 2 5 3 2" xfId="31619" xr:uid="{9D7D9EF7-C022-4012-A8BA-41DF75A80F0D}"/>
    <cellStyle name="Currency 3 2 2 2 2 5 3 3" xfId="23178" xr:uid="{02D98F49-3917-4DB5-96AE-A566A31BF849}"/>
    <cellStyle name="Currency 3 2 2 2 2 5 3 4" xfId="14737" xr:uid="{4BCC07BC-AD42-473D-93FC-C6F38D7A05AD}"/>
    <cellStyle name="Currency 3 2 2 2 2 5 4" xfId="27401" xr:uid="{54016B49-D487-4E3A-933F-03CB85FE329D}"/>
    <cellStyle name="Currency 3 2 2 2 2 5 5" xfId="18960" xr:uid="{AE870602-B17B-4E44-BE62-C94131D91284}"/>
    <cellStyle name="Currency 3 2 2 2 2 5 6" xfId="10519" xr:uid="{1AABEAE4-9A75-4AD3-A87A-3FE2430130BF}"/>
    <cellStyle name="Currency 3 2 2 2 2 6" xfId="2416" xr:uid="{00000000-0005-0000-0000-0000B90A0000}"/>
    <cellStyle name="Currency 3 2 2 2 2 6 2" xfId="6700" xr:uid="{00000000-0005-0000-0000-0000BA0A0000}"/>
    <cellStyle name="Currency 3 2 2 2 2 6 2 2" xfId="32032" xr:uid="{371859EB-66DC-4E5D-A488-D14B744061D4}"/>
    <cellStyle name="Currency 3 2 2 2 2 6 2 3" xfId="23591" xr:uid="{D5CC5C6D-93B8-44B2-BB9F-3C2A682AE6E9}"/>
    <cellStyle name="Currency 3 2 2 2 2 6 2 4" xfId="15150" xr:uid="{3FE786B9-353B-40BE-8EBA-3327ABB37826}"/>
    <cellStyle name="Currency 3 2 2 2 2 6 3" xfId="27814" xr:uid="{4697A9DF-EDC6-4D93-857E-D726C4C6BCA9}"/>
    <cellStyle name="Currency 3 2 2 2 2 6 4" xfId="19373" xr:uid="{81CCE9D2-8C03-4FCB-80FB-42B76B1225D5}"/>
    <cellStyle name="Currency 3 2 2 2 2 6 5" xfId="10932" xr:uid="{FC9E0642-C080-4199-9F34-16FAE26D0DEA}"/>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8 2 2" xfId="32349" xr:uid="{19CDD597-5CEB-4EFA-B832-FCABF95CF14F}"/>
    <cellStyle name="Currency 3 2 2 2 2 8 2 3" xfId="23908" xr:uid="{2D735F76-D263-47F0-9FF3-B27AD0F0B74A}"/>
    <cellStyle name="Currency 3 2 2 2 2 8 2 4" xfId="15467" xr:uid="{643FD49F-416E-4978-8C52-96EC961F6872}"/>
    <cellStyle name="Currency 3 2 2 2 2 8 3" xfId="28131" xr:uid="{F5C0245A-248F-417A-B40F-247D31988227}"/>
    <cellStyle name="Currency 3 2 2 2 2 8 4" xfId="19690" xr:uid="{BD8E1F71-3C44-48B6-9E3F-55F2251A2512}"/>
    <cellStyle name="Currency 3 2 2 2 2 8 5" xfId="11249" xr:uid="{C4D2CA1A-A32C-4C0B-B8FA-FF7164E060B7}"/>
    <cellStyle name="Currency 3 2 2 2 2 9" xfId="4634" xr:uid="{00000000-0005-0000-0000-0000BE0A0000}"/>
    <cellStyle name="Currency 3 2 2 2 2 9 2" xfId="29966" xr:uid="{118575A2-1664-481C-A5AB-6B28B690D619}"/>
    <cellStyle name="Currency 3 2 2 2 2 9 3" xfId="21525" xr:uid="{34E15B12-3366-4302-ACCF-33C1020B598F}"/>
    <cellStyle name="Currency 3 2 2 2 2 9 4" xfId="13084" xr:uid="{62E94DA7-29B5-454A-9CC2-640562B9048E}"/>
    <cellStyle name="Currency 3 2 2 2 3" xfId="709" xr:uid="{00000000-0005-0000-0000-0000BF0A0000}"/>
    <cellStyle name="Currency 3 2 2 2 3 2" xfId="2970" xr:uid="{00000000-0005-0000-0000-0000C00A0000}"/>
    <cellStyle name="Currency 3 2 2 2 3 2 2" xfId="7192" xr:uid="{00000000-0005-0000-0000-0000C10A0000}"/>
    <cellStyle name="Currency 3 2 2 2 3 2 2 2" xfId="32524" xr:uid="{42E30023-3584-4C3C-A13A-7CC8AC57350B}"/>
    <cellStyle name="Currency 3 2 2 2 3 2 2 3" xfId="24083" xr:uid="{08AEF6F4-BC5E-4926-A494-6B082390B475}"/>
    <cellStyle name="Currency 3 2 2 2 3 2 2 4" xfId="15642" xr:uid="{5BF8517D-C09B-4C49-A9A6-30DCFF3205C9}"/>
    <cellStyle name="Currency 3 2 2 2 3 2 3" xfId="28306" xr:uid="{AB6E206A-F3D7-4D2A-9DCF-9C08A1880B9A}"/>
    <cellStyle name="Currency 3 2 2 2 3 2 4" xfId="19865" xr:uid="{959B8C67-078F-4BDE-A817-0A0450AC7A3E}"/>
    <cellStyle name="Currency 3 2 2 2 3 2 5" xfId="11424" xr:uid="{E413C093-2F43-4305-8EA9-3A6D17F99F73}"/>
    <cellStyle name="Currency 3 2 2 2 3 3" xfId="5047" xr:uid="{00000000-0005-0000-0000-0000C20A0000}"/>
    <cellStyle name="Currency 3 2 2 2 3 3 2" xfId="30379" xr:uid="{DAA5FD91-EF21-4BB7-A10B-D9A846B1DDD5}"/>
    <cellStyle name="Currency 3 2 2 2 3 3 3" xfId="21938" xr:uid="{9843E611-50CC-4069-998B-094865C032CE}"/>
    <cellStyle name="Currency 3 2 2 2 3 3 4" xfId="13497" xr:uid="{B91279CD-3DDA-46E6-AC0B-8D4DECD0E270}"/>
    <cellStyle name="Currency 3 2 2 2 3 4" xfId="26161" xr:uid="{12D2E167-DB38-4AFE-B29A-5568BDDDED73}"/>
    <cellStyle name="Currency 3 2 2 2 3 5" xfId="17720" xr:uid="{D8506CB6-4B54-4809-BEE6-4011915F00D2}"/>
    <cellStyle name="Currency 3 2 2 2 3 6" xfId="9279" xr:uid="{8C026241-E4E3-4D55-B954-0703FAC56495}"/>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2 2 2" xfId="32937" xr:uid="{FDAA761E-DAF1-4A82-A16C-B4F84FDA5C7E}"/>
    <cellStyle name="Currency 3 2 2 2 4 2 2 3" xfId="24496" xr:uid="{F181882E-0123-4EB2-89EF-D0AC3FBA958C}"/>
    <cellStyle name="Currency 3 2 2 2 4 2 2 4" xfId="16055" xr:uid="{F99739BF-0430-4B25-8E35-CD3B7160F24A}"/>
    <cellStyle name="Currency 3 2 2 2 4 2 3" xfId="28719" xr:uid="{DEEAD86C-3FBF-40D0-9E43-620DE8B3C9D8}"/>
    <cellStyle name="Currency 3 2 2 2 4 2 4" xfId="20278" xr:uid="{01883E83-50B3-45E2-B77B-C00E4EAD9B56}"/>
    <cellStyle name="Currency 3 2 2 2 4 2 5" xfId="11837" xr:uid="{D508E8F5-BA38-472C-BA9C-277AB6731DFA}"/>
    <cellStyle name="Currency 3 2 2 2 4 3" xfId="5460" xr:uid="{00000000-0005-0000-0000-0000C60A0000}"/>
    <cellStyle name="Currency 3 2 2 2 4 3 2" xfId="30792" xr:uid="{F9CDBEB7-E109-4532-BA4E-2AFDDB760EB1}"/>
    <cellStyle name="Currency 3 2 2 2 4 3 3" xfId="22351" xr:uid="{06A90FAA-655C-4196-8C4B-319E309CA7D0}"/>
    <cellStyle name="Currency 3 2 2 2 4 3 4" xfId="13910" xr:uid="{6AC9A137-1442-4767-BE0E-44621B117A02}"/>
    <cellStyle name="Currency 3 2 2 2 4 4" xfId="26574" xr:uid="{C87529FB-46AD-4EDE-BDD2-EF1CD72C94FF}"/>
    <cellStyle name="Currency 3 2 2 2 4 5" xfId="18133" xr:uid="{C2C1320A-E6E2-4827-A84E-9BF774862A12}"/>
    <cellStyle name="Currency 3 2 2 2 4 6" xfId="9692" xr:uid="{1C08A615-7E88-414D-BBCC-EFBE417620CC}"/>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2 2 2" xfId="33350" xr:uid="{E1979F44-4D25-417C-8A53-3A0A904BA393}"/>
    <cellStyle name="Currency 3 2 2 2 5 2 2 3" xfId="24909" xr:uid="{AC410061-A827-4152-9004-9CDE40A06052}"/>
    <cellStyle name="Currency 3 2 2 2 5 2 2 4" xfId="16468" xr:uid="{FB88FB26-CD12-4A01-A631-9BE6DE687572}"/>
    <cellStyle name="Currency 3 2 2 2 5 2 3" xfId="29132" xr:uid="{A6736656-D32B-4A3A-B64D-92BA51EB51F5}"/>
    <cellStyle name="Currency 3 2 2 2 5 2 4" xfId="20691" xr:uid="{2CAE9878-FF0B-4140-A314-10BA2C2A3E73}"/>
    <cellStyle name="Currency 3 2 2 2 5 2 5" xfId="12250" xr:uid="{C5EE3915-B09C-427C-A1AF-CEF1A91E0238}"/>
    <cellStyle name="Currency 3 2 2 2 5 3" xfId="5873" xr:uid="{00000000-0005-0000-0000-0000CA0A0000}"/>
    <cellStyle name="Currency 3 2 2 2 5 3 2" xfId="31205" xr:uid="{F86012BB-CBCD-4AB0-8283-99FED57548C3}"/>
    <cellStyle name="Currency 3 2 2 2 5 3 3" xfId="22764" xr:uid="{D57E1C7A-DECC-44CE-A231-F34AC8F5B5E0}"/>
    <cellStyle name="Currency 3 2 2 2 5 3 4" xfId="14323" xr:uid="{54E2BB65-8CC3-4713-BEB8-EEA2E3FA2E17}"/>
    <cellStyle name="Currency 3 2 2 2 5 4" xfId="26987" xr:uid="{918009C1-6727-4DDA-9BEB-21086C3D3351}"/>
    <cellStyle name="Currency 3 2 2 2 5 5" xfId="18546" xr:uid="{528E881A-B2C9-4281-8A46-3D21900ED3CF}"/>
    <cellStyle name="Currency 3 2 2 2 5 6" xfId="10105" xr:uid="{CBFC1514-B86E-4F82-B7AA-50D6FE28A6DB}"/>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2 2 2" xfId="33763" xr:uid="{D27A2678-11B2-4EAB-8AC9-C10EAC03BB1C}"/>
    <cellStyle name="Currency 3 2 2 2 6 2 2 3" xfId="25322" xr:uid="{F19B5039-4F27-46AA-B12F-98ACC851FA9D}"/>
    <cellStyle name="Currency 3 2 2 2 6 2 2 4" xfId="16881" xr:uid="{6A791DE0-B3CC-413F-8C7E-3B04594872CE}"/>
    <cellStyle name="Currency 3 2 2 2 6 2 3" xfId="29545" xr:uid="{9986B7BE-A26D-4A0B-A2AC-5D3101C6EEDC}"/>
    <cellStyle name="Currency 3 2 2 2 6 2 4" xfId="21104" xr:uid="{F965A8A2-F7C6-466C-8C68-89741FFEC38D}"/>
    <cellStyle name="Currency 3 2 2 2 6 2 5" xfId="12663" xr:uid="{1E091A0C-45F5-494E-9B57-044FE45704D6}"/>
    <cellStyle name="Currency 3 2 2 2 6 3" xfId="6286" xr:uid="{00000000-0005-0000-0000-0000CE0A0000}"/>
    <cellStyle name="Currency 3 2 2 2 6 3 2" xfId="31618" xr:uid="{E6B324CC-3BD6-4D86-856E-1AEDCCD6056C}"/>
    <cellStyle name="Currency 3 2 2 2 6 3 3" xfId="23177" xr:uid="{50EA93B1-E1DD-4B0F-8052-455516443738}"/>
    <cellStyle name="Currency 3 2 2 2 6 3 4" xfId="14736" xr:uid="{8B1AB212-56BB-44A2-AE03-5784D8554B07}"/>
    <cellStyle name="Currency 3 2 2 2 6 4" xfId="27400" xr:uid="{66A3DDAE-8CDC-4859-930B-3BBB5CBB18F8}"/>
    <cellStyle name="Currency 3 2 2 2 6 5" xfId="18959" xr:uid="{CB8AD890-09FB-46E8-9B19-A1CFE357B8ED}"/>
    <cellStyle name="Currency 3 2 2 2 6 6" xfId="10518" xr:uid="{636B4811-783C-402D-8F68-9514564F8814}"/>
    <cellStyle name="Currency 3 2 2 2 7" xfId="2415" xr:uid="{00000000-0005-0000-0000-0000CF0A0000}"/>
    <cellStyle name="Currency 3 2 2 2 7 2" xfId="6699" xr:uid="{00000000-0005-0000-0000-0000D00A0000}"/>
    <cellStyle name="Currency 3 2 2 2 7 2 2" xfId="32031" xr:uid="{EC7AB8D7-8210-4A9D-9AE7-E50A1C999684}"/>
    <cellStyle name="Currency 3 2 2 2 7 2 3" xfId="23590" xr:uid="{568C808B-44AA-4A88-90FF-4DC6212786F0}"/>
    <cellStyle name="Currency 3 2 2 2 7 2 4" xfId="15149" xr:uid="{CC559ECD-7D03-42FF-A1A0-E2838B0D4F60}"/>
    <cellStyle name="Currency 3 2 2 2 7 3" xfId="27813" xr:uid="{EE2C0984-2149-4332-B0DE-7CC385173233}"/>
    <cellStyle name="Currency 3 2 2 2 7 4" xfId="19372" xr:uid="{93FF20FA-75D4-4E8A-8FAF-9D9DE7DC97F7}"/>
    <cellStyle name="Currency 3 2 2 2 7 5" xfId="10931" xr:uid="{D590FB8C-5CB2-4936-BBAF-BB793210A720}"/>
    <cellStyle name="Currency 3 2 2 2 8" xfId="2712" xr:uid="{00000000-0005-0000-0000-0000D10A0000}"/>
    <cellStyle name="Currency 3 2 2 2 9" xfId="2793" xr:uid="{00000000-0005-0000-0000-0000D20A0000}"/>
    <cellStyle name="Currency 3 2 2 2 9 2" xfId="7016" xr:uid="{00000000-0005-0000-0000-0000D30A0000}"/>
    <cellStyle name="Currency 3 2 2 2 9 2 2" xfId="32348" xr:uid="{542FC7AB-513D-472C-ABCA-73426794538F}"/>
    <cellStyle name="Currency 3 2 2 2 9 2 3" xfId="23907" xr:uid="{AEC40A37-B6EE-43ED-9B81-A97F14A95A32}"/>
    <cellStyle name="Currency 3 2 2 2 9 2 4" xfId="15466" xr:uid="{916ABA03-40CC-4F97-9AE0-61E37C254DF5}"/>
    <cellStyle name="Currency 3 2 2 2 9 3" xfId="28130" xr:uid="{BE4035D2-4CF4-4BDD-A4CA-B81E5E088A01}"/>
    <cellStyle name="Currency 3 2 2 2 9 4" xfId="19689" xr:uid="{46E3C298-168F-4C40-AC4A-FC3A3B85F369}"/>
    <cellStyle name="Currency 3 2 2 2 9 5" xfId="11248" xr:uid="{DE8707CF-961D-45AA-81D7-9795A4E07C85}"/>
    <cellStyle name="Currency 3 2 2 3" xfId="181" xr:uid="{00000000-0005-0000-0000-0000D40A0000}"/>
    <cellStyle name="Currency 3 2 2 3 10" xfId="25749" xr:uid="{E3CFA535-FE21-4705-9442-5598567F2508}"/>
    <cellStyle name="Currency 3 2 2 3 11" xfId="17308" xr:uid="{F889F802-EF7D-4DAA-998E-2FED5953BA50}"/>
    <cellStyle name="Currency 3 2 2 3 12" xfId="8867" xr:uid="{15233A45-5C5E-4618-92A5-3B5005B988C8}"/>
    <cellStyle name="Currency 3 2 2 3 2" xfId="711" xr:uid="{00000000-0005-0000-0000-0000D50A0000}"/>
    <cellStyle name="Currency 3 2 2 3 2 2" xfId="2972" xr:uid="{00000000-0005-0000-0000-0000D60A0000}"/>
    <cellStyle name="Currency 3 2 2 3 2 2 2" xfId="7194" xr:uid="{00000000-0005-0000-0000-0000D70A0000}"/>
    <cellStyle name="Currency 3 2 2 3 2 2 2 2" xfId="32526" xr:uid="{BE132155-775B-4B56-B7D1-83F11ADC40A9}"/>
    <cellStyle name="Currency 3 2 2 3 2 2 2 3" xfId="24085" xr:uid="{E60331CA-D1FB-44FB-A484-0621CFC4DF56}"/>
    <cellStyle name="Currency 3 2 2 3 2 2 2 4" xfId="15644" xr:uid="{07E2E2E9-D9EB-438C-96F2-1C3033EFFE6A}"/>
    <cellStyle name="Currency 3 2 2 3 2 2 3" xfId="28308" xr:uid="{FF1EF748-832F-4C99-BF16-9B698EA2986D}"/>
    <cellStyle name="Currency 3 2 2 3 2 2 4" xfId="19867" xr:uid="{253B2BD3-5596-40C5-8882-7128DC61BAF2}"/>
    <cellStyle name="Currency 3 2 2 3 2 2 5" xfId="11426" xr:uid="{AFE8B8D9-5B50-47D4-8C10-B01CEE0FBA33}"/>
    <cellStyle name="Currency 3 2 2 3 2 3" xfId="5049" xr:uid="{00000000-0005-0000-0000-0000D80A0000}"/>
    <cellStyle name="Currency 3 2 2 3 2 3 2" xfId="30381" xr:uid="{7EC62FC3-91F7-442F-A3A9-812B07FC0828}"/>
    <cellStyle name="Currency 3 2 2 3 2 3 3" xfId="21940" xr:uid="{7E58EE6F-E1FA-4243-9C1F-AABAEB7073F3}"/>
    <cellStyle name="Currency 3 2 2 3 2 3 4" xfId="13499" xr:uid="{93916447-9DA1-415A-971F-81C8EDD0F545}"/>
    <cellStyle name="Currency 3 2 2 3 2 4" xfId="26163" xr:uid="{3A5EB95D-D2C4-4A64-BEDF-5EEC84AAC92E}"/>
    <cellStyle name="Currency 3 2 2 3 2 5" xfId="17722" xr:uid="{0B66AB0D-19CB-44C5-ABAF-5091EB99BBAA}"/>
    <cellStyle name="Currency 3 2 2 3 2 6" xfId="9281" xr:uid="{5272FC04-E1CF-42EF-9DFA-EC009C50F5AF}"/>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2 2 2" xfId="32939" xr:uid="{BCFFA7B6-E1DD-416C-B7E2-F9A281C75D48}"/>
    <cellStyle name="Currency 3 2 2 3 3 2 2 3" xfId="24498" xr:uid="{04D5BA01-26F1-48CD-947F-A4EFB4ABF765}"/>
    <cellStyle name="Currency 3 2 2 3 3 2 2 4" xfId="16057" xr:uid="{3F143CDC-5AB2-410D-853D-AD18A3B461AB}"/>
    <cellStyle name="Currency 3 2 2 3 3 2 3" xfId="28721" xr:uid="{3FFE9226-75AE-4B4F-BCEB-1CF0D9B97891}"/>
    <cellStyle name="Currency 3 2 2 3 3 2 4" xfId="20280" xr:uid="{0E422C13-8A77-44C6-A7E7-99D5B91D7776}"/>
    <cellStyle name="Currency 3 2 2 3 3 2 5" xfId="11839" xr:uid="{93CB5D9B-76B8-43B4-91CE-70AC09138F04}"/>
    <cellStyle name="Currency 3 2 2 3 3 3" xfId="5462" xr:uid="{00000000-0005-0000-0000-0000DC0A0000}"/>
    <cellStyle name="Currency 3 2 2 3 3 3 2" xfId="30794" xr:uid="{10BED5EF-F1E5-495C-90C7-0B79643D43F0}"/>
    <cellStyle name="Currency 3 2 2 3 3 3 3" xfId="22353" xr:uid="{13DB20FA-4330-4B3A-9EC1-E01EB194FA89}"/>
    <cellStyle name="Currency 3 2 2 3 3 3 4" xfId="13912" xr:uid="{E48C1F26-6ECC-42E7-B48D-733E83915AC2}"/>
    <cellStyle name="Currency 3 2 2 3 3 4" xfId="26576" xr:uid="{ED8A5E27-34BC-4115-B09B-779BEC4B9179}"/>
    <cellStyle name="Currency 3 2 2 3 3 5" xfId="18135" xr:uid="{3F08B1A0-2F46-4FFD-BBBA-69F67641BF0F}"/>
    <cellStyle name="Currency 3 2 2 3 3 6" xfId="9694" xr:uid="{0468CC9C-2DAF-4B4A-B542-4945A0CAE09F}"/>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2 2 2" xfId="33352" xr:uid="{26136080-FB5D-43B4-965B-FA80BFF3DA8D}"/>
    <cellStyle name="Currency 3 2 2 3 4 2 2 3" xfId="24911" xr:uid="{B701D9CE-6D13-4F78-BD1B-5957B39A53EE}"/>
    <cellStyle name="Currency 3 2 2 3 4 2 2 4" xfId="16470" xr:uid="{0AF44DB6-197B-475C-A621-D5160EA4D6BD}"/>
    <cellStyle name="Currency 3 2 2 3 4 2 3" xfId="29134" xr:uid="{FBEBB439-3D22-43A3-9B38-1F4186CB1F44}"/>
    <cellStyle name="Currency 3 2 2 3 4 2 4" xfId="20693" xr:uid="{56A021F7-318B-4CF5-92C1-9EB8D3A7D0CC}"/>
    <cellStyle name="Currency 3 2 2 3 4 2 5" xfId="12252" xr:uid="{3D2131A3-3478-49DE-A5AE-53C5CA6DC8C7}"/>
    <cellStyle name="Currency 3 2 2 3 4 3" xfId="5875" xr:uid="{00000000-0005-0000-0000-0000E00A0000}"/>
    <cellStyle name="Currency 3 2 2 3 4 3 2" xfId="31207" xr:uid="{AF465BE8-D34C-449A-83E5-FCD2FD2492B9}"/>
    <cellStyle name="Currency 3 2 2 3 4 3 3" xfId="22766" xr:uid="{E2F001F8-B1CC-4BC6-97CE-F855ED7FED1E}"/>
    <cellStyle name="Currency 3 2 2 3 4 3 4" xfId="14325" xr:uid="{63935F1B-19EA-4820-B689-FF0926F07F33}"/>
    <cellStyle name="Currency 3 2 2 3 4 4" xfId="26989" xr:uid="{D8A1AE38-A122-446B-96DC-3A7C06898C17}"/>
    <cellStyle name="Currency 3 2 2 3 4 5" xfId="18548" xr:uid="{3B947B2A-C0C4-49C6-8406-D6426DCDBA41}"/>
    <cellStyle name="Currency 3 2 2 3 4 6" xfId="10107" xr:uid="{AC2355D2-714A-49A0-BA2F-B0DD1F6719CA}"/>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2 2 2" xfId="33765" xr:uid="{EF1515B0-4890-4642-8A48-CF3C16030964}"/>
    <cellStyle name="Currency 3 2 2 3 5 2 2 3" xfId="25324" xr:uid="{329B5594-B574-4C66-9C8A-574AD965F4E6}"/>
    <cellStyle name="Currency 3 2 2 3 5 2 2 4" xfId="16883" xr:uid="{2C310EAC-5E30-4E4A-A8C5-1997E4459E8A}"/>
    <cellStyle name="Currency 3 2 2 3 5 2 3" xfId="29547" xr:uid="{61B7BE60-76EE-4343-8202-FFDB584788B5}"/>
    <cellStyle name="Currency 3 2 2 3 5 2 4" xfId="21106" xr:uid="{75A623FB-2B7A-4460-9639-8C3503211E67}"/>
    <cellStyle name="Currency 3 2 2 3 5 2 5" xfId="12665" xr:uid="{AF78AC70-4348-44CE-B758-06ED35EC89F2}"/>
    <cellStyle name="Currency 3 2 2 3 5 3" xfId="6288" xr:uid="{00000000-0005-0000-0000-0000E40A0000}"/>
    <cellStyle name="Currency 3 2 2 3 5 3 2" xfId="31620" xr:uid="{FBF7EB5B-449B-4680-BD0F-A510F731752A}"/>
    <cellStyle name="Currency 3 2 2 3 5 3 3" xfId="23179" xr:uid="{466BB879-C259-44E7-826F-1DCB1D86F0AF}"/>
    <cellStyle name="Currency 3 2 2 3 5 3 4" xfId="14738" xr:uid="{84419B9C-6FDC-4C0E-AB54-0A1332FE7D38}"/>
    <cellStyle name="Currency 3 2 2 3 5 4" xfId="27402" xr:uid="{DD67C2E0-8C98-4D16-BD20-8E5D7ED27EB6}"/>
    <cellStyle name="Currency 3 2 2 3 5 5" xfId="18961" xr:uid="{2B49FCF9-67B3-4408-9BDB-88B69E975E17}"/>
    <cellStyle name="Currency 3 2 2 3 5 6" xfId="10520" xr:uid="{536BF2ED-AD13-4D07-9D21-0F31D13B6E1A}"/>
    <cellStyle name="Currency 3 2 2 3 6" xfId="2417" xr:uid="{00000000-0005-0000-0000-0000E50A0000}"/>
    <cellStyle name="Currency 3 2 2 3 6 2" xfId="6701" xr:uid="{00000000-0005-0000-0000-0000E60A0000}"/>
    <cellStyle name="Currency 3 2 2 3 6 2 2" xfId="32033" xr:uid="{4FE7D608-17D7-4275-AF29-0C6C37C358DD}"/>
    <cellStyle name="Currency 3 2 2 3 6 2 3" xfId="23592" xr:uid="{079AE7EF-3EAC-4657-956C-EBF644763A0B}"/>
    <cellStyle name="Currency 3 2 2 3 6 2 4" xfId="15151" xr:uid="{EFC30E0B-8933-4C02-B4F3-4609F3FC6627}"/>
    <cellStyle name="Currency 3 2 2 3 6 3" xfId="27815" xr:uid="{EF6D1FE1-229A-4F01-86D9-9A5406C824BC}"/>
    <cellStyle name="Currency 3 2 2 3 6 4" xfId="19374" xr:uid="{F2B6C8AF-BE7D-4600-BD1C-D79EFB305A9E}"/>
    <cellStyle name="Currency 3 2 2 3 6 5" xfId="10933" xr:uid="{4C0E6B6B-2807-4C22-B462-68FF2FEFCB96}"/>
    <cellStyle name="Currency 3 2 2 3 7" xfId="2714" xr:uid="{00000000-0005-0000-0000-0000E70A0000}"/>
    <cellStyle name="Currency 3 2 2 3 8" xfId="2795" xr:uid="{00000000-0005-0000-0000-0000E80A0000}"/>
    <cellStyle name="Currency 3 2 2 3 8 2" xfId="7018" xr:uid="{00000000-0005-0000-0000-0000E90A0000}"/>
    <cellStyle name="Currency 3 2 2 3 8 2 2" xfId="32350" xr:uid="{5DA48888-63C7-4D8D-B471-B1C7E3CA8577}"/>
    <cellStyle name="Currency 3 2 2 3 8 2 3" xfId="23909" xr:uid="{66C66ACD-9B05-48DA-9BDB-9155DBD2E6E3}"/>
    <cellStyle name="Currency 3 2 2 3 8 2 4" xfId="15468" xr:uid="{57097FB8-FFF5-4773-93F4-BCD4DD714503}"/>
    <cellStyle name="Currency 3 2 2 3 8 3" xfId="28132" xr:uid="{F15AB392-AD40-4F6B-B786-8D0920A0DF69}"/>
    <cellStyle name="Currency 3 2 2 3 8 4" xfId="19691" xr:uid="{DA532B1F-DE4C-40A3-8406-05095C2A2333}"/>
    <cellStyle name="Currency 3 2 2 3 8 5" xfId="11250" xr:uid="{8DD818A0-E622-489E-A645-52ED75361672}"/>
    <cellStyle name="Currency 3 2 2 3 9" xfId="4635" xr:uid="{00000000-0005-0000-0000-0000EA0A0000}"/>
    <cellStyle name="Currency 3 2 2 3 9 2" xfId="29967" xr:uid="{6EE2471B-EC02-406F-8BB2-039494EFBDFF}"/>
    <cellStyle name="Currency 3 2 2 3 9 3" xfId="21526" xr:uid="{BBA3ED7D-5082-4F6D-9BF0-7CF3545F60CA}"/>
    <cellStyle name="Currency 3 2 2 3 9 4" xfId="13085" xr:uid="{D1EB0B87-8586-49FC-97F3-A978F64ACFDD}"/>
    <cellStyle name="Currency 3 2 2 4" xfId="708" xr:uid="{00000000-0005-0000-0000-0000EB0A0000}"/>
    <cellStyle name="Currency 3 2 2 4 2" xfId="2969" xr:uid="{00000000-0005-0000-0000-0000EC0A0000}"/>
    <cellStyle name="Currency 3 2 2 4 2 2" xfId="7191" xr:uid="{00000000-0005-0000-0000-0000ED0A0000}"/>
    <cellStyle name="Currency 3 2 2 4 2 2 2" xfId="32523" xr:uid="{22A762F6-EA41-40F4-86EE-555E1A834127}"/>
    <cellStyle name="Currency 3 2 2 4 2 2 3" xfId="24082" xr:uid="{2B3EDCC8-FBB6-44B3-8E93-F8A376118390}"/>
    <cellStyle name="Currency 3 2 2 4 2 2 4" xfId="15641" xr:uid="{BD105F68-87C3-4E14-B302-3BB36F6C2421}"/>
    <cellStyle name="Currency 3 2 2 4 2 3" xfId="28305" xr:uid="{6898553B-2E6F-407D-A11D-54C2C2B614E3}"/>
    <cellStyle name="Currency 3 2 2 4 2 4" xfId="19864" xr:uid="{95106CBD-92A3-489B-B1B5-F958152EA9D8}"/>
    <cellStyle name="Currency 3 2 2 4 2 5" xfId="11423" xr:uid="{BCBB3597-FBF6-43A9-A8DD-80700B4D2D1E}"/>
    <cellStyle name="Currency 3 2 2 4 3" xfId="5046" xr:uid="{00000000-0005-0000-0000-0000EE0A0000}"/>
    <cellStyle name="Currency 3 2 2 4 3 2" xfId="30378" xr:uid="{B9C7C976-30F9-400F-B24B-64D7D218EBCF}"/>
    <cellStyle name="Currency 3 2 2 4 3 3" xfId="21937" xr:uid="{8812D080-2920-4A0A-9ED5-5342A8117409}"/>
    <cellStyle name="Currency 3 2 2 4 3 4" xfId="13496" xr:uid="{7B166AC9-2B3E-42BC-8837-A8E846376680}"/>
    <cellStyle name="Currency 3 2 2 4 4" xfId="26160" xr:uid="{4626B3B2-FE69-42A4-8B94-FDE7BAEDCA7F}"/>
    <cellStyle name="Currency 3 2 2 4 5" xfId="17719" xr:uid="{1FDBD582-4F6B-4C97-A09F-BB2CFF9C05AE}"/>
    <cellStyle name="Currency 3 2 2 4 6" xfId="9278" xr:uid="{0FD3793D-6EC5-4504-B38E-5B1BE1B984A2}"/>
    <cellStyle name="Currency 3 2 2 5" xfId="1151" xr:uid="{00000000-0005-0000-0000-0000EF0A0000}"/>
    <cellStyle name="Currency 3 2 2 5 2" xfId="3382" xr:uid="{00000000-0005-0000-0000-0000F00A0000}"/>
    <cellStyle name="Currency 3 2 2 5 2 2" xfId="7604" xr:uid="{00000000-0005-0000-0000-0000F10A0000}"/>
    <cellStyle name="Currency 3 2 2 5 2 2 2" xfId="32936" xr:uid="{676DD866-0183-4752-A618-2A94F2E912C1}"/>
    <cellStyle name="Currency 3 2 2 5 2 2 3" xfId="24495" xr:uid="{3A9287EB-514A-4A47-9E0A-57EE38CE7BD9}"/>
    <cellStyle name="Currency 3 2 2 5 2 2 4" xfId="16054" xr:uid="{3E39A2A3-2FC1-4527-9B43-E8C3926DD9B2}"/>
    <cellStyle name="Currency 3 2 2 5 2 3" xfId="28718" xr:uid="{FDD9E6A3-DE38-49DE-927B-2B8985D875CB}"/>
    <cellStyle name="Currency 3 2 2 5 2 4" xfId="20277" xr:uid="{C7F4E03C-BA7D-4D3C-9064-C5E0B1F74378}"/>
    <cellStyle name="Currency 3 2 2 5 2 5" xfId="11836" xr:uid="{697731A8-B2E2-4DA1-BC7C-C2BC8E48EF61}"/>
    <cellStyle name="Currency 3 2 2 5 3" xfId="5459" xr:uid="{00000000-0005-0000-0000-0000F20A0000}"/>
    <cellStyle name="Currency 3 2 2 5 3 2" xfId="30791" xr:uid="{FE2469E9-47E7-4837-8FBA-033DB55699D1}"/>
    <cellStyle name="Currency 3 2 2 5 3 3" xfId="22350" xr:uid="{2B34537F-6BEF-4E91-B056-58095A90FE05}"/>
    <cellStyle name="Currency 3 2 2 5 3 4" xfId="13909" xr:uid="{98A9B0AB-2A19-41FC-A798-3B411B5CAEBB}"/>
    <cellStyle name="Currency 3 2 2 5 4" xfId="26573" xr:uid="{B236CE9D-20FE-4CAD-B26F-2D160B0B122F}"/>
    <cellStyle name="Currency 3 2 2 5 5" xfId="18132" xr:uid="{49FD37CB-804C-44BD-BF84-767A5EC7FCA7}"/>
    <cellStyle name="Currency 3 2 2 5 6" xfId="9691" xr:uid="{D3DB7CF7-90E1-4DEA-84CB-D30288423B8D}"/>
    <cellStyle name="Currency 3 2 2 6" xfId="1565" xr:uid="{00000000-0005-0000-0000-0000F30A0000}"/>
    <cellStyle name="Currency 3 2 2 6 2" xfId="3795" xr:uid="{00000000-0005-0000-0000-0000F40A0000}"/>
    <cellStyle name="Currency 3 2 2 6 2 2" xfId="8017" xr:uid="{00000000-0005-0000-0000-0000F50A0000}"/>
    <cellStyle name="Currency 3 2 2 6 2 2 2" xfId="33349" xr:uid="{C341AB12-B6BD-45A5-BCFA-B1453375D226}"/>
    <cellStyle name="Currency 3 2 2 6 2 2 3" xfId="24908" xr:uid="{FD60E007-6908-4B6D-A35A-BD3295A8CEFB}"/>
    <cellStyle name="Currency 3 2 2 6 2 2 4" xfId="16467" xr:uid="{CB2E8C91-32BC-4A5D-A92A-553DDBA7CD7E}"/>
    <cellStyle name="Currency 3 2 2 6 2 3" xfId="29131" xr:uid="{39C8A2E3-EF78-4CEB-8B5C-C1181E713AE4}"/>
    <cellStyle name="Currency 3 2 2 6 2 4" xfId="20690" xr:uid="{220FF631-5716-4E05-BC38-FA05EBC775F6}"/>
    <cellStyle name="Currency 3 2 2 6 2 5" xfId="12249" xr:uid="{F715CD55-722B-4DC5-864A-0EE19E9D2841}"/>
    <cellStyle name="Currency 3 2 2 6 3" xfId="5872" xr:uid="{00000000-0005-0000-0000-0000F60A0000}"/>
    <cellStyle name="Currency 3 2 2 6 3 2" xfId="31204" xr:uid="{9F060F3C-47EF-49D2-BDCC-7B8884A222EB}"/>
    <cellStyle name="Currency 3 2 2 6 3 3" xfId="22763" xr:uid="{A874B9D7-0DF1-4EE0-B5CD-6519493119AE}"/>
    <cellStyle name="Currency 3 2 2 6 3 4" xfId="14322" xr:uid="{4568E4C7-B146-4595-AB99-81E6A4C69973}"/>
    <cellStyle name="Currency 3 2 2 6 4" xfId="26986" xr:uid="{6553DD40-6B05-4D07-84C8-EF72D68CC879}"/>
    <cellStyle name="Currency 3 2 2 6 5" xfId="18545" xr:uid="{B8408A26-4409-48C4-89C8-04CEBD444475}"/>
    <cellStyle name="Currency 3 2 2 6 6" xfId="10104" xr:uid="{BED61B3E-B9C6-4549-8B70-C73787F3B3E8}"/>
    <cellStyle name="Currency 3 2 2 7" xfId="1979" xr:uid="{00000000-0005-0000-0000-0000F70A0000}"/>
    <cellStyle name="Currency 3 2 2 7 2" xfId="4208" xr:uid="{00000000-0005-0000-0000-0000F80A0000}"/>
    <cellStyle name="Currency 3 2 2 7 2 2" xfId="8430" xr:uid="{00000000-0005-0000-0000-0000F90A0000}"/>
    <cellStyle name="Currency 3 2 2 7 2 2 2" xfId="33762" xr:uid="{3211C0CF-39CB-433F-A6E0-FB634D709EFC}"/>
    <cellStyle name="Currency 3 2 2 7 2 2 3" xfId="25321" xr:uid="{2D7A8AFD-0F34-4486-9E6B-1901D4C37808}"/>
    <cellStyle name="Currency 3 2 2 7 2 2 4" xfId="16880" xr:uid="{DEC24450-2B8D-476D-9A05-552D2D49666E}"/>
    <cellStyle name="Currency 3 2 2 7 2 3" xfId="29544" xr:uid="{FFDAB37F-BE27-46B4-B378-7F639CFA0A19}"/>
    <cellStyle name="Currency 3 2 2 7 2 4" xfId="21103" xr:uid="{E85ECE61-752B-43B4-B567-F0FF84745ED2}"/>
    <cellStyle name="Currency 3 2 2 7 2 5" xfId="12662" xr:uid="{25CCD15B-0BF4-4460-8019-261D6893B469}"/>
    <cellStyle name="Currency 3 2 2 7 3" xfId="6285" xr:uid="{00000000-0005-0000-0000-0000FA0A0000}"/>
    <cellStyle name="Currency 3 2 2 7 3 2" xfId="31617" xr:uid="{CC47A061-A555-49A9-ADF4-01848FFAED18}"/>
    <cellStyle name="Currency 3 2 2 7 3 3" xfId="23176" xr:uid="{860AA751-084B-43CA-AA0E-4226C24B36BE}"/>
    <cellStyle name="Currency 3 2 2 7 3 4" xfId="14735" xr:uid="{5285157D-EC93-4E32-9609-35B57C46F981}"/>
    <cellStyle name="Currency 3 2 2 7 4" xfId="27399" xr:uid="{F9FBE8DE-618A-4AE3-B2F0-2D3FA768513D}"/>
    <cellStyle name="Currency 3 2 2 7 5" xfId="18958" xr:uid="{8D760EE2-2AD4-434C-BBEC-CF81590637D9}"/>
    <cellStyle name="Currency 3 2 2 7 6" xfId="10517" xr:uid="{3B72FD14-EF37-4E60-AB86-FA64B8090B82}"/>
    <cellStyle name="Currency 3 2 2 8" xfId="2414" xr:uid="{00000000-0005-0000-0000-0000FB0A0000}"/>
    <cellStyle name="Currency 3 2 2 8 2" xfId="6698" xr:uid="{00000000-0005-0000-0000-0000FC0A0000}"/>
    <cellStyle name="Currency 3 2 2 8 2 2" xfId="32030" xr:uid="{6315A132-9BA1-4579-B433-9657393EF8E1}"/>
    <cellStyle name="Currency 3 2 2 8 2 3" xfId="23589" xr:uid="{78E333CB-1DA5-4B62-8571-C5617415691C}"/>
    <cellStyle name="Currency 3 2 2 8 2 4" xfId="15148" xr:uid="{D2462C22-F898-4B49-8BFF-AB86805A4909}"/>
    <cellStyle name="Currency 3 2 2 8 3" xfId="27812" xr:uid="{9565881A-6882-40EC-983B-BE6710D45AF7}"/>
    <cellStyle name="Currency 3 2 2 8 4" xfId="19371" xr:uid="{7A805183-217F-47C7-B148-5EE0DD8ED6CB}"/>
    <cellStyle name="Currency 3 2 2 8 5" xfId="10930" xr:uid="{3364E13D-CC13-43F0-A25E-A8FB1683E608}"/>
    <cellStyle name="Currency 3 2 2 9" xfId="2711" xr:uid="{00000000-0005-0000-0000-0000FD0A0000}"/>
    <cellStyle name="Currency 3 2 3" xfId="182" xr:uid="{00000000-0005-0000-0000-0000FE0A0000}"/>
    <cellStyle name="Currency 3 2 3 10" xfId="4636" xr:uid="{00000000-0005-0000-0000-0000FF0A0000}"/>
    <cellStyle name="Currency 3 2 3 10 2" xfId="29968" xr:uid="{3D075D5A-338B-41E1-8B00-9F8C53A29A9C}"/>
    <cellStyle name="Currency 3 2 3 10 3" xfId="21527" xr:uid="{CAAAFADD-D302-48A9-AD9E-F2AD947EAE0D}"/>
    <cellStyle name="Currency 3 2 3 10 4" xfId="13086" xr:uid="{ABFB5DE3-F02D-449C-8548-CB5DAE58B1EE}"/>
    <cellStyle name="Currency 3 2 3 11" xfId="25750" xr:uid="{97C7CED1-021E-485E-BCF0-B3F25464422A}"/>
    <cellStyle name="Currency 3 2 3 12" xfId="17309" xr:uid="{14A8DB2D-19D1-4974-A321-F0A5E241FB97}"/>
    <cellStyle name="Currency 3 2 3 13" xfId="8868" xr:uid="{257E0916-1493-4ABD-B1CB-9C16531AF562}"/>
    <cellStyle name="Currency 3 2 3 2" xfId="183" xr:uid="{00000000-0005-0000-0000-0000000B0000}"/>
    <cellStyle name="Currency 3 2 3 2 10" xfId="25751" xr:uid="{D0123C70-ADAB-41D1-BF6F-24822744737D}"/>
    <cellStyle name="Currency 3 2 3 2 11" xfId="17310" xr:uid="{E586248A-A61C-426C-8794-11FA8567E12D}"/>
    <cellStyle name="Currency 3 2 3 2 12" xfId="8869" xr:uid="{E8EAED75-9661-443D-ACDA-4EF61FBF2AB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2 2 2" xfId="32528" xr:uid="{68BFDCC3-C0A8-46D3-855F-56FE9A99081E}"/>
    <cellStyle name="Currency 3 2 3 2 2 2 2 3" xfId="24087" xr:uid="{00E3BA9A-5710-4421-9E77-DB06F6A34ED6}"/>
    <cellStyle name="Currency 3 2 3 2 2 2 2 4" xfId="15646" xr:uid="{859CB545-0F7A-451C-B6A9-427AF771BB65}"/>
    <cellStyle name="Currency 3 2 3 2 2 2 3" xfId="28310" xr:uid="{BC0C3BF5-8C80-4B45-89EA-D63E6167317D}"/>
    <cellStyle name="Currency 3 2 3 2 2 2 4" xfId="19869" xr:uid="{D44797D4-AD30-47FF-8A18-DCB2EA5BF965}"/>
    <cellStyle name="Currency 3 2 3 2 2 2 5" xfId="11428" xr:uid="{55619782-039D-4DD2-9291-AD5A43E01392}"/>
    <cellStyle name="Currency 3 2 3 2 2 3" xfId="5051" xr:uid="{00000000-0005-0000-0000-0000040B0000}"/>
    <cellStyle name="Currency 3 2 3 2 2 3 2" xfId="30383" xr:uid="{9DF69D52-41B8-49F3-9178-574B6C816475}"/>
    <cellStyle name="Currency 3 2 3 2 2 3 3" xfId="21942" xr:uid="{29D5D3F0-5015-488D-A165-7BA29EB86943}"/>
    <cellStyle name="Currency 3 2 3 2 2 3 4" xfId="13501" xr:uid="{CC70AF05-9DE8-481F-9944-2272F6A86C01}"/>
    <cellStyle name="Currency 3 2 3 2 2 4" xfId="26165" xr:uid="{66DD9C96-1596-4809-98B7-7D88360488E3}"/>
    <cellStyle name="Currency 3 2 3 2 2 5" xfId="17724" xr:uid="{318010AF-137F-4A49-91A7-7978873A249A}"/>
    <cellStyle name="Currency 3 2 3 2 2 6" xfId="9283" xr:uid="{7C79E91C-571A-4A3A-B64D-8A45B090F034}"/>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2 2 2" xfId="32941" xr:uid="{70B76834-5858-4CB9-9E7A-FE01D91C6615}"/>
    <cellStyle name="Currency 3 2 3 2 3 2 2 3" xfId="24500" xr:uid="{0D9C2ECB-5AB9-4D36-8D8A-C3AE8126F7B4}"/>
    <cellStyle name="Currency 3 2 3 2 3 2 2 4" xfId="16059" xr:uid="{08485426-AC54-44AE-877D-52CFC61A6023}"/>
    <cellStyle name="Currency 3 2 3 2 3 2 3" xfId="28723" xr:uid="{D3887EB3-1DB7-4CD3-8050-E848967A71E4}"/>
    <cellStyle name="Currency 3 2 3 2 3 2 4" xfId="20282" xr:uid="{55EE999A-8F7C-4E56-A8DF-479AD404878A}"/>
    <cellStyle name="Currency 3 2 3 2 3 2 5" xfId="11841" xr:uid="{00C44A86-2D6C-4B4F-9D74-9DD58FCF3E36}"/>
    <cellStyle name="Currency 3 2 3 2 3 3" xfId="5464" xr:uid="{00000000-0005-0000-0000-0000080B0000}"/>
    <cellStyle name="Currency 3 2 3 2 3 3 2" xfId="30796" xr:uid="{F148CB23-3746-4911-B784-079B8352B91A}"/>
    <cellStyle name="Currency 3 2 3 2 3 3 3" xfId="22355" xr:uid="{D5E7CD81-E01A-4E93-A9FA-F4B4A702B129}"/>
    <cellStyle name="Currency 3 2 3 2 3 3 4" xfId="13914" xr:uid="{04E1EB15-E301-4777-82DA-10036D09198E}"/>
    <cellStyle name="Currency 3 2 3 2 3 4" xfId="26578" xr:uid="{45B81DBA-8D57-42AA-8D2D-538FAF0116F2}"/>
    <cellStyle name="Currency 3 2 3 2 3 5" xfId="18137" xr:uid="{6FEC195D-9265-42EA-BD88-F7146AC137FC}"/>
    <cellStyle name="Currency 3 2 3 2 3 6" xfId="9696" xr:uid="{B8C068F4-C89D-49EF-84B4-AC891A2D08DF}"/>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2 2 2" xfId="33354" xr:uid="{A518E39A-F655-471C-B3CA-6034F4C42DAF}"/>
    <cellStyle name="Currency 3 2 3 2 4 2 2 3" xfId="24913" xr:uid="{EE5493D1-B287-4A7D-B51E-4DC118340DDF}"/>
    <cellStyle name="Currency 3 2 3 2 4 2 2 4" xfId="16472" xr:uid="{5D5DC218-1A0C-4A75-943F-BE05B3486FEA}"/>
    <cellStyle name="Currency 3 2 3 2 4 2 3" xfId="29136" xr:uid="{106CD5E2-E3EF-45D8-B0CA-C28058644C50}"/>
    <cellStyle name="Currency 3 2 3 2 4 2 4" xfId="20695" xr:uid="{13B1F13F-6E9B-4DAF-8A90-01B51482B0B0}"/>
    <cellStyle name="Currency 3 2 3 2 4 2 5" xfId="12254" xr:uid="{7A81B793-B679-4543-A3CB-15E4C0C7E98E}"/>
    <cellStyle name="Currency 3 2 3 2 4 3" xfId="5877" xr:uid="{00000000-0005-0000-0000-00000C0B0000}"/>
    <cellStyle name="Currency 3 2 3 2 4 3 2" xfId="31209" xr:uid="{6E250F76-7CF4-4014-B942-712F3F323C04}"/>
    <cellStyle name="Currency 3 2 3 2 4 3 3" xfId="22768" xr:uid="{35AD6EB3-0436-4165-B51D-1B07D1835714}"/>
    <cellStyle name="Currency 3 2 3 2 4 3 4" xfId="14327" xr:uid="{87DC2C5D-8B5B-44D4-8323-C137E4C80D84}"/>
    <cellStyle name="Currency 3 2 3 2 4 4" xfId="26991" xr:uid="{2B18ED88-DDC9-4064-A950-897082BB6D66}"/>
    <cellStyle name="Currency 3 2 3 2 4 5" xfId="18550" xr:uid="{D8BB173C-5EEC-4106-BB19-A691C2B24D8B}"/>
    <cellStyle name="Currency 3 2 3 2 4 6" xfId="10109" xr:uid="{96317AB8-84F1-4E9E-9324-A3A7388836F5}"/>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2 2 2" xfId="33767" xr:uid="{EAF19D2E-CED9-4B79-891D-BBAEB9FA4EF2}"/>
    <cellStyle name="Currency 3 2 3 2 5 2 2 3" xfId="25326" xr:uid="{41260E0C-DF4E-446F-8125-FF4E9AEAF627}"/>
    <cellStyle name="Currency 3 2 3 2 5 2 2 4" xfId="16885" xr:uid="{1C2F9BD4-7ABE-45EC-B571-E3E4D2134211}"/>
    <cellStyle name="Currency 3 2 3 2 5 2 3" xfId="29549" xr:uid="{387E9C20-9607-4B88-973A-9F524B7D9BE2}"/>
    <cellStyle name="Currency 3 2 3 2 5 2 4" xfId="21108" xr:uid="{9D07C7A4-6AEA-4CB8-A55A-EB65C3438DB8}"/>
    <cellStyle name="Currency 3 2 3 2 5 2 5" xfId="12667" xr:uid="{63002573-E2A3-469B-AF7B-C07174B48408}"/>
    <cellStyle name="Currency 3 2 3 2 5 3" xfId="6290" xr:uid="{00000000-0005-0000-0000-0000100B0000}"/>
    <cellStyle name="Currency 3 2 3 2 5 3 2" xfId="31622" xr:uid="{012B65B0-DB42-460B-9428-6559ABD2253F}"/>
    <cellStyle name="Currency 3 2 3 2 5 3 3" xfId="23181" xr:uid="{A8CC4762-1A21-48A7-BAA4-B2F59C0C4EDE}"/>
    <cellStyle name="Currency 3 2 3 2 5 3 4" xfId="14740" xr:uid="{BF58F6AA-8E19-41BB-811C-50554B3631F3}"/>
    <cellStyle name="Currency 3 2 3 2 5 4" xfId="27404" xr:uid="{A4AC0913-F654-412C-8A3B-D20B8A8ABF4F}"/>
    <cellStyle name="Currency 3 2 3 2 5 5" xfId="18963" xr:uid="{532D3E29-1F64-4680-B71E-E8D27FC8AD95}"/>
    <cellStyle name="Currency 3 2 3 2 5 6" xfId="10522" xr:uid="{CF67690D-E040-4CA0-B945-4FCC152A2729}"/>
    <cellStyle name="Currency 3 2 3 2 6" xfId="2419" xr:uid="{00000000-0005-0000-0000-0000110B0000}"/>
    <cellStyle name="Currency 3 2 3 2 6 2" xfId="6703" xr:uid="{00000000-0005-0000-0000-0000120B0000}"/>
    <cellStyle name="Currency 3 2 3 2 6 2 2" xfId="32035" xr:uid="{344C4471-4966-44B9-A962-9FC4FCA06871}"/>
    <cellStyle name="Currency 3 2 3 2 6 2 3" xfId="23594" xr:uid="{CC3A1EFF-35C7-4029-AB9D-601C2351AFF8}"/>
    <cellStyle name="Currency 3 2 3 2 6 2 4" xfId="15153" xr:uid="{7F33A036-9A56-44C7-A52F-5BB69A011F3F}"/>
    <cellStyle name="Currency 3 2 3 2 6 3" xfId="27817" xr:uid="{C8A82D73-C508-40DB-8239-A423F24BB9BE}"/>
    <cellStyle name="Currency 3 2 3 2 6 4" xfId="19376" xr:uid="{0F97FBF3-450E-4D17-BB26-6E8CF2820195}"/>
    <cellStyle name="Currency 3 2 3 2 6 5" xfId="10935" xr:uid="{B9DF98C6-1057-4065-9627-E865C75B0EF0}"/>
    <cellStyle name="Currency 3 2 3 2 7" xfId="2716" xr:uid="{00000000-0005-0000-0000-0000130B0000}"/>
    <cellStyle name="Currency 3 2 3 2 8" xfId="2797" xr:uid="{00000000-0005-0000-0000-0000140B0000}"/>
    <cellStyle name="Currency 3 2 3 2 8 2" xfId="7020" xr:uid="{00000000-0005-0000-0000-0000150B0000}"/>
    <cellStyle name="Currency 3 2 3 2 8 2 2" xfId="32352" xr:uid="{2A76CE10-BAA9-40E2-918E-E9F6A18EC011}"/>
    <cellStyle name="Currency 3 2 3 2 8 2 3" xfId="23911" xr:uid="{2D89A981-5BD8-433C-B66D-66FB499FEDA6}"/>
    <cellStyle name="Currency 3 2 3 2 8 2 4" xfId="15470" xr:uid="{B2E74FE9-4758-41CF-8FDE-2D4BDC47EE54}"/>
    <cellStyle name="Currency 3 2 3 2 8 3" xfId="28134" xr:uid="{A4659BA8-7FEB-489E-8124-1B151EBE45EA}"/>
    <cellStyle name="Currency 3 2 3 2 8 4" xfId="19693" xr:uid="{94B0F58E-8D13-4E7F-8278-51B61287714E}"/>
    <cellStyle name="Currency 3 2 3 2 8 5" xfId="11252" xr:uid="{0F2978C3-730E-4CF9-B566-EDAFBEE535EA}"/>
    <cellStyle name="Currency 3 2 3 2 9" xfId="4637" xr:uid="{00000000-0005-0000-0000-0000160B0000}"/>
    <cellStyle name="Currency 3 2 3 2 9 2" xfId="29969" xr:uid="{FC25D3B1-B93E-4085-9071-39902E8D1041}"/>
    <cellStyle name="Currency 3 2 3 2 9 3" xfId="21528" xr:uid="{699D38CB-D09B-4FBE-B06A-BF90D3FC25FE}"/>
    <cellStyle name="Currency 3 2 3 2 9 4" xfId="13087" xr:uid="{C0925217-D8EA-4554-94DB-1D665B2225DD}"/>
    <cellStyle name="Currency 3 2 3 3" xfId="712" xr:uid="{00000000-0005-0000-0000-0000170B0000}"/>
    <cellStyle name="Currency 3 2 3 3 2" xfId="2973" xr:uid="{00000000-0005-0000-0000-0000180B0000}"/>
    <cellStyle name="Currency 3 2 3 3 2 2" xfId="7195" xr:uid="{00000000-0005-0000-0000-0000190B0000}"/>
    <cellStyle name="Currency 3 2 3 3 2 2 2" xfId="32527" xr:uid="{9B64C045-4BE4-4169-9009-2D7306675260}"/>
    <cellStyle name="Currency 3 2 3 3 2 2 3" xfId="24086" xr:uid="{008CEB11-C221-4FDC-8336-8459E9CD283D}"/>
    <cellStyle name="Currency 3 2 3 3 2 2 4" xfId="15645" xr:uid="{EE76BBB5-EDF5-47BE-973C-9AD02D40473E}"/>
    <cellStyle name="Currency 3 2 3 3 2 3" xfId="28309" xr:uid="{B36B9E48-FE4C-42D2-AC6F-7A0DD376A2B3}"/>
    <cellStyle name="Currency 3 2 3 3 2 4" xfId="19868" xr:uid="{A4AA5F02-F351-4444-A919-014151028522}"/>
    <cellStyle name="Currency 3 2 3 3 2 5" xfId="11427" xr:uid="{C024BA5B-E930-48A3-94FE-37FC24B75F4F}"/>
    <cellStyle name="Currency 3 2 3 3 3" xfId="5050" xr:uid="{00000000-0005-0000-0000-00001A0B0000}"/>
    <cellStyle name="Currency 3 2 3 3 3 2" xfId="30382" xr:uid="{B9D691A0-B086-4A63-AADB-C2AEF0B2E8BE}"/>
    <cellStyle name="Currency 3 2 3 3 3 3" xfId="21941" xr:uid="{6B21F174-7E83-4DC7-8A05-DE1D4E7EBD2D}"/>
    <cellStyle name="Currency 3 2 3 3 3 4" xfId="13500" xr:uid="{43366CFA-F7B4-4876-99A2-CB6246011BCE}"/>
    <cellStyle name="Currency 3 2 3 3 4" xfId="26164" xr:uid="{1338E705-F636-49E6-89CA-472D876F7ED1}"/>
    <cellStyle name="Currency 3 2 3 3 5" xfId="17723" xr:uid="{FC5BEA98-F75E-404E-9676-03308BED6228}"/>
    <cellStyle name="Currency 3 2 3 3 6" xfId="9282" xr:uid="{16679E34-26CA-4789-93C1-CC837FEDEA59}"/>
    <cellStyle name="Currency 3 2 3 4" xfId="1155" xr:uid="{00000000-0005-0000-0000-00001B0B0000}"/>
    <cellStyle name="Currency 3 2 3 4 2" xfId="3386" xr:uid="{00000000-0005-0000-0000-00001C0B0000}"/>
    <cellStyle name="Currency 3 2 3 4 2 2" xfId="7608" xr:uid="{00000000-0005-0000-0000-00001D0B0000}"/>
    <cellStyle name="Currency 3 2 3 4 2 2 2" xfId="32940" xr:uid="{C3654C2C-2B8C-4C26-B416-65183656B656}"/>
    <cellStyle name="Currency 3 2 3 4 2 2 3" xfId="24499" xr:uid="{79BBD7BB-3501-4C9D-B453-9ED650877DF0}"/>
    <cellStyle name="Currency 3 2 3 4 2 2 4" xfId="16058" xr:uid="{DD5DF9B5-3421-49A3-BDAD-651F6F95D221}"/>
    <cellStyle name="Currency 3 2 3 4 2 3" xfId="28722" xr:uid="{39CBC89C-E0BF-4F48-9F80-9CF4078B3FC3}"/>
    <cellStyle name="Currency 3 2 3 4 2 4" xfId="20281" xr:uid="{AB2C8EED-736B-4575-8BF0-0F2B94303A8F}"/>
    <cellStyle name="Currency 3 2 3 4 2 5" xfId="11840" xr:uid="{A8AE3F44-EE4A-4319-9100-6442A3D0809F}"/>
    <cellStyle name="Currency 3 2 3 4 3" xfId="5463" xr:uid="{00000000-0005-0000-0000-00001E0B0000}"/>
    <cellStyle name="Currency 3 2 3 4 3 2" xfId="30795" xr:uid="{F9848381-01F5-428A-84C2-BC84AD8C2A8F}"/>
    <cellStyle name="Currency 3 2 3 4 3 3" xfId="22354" xr:uid="{47EC982B-FA49-421F-A5CB-2CE3F6F8A294}"/>
    <cellStyle name="Currency 3 2 3 4 3 4" xfId="13913" xr:uid="{8E980CCA-76EA-4827-90E4-BEBCD067AE3D}"/>
    <cellStyle name="Currency 3 2 3 4 4" xfId="26577" xr:uid="{F04E9657-9782-4CB9-ABC1-9BAC87D664AB}"/>
    <cellStyle name="Currency 3 2 3 4 5" xfId="18136" xr:uid="{2689D944-43FA-4E10-8526-21D0814A219E}"/>
    <cellStyle name="Currency 3 2 3 4 6" xfId="9695" xr:uid="{28C63ACA-5C39-4252-8D13-BA382DF4A64E}"/>
    <cellStyle name="Currency 3 2 3 5" xfId="1569" xr:uid="{00000000-0005-0000-0000-00001F0B0000}"/>
    <cellStyle name="Currency 3 2 3 5 2" xfId="3799" xr:uid="{00000000-0005-0000-0000-0000200B0000}"/>
    <cellStyle name="Currency 3 2 3 5 2 2" xfId="8021" xr:uid="{00000000-0005-0000-0000-0000210B0000}"/>
    <cellStyle name="Currency 3 2 3 5 2 2 2" xfId="33353" xr:uid="{7437262C-4946-42D4-8D5B-10E3F3ED2AA7}"/>
    <cellStyle name="Currency 3 2 3 5 2 2 3" xfId="24912" xr:uid="{F775A229-5660-4D54-BDA6-971D8FF3E1CA}"/>
    <cellStyle name="Currency 3 2 3 5 2 2 4" xfId="16471" xr:uid="{2BB0E1F2-BAD5-4404-968E-9CA18D50E39F}"/>
    <cellStyle name="Currency 3 2 3 5 2 3" xfId="29135" xr:uid="{6E97173A-C0BE-489C-9460-DF1ED5E761C4}"/>
    <cellStyle name="Currency 3 2 3 5 2 4" xfId="20694" xr:uid="{34E794B3-A151-49FC-BB07-1C591CFED1A0}"/>
    <cellStyle name="Currency 3 2 3 5 2 5" xfId="12253" xr:uid="{92CF619A-5FCB-4C0D-9AEC-6E07E0903C0C}"/>
    <cellStyle name="Currency 3 2 3 5 3" xfId="5876" xr:uid="{00000000-0005-0000-0000-0000220B0000}"/>
    <cellStyle name="Currency 3 2 3 5 3 2" xfId="31208" xr:uid="{3346EDFD-2ECA-41A0-AC9D-52E72D33EBD3}"/>
    <cellStyle name="Currency 3 2 3 5 3 3" xfId="22767" xr:uid="{4CB0C5A2-530C-4872-9DEB-559B6D839837}"/>
    <cellStyle name="Currency 3 2 3 5 3 4" xfId="14326" xr:uid="{C672835C-F4EB-45E8-ADA5-2D337EEF10BC}"/>
    <cellStyle name="Currency 3 2 3 5 4" xfId="26990" xr:uid="{72377261-B407-4F60-90BD-A42F1CD5BD5C}"/>
    <cellStyle name="Currency 3 2 3 5 5" xfId="18549" xr:uid="{F969D3B5-8C2A-4944-899A-E525634998A2}"/>
    <cellStyle name="Currency 3 2 3 5 6" xfId="10108" xr:uid="{86A6771B-BF0F-4E65-886B-5A6998CBC019}"/>
    <cellStyle name="Currency 3 2 3 6" xfId="1983" xr:uid="{00000000-0005-0000-0000-0000230B0000}"/>
    <cellStyle name="Currency 3 2 3 6 2" xfId="4212" xr:uid="{00000000-0005-0000-0000-0000240B0000}"/>
    <cellStyle name="Currency 3 2 3 6 2 2" xfId="8434" xr:uid="{00000000-0005-0000-0000-0000250B0000}"/>
    <cellStyle name="Currency 3 2 3 6 2 2 2" xfId="33766" xr:uid="{69669314-4018-4491-8C83-F743ACD4D06E}"/>
    <cellStyle name="Currency 3 2 3 6 2 2 3" xfId="25325" xr:uid="{58F2740F-6007-4B29-A209-9EC509B8E63F}"/>
    <cellStyle name="Currency 3 2 3 6 2 2 4" xfId="16884" xr:uid="{C5788FB6-A216-4A02-8293-F22791ACC1A7}"/>
    <cellStyle name="Currency 3 2 3 6 2 3" xfId="29548" xr:uid="{1A1ECA75-D131-4A3E-AF44-57B7F096437F}"/>
    <cellStyle name="Currency 3 2 3 6 2 4" xfId="21107" xr:uid="{E6CCEA70-09E2-49E4-B021-FE7AB57DAFEF}"/>
    <cellStyle name="Currency 3 2 3 6 2 5" xfId="12666" xr:uid="{48970387-B078-4441-BFE6-370701BAA0BD}"/>
    <cellStyle name="Currency 3 2 3 6 3" xfId="6289" xr:uid="{00000000-0005-0000-0000-0000260B0000}"/>
    <cellStyle name="Currency 3 2 3 6 3 2" xfId="31621" xr:uid="{ECB279BC-AA7F-4FDF-8D8C-9EB8E0C4CFD4}"/>
    <cellStyle name="Currency 3 2 3 6 3 3" xfId="23180" xr:uid="{45678691-D69A-460B-88AB-07471A4E3718}"/>
    <cellStyle name="Currency 3 2 3 6 3 4" xfId="14739" xr:uid="{5E56EBC7-C96E-4BC9-B391-4A09BA9C6DA4}"/>
    <cellStyle name="Currency 3 2 3 6 4" xfId="27403" xr:uid="{9FAAAEF2-18BD-4F83-BC87-D62C84FF4496}"/>
    <cellStyle name="Currency 3 2 3 6 5" xfId="18962" xr:uid="{D92A3E8D-208A-427F-AF1D-F266DED94853}"/>
    <cellStyle name="Currency 3 2 3 6 6" xfId="10521" xr:uid="{D9C78024-DB7C-40B4-A3BF-5F0C9F9D07DE}"/>
    <cellStyle name="Currency 3 2 3 7" xfId="2418" xr:uid="{00000000-0005-0000-0000-0000270B0000}"/>
    <cellStyle name="Currency 3 2 3 7 2" xfId="6702" xr:uid="{00000000-0005-0000-0000-0000280B0000}"/>
    <cellStyle name="Currency 3 2 3 7 2 2" xfId="32034" xr:uid="{3ADFE0C2-5461-4F8C-AEB8-093167BC9EF0}"/>
    <cellStyle name="Currency 3 2 3 7 2 3" xfId="23593" xr:uid="{CB7A8BAC-E922-4D78-BA67-09C01961A94E}"/>
    <cellStyle name="Currency 3 2 3 7 2 4" xfId="15152" xr:uid="{30E0EDD9-6A6D-4B8B-B842-4D61A9D7E5DD}"/>
    <cellStyle name="Currency 3 2 3 7 3" xfId="27816" xr:uid="{B13452C7-A8C5-40E5-ABD0-0291BD97F8A8}"/>
    <cellStyle name="Currency 3 2 3 7 4" xfId="19375" xr:uid="{CA60E695-6EE9-4F0D-9D49-64A7B8FD4EDD}"/>
    <cellStyle name="Currency 3 2 3 7 5" xfId="10934" xr:uid="{10CC5DF1-BDAA-4014-8561-CDB279C46AB7}"/>
    <cellStyle name="Currency 3 2 3 8" xfId="2715" xr:uid="{00000000-0005-0000-0000-0000290B0000}"/>
    <cellStyle name="Currency 3 2 3 9" xfId="2796" xr:uid="{00000000-0005-0000-0000-00002A0B0000}"/>
    <cellStyle name="Currency 3 2 3 9 2" xfId="7019" xr:uid="{00000000-0005-0000-0000-00002B0B0000}"/>
    <cellStyle name="Currency 3 2 3 9 2 2" xfId="32351" xr:uid="{5B4DD6A1-7127-4C43-AA06-C23643D7512B}"/>
    <cellStyle name="Currency 3 2 3 9 2 3" xfId="23910" xr:uid="{8F8C549F-B001-4905-A2E7-1691C2628C50}"/>
    <cellStyle name="Currency 3 2 3 9 2 4" xfId="15469" xr:uid="{DDC316DE-81A9-4516-B678-CF5648F8EC0C}"/>
    <cellStyle name="Currency 3 2 3 9 3" xfId="28133" xr:uid="{3271E3D6-87CF-46E6-9BDF-165337C31E40}"/>
    <cellStyle name="Currency 3 2 3 9 4" xfId="19692" xr:uid="{CE25E7D0-D213-49E7-A08A-A410AFF0B282}"/>
    <cellStyle name="Currency 3 2 3 9 5" xfId="11251" xr:uid="{A70F2D8D-EF34-4B82-8444-D17A1A26AAF1}"/>
    <cellStyle name="Currency 3 2 4" xfId="184" xr:uid="{00000000-0005-0000-0000-00002C0B0000}"/>
    <cellStyle name="Currency 3 2 4 10" xfId="25752" xr:uid="{64A14E4D-4948-4D3A-A902-54341158096D}"/>
    <cellStyle name="Currency 3 2 4 11" xfId="17311" xr:uid="{D351FB66-E1D3-4CAB-8D06-7EF5AA14B20B}"/>
    <cellStyle name="Currency 3 2 4 12" xfId="8870" xr:uid="{2686353F-CA53-4DDF-8771-5A6AF0C976E2}"/>
    <cellStyle name="Currency 3 2 4 2" xfId="714" xr:uid="{00000000-0005-0000-0000-00002D0B0000}"/>
    <cellStyle name="Currency 3 2 4 2 2" xfId="2975" xr:uid="{00000000-0005-0000-0000-00002E0B0000}"/>
    <cellStyle name="Currency 3 2 4 2 2 2" xfId="7197" xr:uid="{00000000-0005-0000-0000-00002F0B0000}"/>
    <cellStyle name="Currency 3 2 4 2 2 2 2" xfId="32529" xr:uid="{CCC30077-4C9F-45D1-AA6F-682F6471A235}"/>
    <cellStyle name="Currency 3 2 4 2 2 2 3" xfId="24088" xr:uid="{949CE6C0-6890-4507-BF90-646777C0223D}"/>
    <cellStyle name="Currency 3 2 4 2 2 2 4" xfId="15647" xr:uid="{4D07CECB-54D4-45D2-8B90-DC60B26F8706}"/>
    <cellStyle name="Currency 3 2 4 2 2 3" xfId="28311" xr:uid="{6AEE0F23-3713-4810-B4FC-8B5E03A2A5FC}"/>
    <cellStyle name="Currency 3 2 4 2 2 4" xfId="19870" xr:uid="{43D34048-FBB2-4F17-A655-3743364AD19E}"/>
    <cellStyle name="Currency 3 2 4 2 2 5" xfId="11429" xr:uid="{4C907261-6D58-4B1E-83DF-96DCF8C2A9A3}"/>
    <cellStyle name="Currency 3 2 4 2 3" xfId="5052" xr:uid="{00000000-0005-0000-0000-0000300B0000}"/>
    <cellStyle name="Currency 3 2 4 2 3 2" xfId="30384" xr:uid="{2088F3E4-65D7-4BDF-B298-155C5D02574C}"/>
    <cellStyle name="Currency 3 2 4 2 3 3" xfId="21943" xr:uid="{133D2D00-A780-46DD-AE03-9E9A9C2E17D7}"/>
    <cellStyle name="Currency 3 2 4 2 3 4" xfId="13502" xr:uid="{3016FF68-0A90-42F2-95B6-ACD32AA3531F}"/>
    <cellStyle name="Currency 3 2 4 2 4" xfId="26166" xr:uid="{7E0DE805-E1BD-47FF-9FA7-67C5865B012C}"/>
    <cellStyle name="Currency 3 2 4 2 5" xfId="17725" xr:uid="{A5E5BD73-4861-4487-9C73-157A23F98F9E}"/>
    <cellStyle name="Currency 3 2 4 2 6" xfId="9284" xr:uid="{59482BFC-0B32-4EAC-BC3F-C61AABC34B44}"/>
    <cellStyle name="Currency 3 2 4 3" xfId="1157" xr:uid="{00000000-0005-0000-0000-0000310B0000}"/>
    <cellStyle name="Currency 3 2 4 3 2" xfId="3388" xr:uid="{00000000-0005-0000-0000-0000320B0000}"/>
    <cellStyle name="Currency 3 2 4 3 2 2" xfId="7610" xr:uid="{00000000-0005-0000-0000-0000330B0000}"/>
    <cellStyle name="Currency 3 2 4 3 2 2 2" xfId="32942" xr:uid="{F4F03687-F15D-4739-8FFB-79194E3481A5}"/>
    <cellStyle name="Currency 3 2 4 3 2 2 3" xfId="24501" xr:uid="{9230CE8F-0881-43E5-AA18-A842203F38E2}"/>
    <cellStyle name="Currency 3 2 4 3 2 2 4" xfId="16060" xr:uid="{5CE6249E-66EE-46AE-B557-F88517F01F43}"/>
    <cellStyle name="Currency 3 2 4 3 2 3" xfId="28724" xr:uid="{AFAF8CDD-2ED0-4D57-A3ED-4313070494F9}"/>
    <cellStyle name="Currency 3 2 4 3 2 4" xfId="20283" xr:uid="{E35894DD-1010-40E2-BA8F-EEE5AD7B6745}"/>
    <cellStyle name="Currency 3 2 4 3 2 5" xfId="11842" xr:uid="{EAEB130F-C935-426E-BEF6-36ED47B3A4C7}"/>
    <cellStyle name="Currency 3 2 4 3 3" xfId="5465" xr:uid="{00000000-0005-0000-0000-0000340B0000}"/>
    <cellStyle name="Currency 3 2 4 3 3 2" xfId="30797" xr:uid="{4284341F-4336-4430-96E7-83AA9C1BB2E5}"/>
    <cellStyle name="Currency 3 2 4 3 3 3" xfId="22356" xr:uid="{A97EB3A3-823E-4B7A-BDDF-9CE689EEBD56}"/>
    <cellStyle name="Currency 3 2 4 3 3 4" xfId="13915" xr:uid="{F5866DEF-120B-4AF1-A605-2C6EEEEB4DC8}"/>
    <cellStyle name="Currency 3 2 4 3 4" xfId="26579" xr:uid="{106399F3-96DA-4F90-AB71-97FAD751CDD8}"/>
    <cellStyle name="Currency 3 2 4 3 5" xfId="18138" xr:uid="{43A8C2E9-F53F-4774-AE1A-BF8FEEDC4702}"/>
    <cellStyle name="Currency 3 2 4 3 6" xfId="9697" xr:uid="{B33B013F-EAF0-446D-ACBD-8F6DC4D2CFDC}"/>
    <cellStyle name="Currency 3 2 4 4" xfId="1571" xr:uid="{00000000-0005-0000-0000-0000350B0000}"/>
    <cellStyle name="Currency 3 2 4 4 2" xfId="3801" xr:uid="{00000000-0005-0000-0000-0000360B0000}"/>
    <cellStyle name="Currency 3 2 4 4 2 2" xfId="8023" xr:uid="{00000000-0005-0000-0000-0000370B0000}"/>
    <cellStyle name="Currency 3 2 4 4 2 2 2" xfId="33355" xr:uid="{6A0FE324-D51E-4353-B420-8B1A0F9614D1}"/>
    <cellStyle name="Currency 3 2 4 4 2 2 3" xfId="24914" xr:uid="{1FA8D214-36D5-45B5-9D69-48C2FB866C6C}"/>
    <cellStyle name="Currency 3 2 4 4 2 2 4" xfId="16473" xr:uid="{9A3CA2AC-6760-4F0F-A845-46A40782406F}"/>
    <cellStyle name="Currency 3 2 4 4 2 3" xfId="29137" xr:uid="{2960DF88-EE69-4C59-B281-AAA52B03A1D6}"/>
    <cellStyle name="Currency 3 2 4 4 2 4" xfId="20696" xr:uid="{DCBEBA53-455D-4E34-8E8D-91FF018C0C95}"/>
    <cellStyle name="Currency 3 2 4 4 2 5" xfId="12255" xr:uid="{4B3DE55A-4E4C-43DE-8380-E9C5F1FD0047}"/>
    <cellStyle name="Currency 3 2 4 4 3" xfId="5878" xr:uid="{00000000-0005-0000-0000-0000380B0000}"/>
    <cellStyle name="Currency 3 2 4 4 3 2" xfId="31210" xr:uid="{CD26FB98-58C5-4602-B76B-A3B64E03CD05}"/>
    <cellStyle name="Currency 3 2 4 4 3 3" xfId="22769" xr:uid="{5B535D64-0072-49EB-BC8F-4DF35361D447}"/>
    <cellStyle name="Currency 3 2 4 4 3 4" xfId="14328" xr:uid="{513FAF75-3F1F-4E9E-B0AE-ED73353629D3}"/>
    <cellStyle name="Currency 3 2 4 4 4" xfId="26992" xr:uid="{5654D77E-31F3-4EB4-8B3B-70D12ADE7781}"/>
    <cellStyle name="Currency 3 2 4 4 5" xfId="18551" xr:uid="{5B4B2F8B-AE88-4D9C-A5EA-F438AA431418}"/>
    <cellStyle name="Currency 3 2 4 4 6" xfId="10110" xr:uid="{1A83A0B0-C79B-467F-A3C0-9B7661F5EA40}"/>
    <cellStyle name="Currency 3 2 4 5" xfId="1985" xr:uid="{00000000-0005-0000-0000-0000390B0000}"/>
    <cellStyle name="Currency 3 2 4 5 2" xfId="4214" xr:uid="{00000000-0005-0000-0000-00003A0B0000}"/>
    <cellStyle name="Currency 3 2 4 5 2 2" xfId="8436" xr:uid="{00000000-0005-0000-0000-00003B0B0000}"/>
    <cellStyle name="Currency 3 2 4 5 2 2 2" xfId="33768" xr:uid="{8CD15E17-652C-4666-BBC8-4B6C91913D8C}"/>
    <cellStyle name="Currency 3 2 4 5 2 2 3" xfId="25327" xr:uid="{A1BDB782-D8FD-457E-B4A2-2F6441C543BA}"/>
    <cellStyle name="Currency 3 2 4 5 2 2 4" xfId="16886" xr:uid="{087F47DB-6C5F-4C35-BA23-8F79F4E8BEA2}"/>
    <cellStyle name="Currency 3 2 4 5 2 3" xfId="29550" xr:uid="{E7882AF7-1EF5-4F6D-BEAD-BBE32D9F5D8D}"/>
    <cellStyle name="Currency 3 2 4 5 2 4" xfId="21109" xr:uid="{6715CD09-9F09-48D8-90EA-983B6004BDF3}"/>
    <cellStyle name="Currency 3 2 4 5 2 5" xfId="12668" xr:uid="{6BD297E0-9757-4411-92C2-CFD118406C2F}"/>
    <cellStyle name="Currency 3 2 4 5 3" xfId="6291" xr:uid="{00000000-0005-0000-0000-00003C0B0000}"/>
    <cellStyle name="Currency 3 2 4 5 3 2" xfId="31623" xr:uid="{AA92043C-6CE8-4242-AE57-7D3BD543675D}"/>
    <cellStyle name="Currency 3 2 4 5 3 3" xfId="23182" xr:uid="{FB6EBE1F-9BEC-46E6-BF59-E4A61E35A0E7}"/>
    <cellStyle name="Currency 3 2 4 5 3 4" xfId="14741" xr:uid="{A82B542A-2E2D-427E-A291-D6B846A5E72F}"/>
    <cellStyle name="Currency 3 2 4 5 4" xfId="27405" xr:uid="{7710DC9E-A4A7-4667-B20B-5AC6CCE0D59A}"/>
    <cellStyle name="Currency 3 2 4 5 5" xfId="18964" xr:uid="{A07DED6F-648C-4CD2-855A-AA7CAD2DAA6E}"/>
    <cellStyle name="Currency 3 2 4 5 6" xfId="10523" xr:uid="{5E532774-9F5E-41D6-9AC5-9195D248A9A1}"/>
    <cellStyle name="Currency 3 2 4 6" xfId="2420" xr:uid="{00000000-0005-0000-0000-00003D0B0000}"/>
    <cellStyle name="Currency 3 2 4 6 2" xfId="6704" xr:uid="{00000000-0005-0000-0000-00003E0B0000}"/>
    <cellStyle name="Currency 3 2 4 6 2 2" xfId="32036" xr:uid="{1556692A-FBAF-451A-948E-45C7F3E2AC9A}"/>
    <cellStyle name="Currency 3 2 4 6 2 3" xfId="23595" xr:uid="{B894F460-B6F5-4462-99CA-DF08974BDBFF}"/>
    <cellStyle name="Currency 3 2 4 6 2 4" xfId="15154" xr:uid="{10C28E83-9226-4A99-A717-23E91D70B815}"/>
    <cellStyle name="Currency 3 2 4 6 3" xfId="27818" xr:uid="{7580B5A1-1BF0-4CEE-AC69-46486E5D2DB5}"/>
    <cellStyle name="Currency 3 2 4 6 4" xfId="19377" xr:uid="{057FEAB4-9B37-422B-8557-6695800A8462}"/>
    <cellStyle name="Currency 3 2 4 6 5" xfId="10936" xr:uid="{2858E958-B3EC-4B4B-B47E-BECE7F2619D1}"/>
    <cellStyle name="Currency 3 2 4 7" xfId="2717" xr:uid="{00000000-0005-0000-0000-00003F0B0000}"/>
    <cellStyle name="Currency 3 2 4 8" xfId="2798" xr:uid="{00000000-0005-0000-0000-0000400B0000}"/>
    <cellStyle name="Currency 3 2 4 8 2" xfId="7021" xr:uid="{00000000-0005-0000-0000-0000410B0000}"/>
    <cellStyle name="Currency 3 2 4 8 2 2" xfId="32353" xr:uid="{05EAC632-2566-4480-B53A-31182F8BF0DF}"/>
    <cellStyle name="Currency 3 2 4 8 2 3" xfId="23912" xr:uid="{7F185C4D-81F9-436E-8946-CAFC4D4FFBAC}"/>
    <cellStyle name="Currency 3 2 4 8 2 4" xfId="15471" xr:uid="{1D1E031A-9819-493D-9B43-BE4D69553765}"/>
    <cellStyle name="Currency 3 2 4 8 3" xfId="28135" xr:uid="{40A1C3B6-F38A-4BAB-A76E-3433D3681418}"/>
    <cellStyle name="Currency 3 2 4 8 4" xfId="19694" xr:uid="{9002D2E9-07D6-43FA-82E6-74EF1A04987E}"/>
    <cellStyle name="Currency 3 2 4 8 5" xfId="11253" xr:uid="{B116F8BB-6F72-4FDC-9415-10B9171548B9}"/>
    <cellStyle name="Currency 3 2 4 9" xfId="4638" xr:uid="{00000000-0005-0000-0000-0000420B0000}"/>
    <cellStyle name="Currency 3 2 4 9 2" xfId="29970" xr:uid="{0A70A789-5234-436E-A6A3-B0EFCAC500BD}"/>
    <cellStyle name="Currency 3 2 4 9 3" xfId="21529" xr:uid="{5772197E-68A3-4469-96D9-030DD87740F5}"/>
    <cellStyle name="Currency 3 2 4 9 4" xfId="13088" xr:uid="{4E7509D1-F312-457E-9CE8-8A93D52303E0}"/>
    <cellStyle name="Currency 3 2 5" xfId="185" xr:uid="{00000000-0005-0000-0000-0000430B0000}"/>
    <cellStyle name="Currency 3 2 5 10" xfId="25753" xr:uid="{EA89754E-202A-468F-B052-040343BB6FB2}"/>
    <cellStyle name="Currency 3 2 5 11" xfId="17312" xr:uid="{EE1826A1-9D4A-40DB-AD22-35FE52EE58E4}"/>
    <cellStyle name="Currency 3 2 5 12" xfId="8871" xr:uid="{282B74B0-02A9-4627-B7CD-06A7ADB478DF}"/>
    <cellStyle name="Currency 3 2 5 2" xfId="715" xr:uid="{00000000-0005-0000-0000-0000440B0000}"/>
    <cellStyle name="Currency 3 2 5 2 2" xfId="2976" xr:uid="{00000000-0005-0000-0000-0000450B0000}"/>
    <cellStyle name="Currency 3 2 5 2 2 2" xfId="7198" xr:uid="{00000000-0005-0000-0000-0000460B0000}"/>
    <cellStyle name="Currency 3 2 5 2 2 2 2" xfId="32530" xr:uid="{5F684D43-58CA-45E2-AF9E-2AE7EE908D7F}"/>
    <cellStyle name="Currency 3 2 5 2 2 2 3" xfId="24089" xr:uid="{166B2150-4C3C-47DD-94C0-91E4F1B30374}"/>
    <cellStyle name="Currency 3 2 5 2 2 2 4" xfId="15648" xr:uid="{DB58EC2A-0506-4C25-9964-A303DD0C56BD}"/>
    <cellStyle name="Currency 3 2 5 2 2 3" xfId="28312" xr:uid="{9820EF2C-4AF4-469C-B697-67A72C624035}"/>
    <cellStyle name="Currency 3 2 5 2 2 4" xfId="19871" xr:uid="{A0EE3E78-186C-4A2E-829C-6DF5C216B851}"/>
    <cellStyle name="Currency 3 2 5 2 2 5" xfId="11430" xr:uid="{8CA96F41-B4E4-436F-A042-29ED12102433}"/>
    <cellStyle name="Currency 3 2 5 2 3" xfId="5053" xr:uid="{00000000-0005-0000-0000-0000470B0000}"/>
    <cellStyle name="Currency 3 2 5 2 3 2" xfId="30385" xr:uid="{B074D475-966B-407D-B305-528C6E5EF0EA}"/>
    <cellStyle name="Currency 3 2 5 2 3 3" xfId="21944" xr:uid="{A4072386-71C0-40DB-864C-123083445001}"/>
    <cellStyle name="Currency 3 2 5 2 3 4" xfId="13503" xr:uid="{AE4C788B-A1AB-4425-B16C-11034CCD4B37}"/>
    <cellStyle name="Currency 3 2 5 2 4" xfId="26167" xr:uid="{999F9429-5E1A-431B-A099-583536B1B0A3}"/>
    <cellStyle name="Currency 3 2 5 2 5" xfId="17726" xr:uid="{7F9C95D6-2018-4100-AC86-0FBC657B4D6D}"/>
    <cellStyle name="Currency 3 2 5 2 6" xfId="9285" xr:uid="{0D2F5884-C52A-4CE4-B4D9-FA28794CD8D8}"/>
    <cellStyle name="Currency 3 2 5 3" xfId="1158" xr:uid="{00000000-0005-0000-0000-0000480B0000}"/>
    <cellStyle name="Currency 3 2 5 3 2" xfId="3389" xr:uid="{00000000-0005-0000-0000-0000490B0000}"/>
    <cellStyle name="Currency 3 2 5 3 2 2" xfId="7611" xr:uid="{00000000-0005-0000-0000-00004A0B0000}"/>
    <cellStyle name="Currency 3 2 5 3 2 2 2" xfId="32943" xr:uid="{8BB76872-83F2-40A4-BCD3-8B60D29C91A0}"/>
    <cellStyle name="Currency 3 2 5 3 2 2 3" xfId="24502" xr:uid="{529FB412-9C45-490C-9BA1-B5E930168575}"/>
    <cellStyle name="Currency 3 2 5 3 2 2 4" xfId="16061" xr:uid="{BCF7F38F-A98D-4C04-9ADA-9FEDC9EF91F8}"/>
    <cellStyle name="Currency 3 2 5 3 2 3" xfId="28725" xr:uid="{5B2225B6-38E8-4C97-843B-1CFFE7A16068}"/>
    <cellStyle name="Currency 3 2 5 3 2 4" xfId="20284" xr:uid="{0414E5DE-5529-4ED5-A0A8-62A8F918E4D6}"/>
    <cellStyle name="Currency 3 2 5 3 2 5" xfId="11843" xr:uid="{B225F0E7-BE59-4BE0-9E9D-2D60EB0BD29E}"/>
    <cellStyle name="Currency 3 2 5 3 3" xfId="5466" xr:uid="{00000000-0005-0000-0000-00004B0B0000}"/>
    <cellStyle name="Currency 3 2 5 3 3 2" xfId="30798" xr:uid="{BE643EAA-6B8E-4014-B862-8D6DC964CAA8}"/>
    <cellStyle name="Currency 3 2 5 3 3 3" xfId="22357" xr:uid="{F1501943-31F0-47A4-B9CD-16D96A84D1A1}"/>
    <cellStyle name="Currency 3 2 5 3 3 4" xfId="13916" xr:uid="{919E9E3F-FCAB-4F6E-99AE-355226BA67F8}"/>
    <cellStyle name="Currency 3 2 5 3 4" xfId="26580" xr:uid="{33730DB0-E62B-44E5-80D9-9656DAFF79FD}"/>
    <cellStyle name="Currency 3 2 5 3 5" xfId="18139" xr:uid="{FE3D824C-77B6-40AE-BC03-1BAD148AE7BA}"/>
    <cellStyle name="Currency 3 2 5 3 6" xfId="9698" xr:uid="{1B4A2648-59BD-4F0C-B1AD-50942A644DFE}"/>
    <cellStyle name="Currency 3 2 5 4" xfId="1572" xr:uid="{00000000-0005-0000-0000-00004C0B0000}"/>
    <cellStyle name="Currency 3 2 5 4 2" xfId="3802" xr:uid="{00000000-0005-0000-0000-00004D0B0000}"/>
    <cellStyle name="Currency 3 2 5 4 2 2" xfId="8024" xr:uid="{00000000-0005-0000-0000-00004E0B0000}"/>
    <cellStyle name="Currency 3 2 5 4 2 2 2" xfId="33356" xr:uid="{DD5F26CC-6D50-422B-BC9A-6148175792AD}"/>
    <cellStyle name="Currency 3 2 5 4 2 2 3" xfId="24915" xr:uid="{5C2C795E-293F-4E7F-B1CB-A074D85E5A7A}"/>
    <cellStyle name="Currency 3 2 5 4 2 2 4" xfId="16474" xr:uid="{854939FC-073D-46EC-B2A0-7C6CEFD41921}"/>
    <cellStyle name="Currency 3 2 5 4 2 3" xfId="29138" xr:uid="{E950C250-2022-436E-8444-154CC3665760}"/>
    <cellStyle name="Currency 3 2 5 4 2 4" xfId="20697" xr:uid="{C3FA7D38-8BFC-4A9B-80C9-58FF7217353A}"/>
    <cellStyle name="Currency 3 2 5 4 2 5" xfId="12256" xr:uid="{8BA6F644-3C7A-41F8-8B86-9DB420D07B40}"/>
    <cellStyle name="Currency 3 2 5 4 3" xfId="5879" xr:uid="{00000000-0005-0000-0000-00004F0B0000}"/>
    <cellStyle name="Currency 3 2 5 4 3 2" xfId="31211" xr:uid="{D3201EF5-A9EB-4721-8A5D-D8E852ACFBAF}"/>
    <cellStyle name="Currency 3 2 5 4 3 3" xfId="22770" xr:uid="{35618B7A-A14B-495F-BFDD-600E56291F98}"/>
    <cellStyle name="Currency 3 2 5 4 3 4" xfId="14329" xr:uid="{FAE42355-C08A-4C56-A2B1-C255DD5F628D}"/>
    <cellStyle name="Currency 3 2 5 4 4" xfId="26993" xr:uid="{6FCBEB9F-2DC3-4649-A2C8-1EA93DAA9537}"/>
    <cellStyle name="Currency 3 2 5 4 5" xfId="18552" xr:uid="{889C8BF1-24BF-4C5E-9FBA-9864D2F8DE75}"/>
    <cellStyle name="Currency 3 2 5 4 6" xfId="10111" xr:uid="{2161FB39-E2C6-48F4-BB8D-63C7E8E2FBAA}"/>
    <cellStyle name="Currency 3 2 5 5" xfId="1986" xr:uid="{00000000-0005-0000-0000-0000500B0000}"/>
    <cellStyle name="Currency 3 2 5 5 2" xfId="4215" xr:uid="{00000000-0005-0000-0000-0000510B0000}"/>
    <cellStyle name="Currency 3 2 5 5 2 2" xfId="8437" xr:uid="{00000000-0005-0000-0000-0000520B0000}"/>
    <cellStyle name="Currency 3 2 5 5 2 2 2" xfId="33769" xr:uid="{AF347DC5-D53D-45EF-9FA0-85E5F4138CA3}"/>
    <cellStyle name="Currency 3 2 5 5 2 2 3" xfId="25328" xr:uid="{BC991847-22D4-460E-8AFA-D5FC3B6B1131}"/>
    <cellStyle name="Currency 3 2 5 5 2 2 4" xfId="16887" xr:uid="{B7683B13-1149-41D0-B7BE-E16A210B0DC6}"/>
    <cellStyle name="Currency 3 2 5 5 2 3" xfId="29551" xr:uid="{ECECDC88-E9CB-4B40-9FB7-87469C0996D7}"/>
    <cellStyle name="Currency 3 2 5 5 2 4" xfId="21110" xr:uid="{331B4BBB-1B45-46B5-8BB5-897A48273B05}"/>
    <cellStyle name="Currency 3 2 5 5 2 5" xfId="12669" xr:uid="{25F5038C-B3F5-432E-AF6B-10E9023D30B4}"/>
    <cellStyle name="Currency 3 2 5 5 3" xfId="6292" xr:uid="{00000000-0005-0000-0000-0000530B0000}"/>
    <cellStyle name="Currency 3 2 5 5 3 2" xfId="31624" xr:uid="{1C3E6655-1F5B-4C69-A47B-0D14761E5A53}"/>
    <cellStyle name="Currency 3 2 5 5 3 3" xfId="23183" xr:uid="{37633220-1B9E-4E55-B5EC-3D52B135D4A7}"/>
    <cellStyle name="Currency 3 2 5 5 3 4" xfId="14742" xr:uid="{1E9001F7-D115-43CC-873F-611F2FBE0839}"/>
    <cellStyle name="Currency 3 2 5 5 4" xfId="27406" xr:uid="{41409779-B66A-47EC-AB49-A02704047A57}"/>
    <cellStyle name="Currency 3 2 5 5 5" xfId="18965" xr:uid="{C53DDF2A-D4F5-4257-B3DD-654767805244}"/>
    <cellStyle name="Currency 3 2 5 5 6" xfId="10524" xr:uid="{F17B638E-1E31-499C-88C4-403D49D2837D}"/>
    <cellStyle name="Currency 3 2 5 6" xfId="2421" xr:uid="{00000000-0005-0000-0000-0000540B0000}"/>
    <cellStyle name="Currency 3 2 5 6 2" xfId="6705" xr:uid="{00000000-0005-0000-0000-0000550B0000}"/>
    <cellStyle name="Currency 3 2 5 6 2 2" xfId="32037" xr:uid="{436E2990-185E-4069-9731-4634DEDF4DE2}"/>
    <cellStyle name="Currency 3 2 5 6 2 3" xfId="23596" xr:uid="{90493423-E958-4284-B552-CD40C5287C33}"/>
    <cellStyle name="Currency 3 2 5 6 2 4" xfId="15155" xr:uid="{95822FE1-A38E-4504-A0C7-13B4F0607787}"/>
    <cellStyle name="Currency 3 2 5 6 3" xfId="27819" xr:uid="{FE02B880-0323-4238-8128-388E1E25CEE4}"/>
    <cellStyle name="Currency 3 2 5 6 4" xfId="19378" xr:uid="{35A073B9-CC84-4EE0-BC07-B5B4F1EB953E}"/>
    <cellStyle name="Currency 3 2 5 6 5" xfId="10937" xr:uid="{76316118-BB5E-4524-B5A6-616F8C81F9BA}"/>
    <cellStyle name="Currency 3 2 5 7" xfId="2718" xr:uid="{00000000-0005-0000-0000-0000560B0000}"/>
    <cellStyle name="Currency 3 2 5 8" xfId="2799" xr:uid="{00000000-0005-0000-0000-0000570B0000}"/>
    <cellStyle name="Currency 3 2 5 8 2" xfId="7022" xr:uid="{00000000-0005-0000-0000-0000580B0000}"/>
    <cellStyle name="Currency 3 2 5 8 2 2" xfId="32354" xr:uid="{EB3108A3-63E8-48F9-8971-4874E1B7ABB3}"/>
    <cellStyle name="Currency 3 2 5 8 2 3" xfId="23913" xr:uid="{AFE0558A-DDEF-4969-BF20-03FFE42D9E01}"/>
    <cellStyle name="Currency 3 2 5 8 2 4" xfId="15472" xr:uid="{16989DE2-70E2-4CFA-8A94-C85D68F6EF01}"/>
    <cellStyle name="Currency 3 2 5 8 3" xfId="28136" xr:uid="{F49C600A-6B84-4AFD-9D07-9B4A1A1A8404}"/>
    <cellStyle name="Currency 3 2 5 8 4" xfId="19695" xr:uid="{F36231B7-CD6B-4BFB-9061-80F9FD479E79}"/>
    <cellStyle name="Currency 3 2 5 8 5" xfId="11254" xr:uid="{C9DA1A39-7379-45CC-96BD-88DFA65B4C0A}"/>
    <cellStyle name="Currency 3 2 5 9" xfId="4639" xr:uid="{00000000-0005-0000-0000-0000590B0000}"/>
    <cellStyle name="Currency 3 2 5 9 2" xfId="29971" xr:uid="{30063BC4-82D6-462A-9C3F-B966CAEBBD18}"/>
    <cellStyle name="Currency 3 2 5 9 3" xfId="21530" xr:uid="{878AEA7F-0FF6-465A-A91C-DD7BEE7A2BC9}"/>
    <cellStyle name="Currency 3 2 5 9 4" xfId="13089" xr:uid="{5B8BE4A1-CF75-4A8D-AEA4-AB022154357A}"/>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0 2 2" xfId="32355" xr:uid="{B12BBFBF-07EA-42E3-B0DE-A79F7409BCC2}"/>
    <cellStyle name="Currency 5 2 2 2 10 2 3" xfId="23914" xr:uid="{3C597CBB-F4A5-4703-9A51-62EE68E8878F}"/>
    <cellStyle name="Currency 5 2 2 2 10 2 4" xfId="15473" xr:uid="{AB194202-0AB8-49DF-ACA0-84650F193AC4}"/>
    <cellStyle name="Currency 5 2 2 2 10 3" xfId="28137" xr:uid="{392EC4B5-8FA1-4FA9-B1B8-97DC4D8D22D6}"/>
    <cellStyle name="Currency 5 2 2 2 10 4" xfId="19696" xr:uid="{A11E3416-105A-4C94-8B7B-C05DE95C7195}"/>
    <cellStyle name="Currency 5 2 2 2 10 5" xfId="11255" xr:uid="{C2E13005-F853-4C18-8500-27C20422D827}"/>
    <cellStyle name="Currency 5 2 2 2 11" xfId="4640" xr:uid="{00000000-0005-0000-0000-00006C0B0000}"/>
    <cellStyle name="Currency 5 2 2 2 11 2" xfId="29972" xr:uid="{AA1FB938-BEA9-4086-A0AA-577705708D76}"/>
    <cellStyle name="Currency 5 2 2 2 11 3" xfId="21531" xr:uid="{EA3E95F0-D8F2-4FDA-849D-5B116914A9E1}"/>
    <cellStyle name="Currency 5 2 2 2 11 4" xfId="13090" xr:uid="{8DF5B521-726B-423C-A59B-DBB41A99D2F2}"/>
    <cellStyle name="Currency 5 2 2 2 12" xfId="25754" xr:uid="{B47D05AC-2258-45CF-B7C8-827903EA14BA}"/>
    <cellStyle name="Currency 5 2 2 2 13" xfId="17313" xr:uid="{A69B2325-E93D-4D95-88B8-5ED08B763F7E}"/>
    <cellStyle name="Currency 5 2 2 2 14" xfId="8872" xr:uid="{B8D1F1DD-029F-471A-A6B4-790826E9629A}"/>
    <cellStyle name="Currency 5 2 2 2 2" xfId="197" xr:uid="{00000000-0005-0000-0000-00006D0B0000}"/>
    <cellStyle name="Currency 5 2 2 2 2 10" xfId="4641" xr:uid="{00000000-0005-0000-0000-00006E0B0000}"/>
    <cellStyle name="Currency 5 2 2 2 2 10 2" xfId="29973" xr:uid="{6BE0A5F1-CA45-4CF4-AF26-0B7AB2F944CC}"/>
    <cellStyle name="Currency 5 2 2 2 2 10 3" xfId="21532" xr:uid="{3426E843-A1D0-4AFC-9223-24DBF17E823D}"/>
    <cellStyle name="Currency 5 2 2 2 2 10 4" xfId="13091" xr:uid="{25494760-E176-4435-9342-19C1EB45ECC0}"/>
    <cellStyle name="Currency 5 2 2 2 2 11" xfId="25755" xr:uid="{FBCD492C-10A6-4FA4-B5DA-27BDE6CBB4B8}"/>
    <cellStyle name="Currency 5 2 2 2 2 12" xfId="17314" xr:uid="{CFABF4D6-6A77-4401-8D64-674E14A06F53}"/>
    <cellStyle name="Currency 5 2 2 2 2 13" xfId="8873" xr:uid="{7FA10C55-730A-4F27-A083-10837E5A2997}"/>
    <cellStyle name="Currency 5 2 2 2 2 2" xfId="198" xr:uid="{00000000-0005-0000-0000-00006F0B0000}"/>
    <cellStyle name="Currency 5 2 2 2 2 2 10" xfId="25756" xr:uid="{8EC4BC1F-7791-44B5-95FC-2D256CF25E3D}"/>
    <cellStyle name="Currency 5 2 2 2 2 2 11" xfId="17315" xr:uid="{AE9C105C-64C4-4BEB-A0BC-1DFC9F4B2F52}"/>
    <cellStyle name="Currency 5 2 2 2 2 2 12" xfId="8874" xr:uid="{04994A8B-3A89-4747-8E35-09F24D1469EF}"/>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2 2 2" xfId="32533" xr:uid="{EAB04CD2-CC2D-4C7B-B0FF-002E6B7CD31E}"/>
    <cellStyle name="Currency 5 2 2 2 2 2 2 2 2 3" xfId="24092" xr:uid="{CD711471-8CCF-451D-ADB5-4841F665D1B2}"/>
    <cellStyle name="Currency 5 2 2 2 2 2 2 2 2 4" xfId="15651" xr:uid="{F57EDEE7-7FB3-44BD-A76F-E9FB8F60C30C}"/>
    <cellStyle name="Currency 5 2 2 2 2 2 2 2 3" xfId="28315" xr:uid="{D2F40688-3509-4781-85A5-E276F271FBD4}"/>
    <cellStyle name="Currency 5 2 2 2 2 2 2 2 4" xfId="19874" xr:uid="{7BF4A509-42E5-481D-9A72-619F8C943772}"/>
    <cellStyle name="Currency 5 2 2 2 2 2 2 2 5" xfId="11433" xr:uid="{6116CEC1-977D-47E8-AF06-0314D1E14847}"/>
    <cellStyle name="Currency 5 2 2 2 2 2 2 3" xfId="5056" xr:uid="{00000000-0005-0000-0000-0000730B0000}"/>
    <cellStyle name="Currency 5 2 2 2 2 2 2 3 2" xfId="30388" xr:uid="{C4C669D7-0DB8-4D43-B09E-5CB59CCD4DB9}"/>
    <cellStyle name="Currency 5 2 2 2 2 2 2 3 3" xfId="21947" xr:uid="{A708E159-A9E8-496A-AD19-C699C570CCB7}"/>
    <cellStyle name="Currency 5 2 2 2 2 2 2 3 4" xfId="13506" xr:uid="{A6230010-20A1-4A4F-AD26-86D674C105A7}"/>
    <cellStyle name="Currency 5 2 2 2 2 2 2 4" xfId="26170" xr:uid="{479361C9-36F7-4D33-815E-520D706546AA}"/>
    <cellStyle name="Currency 5 2 2 2 2 2 2 5" xfId="17729" xr:uid="{371A667B-3497-49BE-AAF2-8F46DBF961D0}"/>
    <cellStyle name="Currency 5 2 2 2 2 2 2 6" xfId="9288" xr:uid="{8084F6F3-13F5-432E-8BFD-78FC3070D398}"/>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2 2 2" xfId="32946" xr:uid="{B06F2C97-18EB-405A-B728-1F2D7EEA7717}"/>
    <cellStyle name="Currency 5 2 2 2 2 2 3 2 2 3" xfId="24505" xr:uid="{18C1B191-E074-4B6F-B265-FFE211E7A31E}"/>
    <cellStyle name="Currency 5 2 2 2 2 2 3 2 2 4" xfId="16064" xr:uid="{C74D5492-546F-4C45-B81D-D6C52AFA50AB}"/>
    <cellStyle name="Currency 5 2 2 2 2 2 3 2 3" xfId="28728" xr:uid="{14980DC9-4681-4022-A0B9-FDAEE5B6B9FA}"/>
    <cellStyle name="Currency 5 2 2 2 2 2 3 2 4" xfId="20287" xr:uid="{1DB71A4C-B350-4009-AF8B-FC91AFA1923F}"/>
    <cellStyle name="Currency 5 2 2 2 2 2 3 2 5" xfId="11846" xr:uid="{76056524-B05A-4648-AF5A-7889F9F8EC43}"/>
    <cellStyle name="Currency 5 2 2 2 2 2 3 3" xfId="5469" xr:uid="{00000000-0005-0000-0000-0000770B0000}"/>
    <cellStyle name="Currency 5 2 2 2 2 2 3 3 2" xfId="30801" xr:uid="{9FC5B317-D883-4B8D-A0CC-922BBD9A3FF3}"/>
    <cellStyle name="Currency 5 2 2 2 2 2 3 3 3" xfId="22360" xr:uid="{7C2C0AE8-2254-4658-B3D0-6AB69CFF7C5E}"/>
    <cellStyle name="Currency 5 2 2 2 2 2 3 3 4" xfId="13919" xr:uid="{2F7D019D-7BA9-44CC-AB92-6D6D5E1E87FB}"/>
    <cellStyle name="Currency 5 2 2 2 2 2 3 4" xfId="26583" xr:uid="{F0B3CC51-0004-4348-91E0-ABCFD2732519}"/>
    <cellStyle name="Currency 5 2 2 2 2 2 3 5" xfId="18142" xr:uid="{B1BF9B8E-006E-4DEC-99CF-64AD6429E4A8}"/>
    <cellStyle name="Currency 5 2 2 2 2 2 3 6" xfId="9701" xr:uid="{B9D0852D-A1C9-4CD0-9776-5F56E9A5D457}"/>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2 2 2" xfId="33359" xr:uid="{F0DACAA4-8AFF-4C16-8B08-A559B65D2E7D}"/>
    <cellStyle name="Currency 5 2 2 2 2 2 4 2 2 3" xfId="24918" xr:uid="{AE1C5543-7AAB-41FA-B10D-B76A0FBC34EA}"/>
    <cellStyle name="Currency 5 2 2 2 2 2 4 2 2 4" xfId="16477" xr:uid="{75BE0656-9B9D-4737-B2D9-C929B9706A09}"/>
    <cellStyle name="Currency 5 2 2 2 2 2 4 2 3" xfId="29141" xr:uid="{88E17876-63BF-4772-812D-1B051B333A0B}"/>
    <cellStyle name="Currency 5 2 2 2 2 2 4 2 4" xfId="20700" xr:uid="{21649E13-D93D-4CF3-87E7-2D338CEC31DA}"/>
    <cellStyle name="Currency 5 2 2 2 2 2 4 2 5" xfId="12259" xr:uid="{8EDFF45A-494B-4AFD-8FDC-E7684D87C27B}"/>
    <cellStyle name="Currency 5 2 2 2 2 2 4 3" xfId="5882" xr:uid="{00000000-0005-0000-0000-00007B0B0000}"/>
    <cellStyle name="Currency 5 2 2 2 2 2 4 3 2" xfId="31214" xr:uid="{2CC22B20-14F8-4233-8426-58B604D05FEC}"/>
    <cellStyle name="Currency 5 2 2 2 2 2 4 3 3" xfId="22773" xr:uid="{95B8B1B6-E97C-430D-87BB-B51CE6BAEF7E}"/>
    <cellStyle name="Currency 5 2 2 2 2 2 4 3 4" xfId="14332" xr:uid="{92F1EF54-7674-4980-A128-FDE353970019}"/>
    <cellStyle name="Currency 5 2 2 2 2 2 4 4" xfId="26996" xr:uid="{BC210A96-0C76-4F7E-9AD4-758A7BE054EA}"/>
    <cellStyle name="Currency 5 2 2 2 2 2 4 5" xfId="18555" xr:uid="{E3665620-3DA7-4584-ACA6-4FF8485AF7B9}"/>
    <cellStyle name="Currency 5 2 2 2 2 2 4 6" xfId="10114" xr:uid="{B3519334-A1DB-45FE-A5E0-759F2C5CB03D}"/>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2 2 2" xfId="33772" xr:uid="{F0345F8B-BDA9-4B56-A6F0-9C70AA3F3759}"/>
    <cellStyle name="Currency 5 2 2 2 2 2 5 2 2 3" xfId="25331" xr:uid="{01C945DA-1635-45C0-962C-FDB40BEAE4C6}"/>
    <cellStyle name="Currency 5 2 2 2 2 2 5 2 2 4" xfId="16890" xr:uid="{E663A77C-A145-4890-BB5B-3A948A5D1B83}"/>
    <cellStyle name="Currency 5 2 2 2 2 2 5 2 3" xfId="29554" xr:uid="{B8282BE4-3F15-4CC6-9603-D98E9A2459BE}"/>
    <cellStyle name="Currency 5 2 2 2 2 2 5 2 4" xfId="21113" xr:uid="{4A1B0F76-4215-4E00-AA97-C3CA2D00AC8B}"/>
    <cellStyle name="Currency 5 2 2 2 2 2 5 2 5" xfId="12672" xr:uid="{7EE04854-9AE8-4348-9F67-B2149C1D7A01}"/>
    <cellStyle name="Currency 5 2 2 2 2 2 5 3" xfId="6295" xr:uid="{00000000-0005-0000-0000-00007F0B0000}"/>
    <cellStyle name="Currency 5 2 2 2 2 2 5 3 2" xfId="31627" xr:uid="{346F7AAF-8900-4BB0-B995-8B24F92F2CEC}"/>
    <cellStyle name="Currency 5 2 2 2 2 2 5 3 3" xfId="23186" xr:uid="{3B7386D7-F78D-4E34-B123-B2A1BFEFE4BF}"/>
    <cellStyle name="Currency 5 2 2 2 2 2 5 3 4" xfId="14745" xr:uid="{DC7B9D09-2AF4-42F8-A7D3-9095A7644F04}"/>
    <cellStyle name="Currency 5 2 2 2 2 2 5 4" xfId="27409" xr:uid="{E1DB6B33-6A53-4CD8-AF0A-D6D8AB5713A8}"/>
    <cellStyle name="Currency 5 2 2 2 2 2 5 5" xfId="18968" xr:uid="{B99B90C0-9167-4C16-B1CE-E8101398AB16}"/>
    <cellStyle name="Currency 5 2 2 2 2 2 5 6" xfId="10527" xr:uid="{5B442E08-DAC2-4935-8A4B-ECCB95E5E90C}"/>
    <cellStyle name="Currency 5 2 2 2 2 2 6" xfId="2424" xr:uid="{00000000-0005-0000-0000-0000800B0000}"/>
    <cellStyle name="Currency 5 2 2 2 2 2 6 2" xfId="6708" xr:uid="{00000000-0005-0000-0000-0000810B0000}"/>
    <cellStyle name="Currency 5 2 2 2 2 2 6 2 2" xfId="32040" xr:uid="{86FD0269-D7F4-498B-943F-FBE37BF16A27}"/>
    <cellStyle name="Currency 5 2 2 2 2 2 6 2 3" xfId="23599" xr:uid="{C0A43F38-AB15-495A-8F13-1D3FD0CB03A0}"/>
    <cellStyle name="Currency 5 2 2 2 2 2 6 2 4" xfId="15158" xr:uid="{6E3F6494-FE6E-4B7B-BC0E-681E4085C827}"/>
    <cellStyle name="Currency 5 2 2 2 2 2 6 3" xfId="27822" xr:uid="{744D410F-8C02-4765-AC04-EA16EFAD44AB}"/>
    <cellStyle name="Currency 5 2 2 2 2 2 6 4" xfId="19381" xr:uid="{BE11AEE0-FFE2-4EE2-999B-788A7070B42A}"/>
    <cellStyle name="Currency 5 2 2 2 2 2 6 5" xfId="10940" xr:uid="{B9F8EF57-3403-4C33-972A-CDF4345396AC}"/>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8 2 2" xfId="32357" xr:uid="{E1323209-1434-42C5-8580-CB0230DF9AAA}"/>
    <cellStyle name="Currency 5 2 2 2 2 2 8 2 3" xfId="23916" xr:uid="{995DECFB-2161-4CF7-B354-25EAD96DED6E}"/>
    <cellStyle name="Currency 5 2 2 2 2 2 8 2 4" xfId="15475" xr:uid="{7A763CF5-405B-43FC-A5F6-FDD850E15835}"/>
    <cellStyle name="Currency 5 2 2 2 2 2 8 3" xfId="28139" xr:uid="{AD96E7B8-2F08-4D90-BE7C-80484C7AB894}"/>
    <cellStyle name="Currency 5 2 2 2 2 2 8 4" xfId="19698" xr:uid="{EA54BEED-8153-46C6-B644-2FE87B4D1D6A}"/>
    <cellStyle name="Currency 5 2 2 2 2 2 8 5" xfId="11257" xr:uid="{CADBB68D-6C35-486B-91A7-33F3C180C764}"/>
    <cellStyle name="Currency 5 2 2 2 2 2 9" xfId="4642" xr:uid="{00000000-0005-0000-0000-0000850B0000}"/>
    <cellStyle name="Currency 5 2 2 2 2 2 9 2" xfId="29974" xr:uid="{E5FE15A2-5BA0-4AED-8110-F9EE6F8A87E4}"/>
    <cellStyle name="Currency 5 2 2 2 2 2 9 3" xfId="21533" xr:uid="{4A16ABA8-60D4-4BD0-A5E0-CC741D274999}"/>
    <cellStyle name="Currency 5 2 2 2 2 2 9 4" xfId="13092" xr:uid="{CEADA223-41DC-4794-8B00-57D254812689}"/>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2 2 2" xfId="32532" xr:uid="{B01A67FF-C86A-40DA-B694-6D224480E2F3}"/>
    <cellStyle name="Currency 5 2 2 2 2 3 2 2 3" xfId="24091" xr:uid="{231D3C76-C846-4E1C-8283-ED99E20F28AC}"/>
    <cellStyle name="Currency 5 2 2 2 2 3 2 2 4" xfId="15650" xr:uid="{F260355F-D5C0-4DE6-8191-09259522805E}"/>
    <cellStyle name="Currency 5 2 2 2 2 3 2 3" xfId="28314" xr:uid="{A6CE5CCE-A290-4EF8-856E-DB35419D741D}"/>
    <cellStyle name="Currency 5 2 2 2 2 3 2 4" xfId="19873" xr:uid="{36F9FBD9-A6F1-4C0C-A7BA-F04036D1C78B}"/>
    <cellStyle name="Currency 5 2 2 2 2 3 2 5" xfId="11432" xr:uid="{22B28025-A5C6-41C9-8797-6DA6CA3E3FCB}"/>
    <cellStyle name="Currency 5 2 2 2 2 3 3" xfId="5055" xr:uid="{00000000-0005-0000-0000-0000890B0000}"/>
    <cellStyle name="Currency 5 2 2 2 2 3 3 2" xfId="30387" xr:uid="{F79CF039-495C-42D5-8E75-864C68AEC792}"/>
    <cellStyle name="Currency 5 2 2 2 2 3 3 3" xfId="21946" xr:uid="{DD613FE2-8941-49E3-9C68-620D6568FA4D}"/>
    <cellStyle name="Currency 5 2 2 2 2 3 3 4" xfId="13505" xr:uid="{4E451B3E-EA63-4B5A-A3BA-02108310D633}"/>
    <cellStyle name="Currency 5 2 2 2 2 3 4" xfId="26169" xr:uid="{D230336F-0F06-492D-87E1-C25DB81B32FC}"/>
    <cellStyle name="Currency 5 2 2 2 2 3 5" xfId="17728" xr:uid="{50325C22-2EB7-4CA7-80AC-39A2C685EF1F}"/>
    <cellStyle name="Currency 5 2 2 2 2 3 6" xfId="9287" xr:uid="{F0EFE13A-FF8A-4D09-88AC-29D28CA0404F}"/>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2 2 2" xfId="32945" xr:uid="{FE9A7D6F-8C77-4BCA-A060-886D62526EB9}"/>
    <cellStyle name="Currency 5 2 2 2 2 4 2 2 3" xfId="24504" xr:uid="{95555F4B-D393-478C-88A3-4C0EED4BF84F}"/>
    <cellStyle name="Currency 5 2 2 2 2 4 2 2 4" xfId="16063" xr:uid="{B1F38366-9F32-490C-8B75-FBE5283B6F9D}"/>
    <cellStyle name="Currency 5 2 2 2 2 4 2 3" xfId="28727" xr:uid="{008A8C2B-6408-4EF3-B499-44125C727FB5}"/>
    <cellStyle name="Currency 5 2 2 2 2 4 2 4" xfId="20286" xr:uid="{B4737922-59F6-4DB5-9307-FC9F3BE3689F}"/>
    <cellStyle name="Currency 5 2 2 2 2 4 2 5" xfId="11845" xr:uid="{21CFEED8-7A3D-48BA-BDD6-8DCDC8346FDA}"/>
    <cellStyle name="Currency 5 2 2 2 2 4 3" xfId="5468" xr:uid="{00000000-0005-0000-0000-00008D0B0000}"/>
    <cellStyle name="Currency 5 2 2 2 2 4 3 2" xfId="30800" xr:uid="{902529DA-0BE9-4C58-8994-301E76A08B81}"/>
    <cellStyle name="Currency 5 2 2 2 2 4 3 3" xfId="22359" xr:uid="{53F76088-89E3-43CF-A859-87A262821ED4}"/>
    <cellStyle name="Currency 5 2 2 2 2 4 3 4" xfId="13918" xr:uid="{0376292C-77CC-41F7-9E35-F484F403C643}"/>
    <cellStyle name="Currency 5 2 2 2 2 4 4" xfId="26582" xr:uid="{528D9ABF-677B-4FE5-9A56-8C24919EB0BA}"/>
    <cellStyle name="Currency 5 2 2 2 2 4 5" xfId="18141" xr:uid="{49E7EA0A-F2F7-4F32-AD22-9BF4C3240F63}"/>
    <cellStyle name="Currency 5 2 2 2 2 4 6" xfId="9700" xr:uid="{4F20AF08-28B1-4E4F-85FF-D99709C1FF0F}"/>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2 2 2" xfId="33358" xr:uid="{CED22D0A-8E97-45C6-A8EC-52F950B29E08}"/>
    <cellStyle name="Currency 5 2 2 2 2 5 2 2 3" xfId="24917" xr:uid="{C5027D65-1F3F-4D1C-BF7B-0B79DCF629D5}"/>
    <cellStyle name="Currency 5 2 2 2 2 5 2 2 4" xfId="16476" xr:uid="{C4B82859-FDE4-4AE0-BB64-4B8C98E667CD}"/>
    <cellStyle name="Currency 5 2 2 2 2 5 2 3" xfId="29140" xr:uid="{573B2A36-065A-4B9B-8549-6DBADE6E96EA}"/>
    <cellStyle name="Currency 5 2 2 2 2 5 2 4" xfId="20699" xr:uid="{41DBD738-E2BF-448E-BA33-FBE4E9198A9B}"/>
    <cellStyle name="Currency 5 2 2 2 2 5 2 5" xfId="12258" xr:uid="{82956E0B-A902-4AB6-9B2B-20026C2B3418}"/>
    <cellStyle name="Currency 5 2 2 2 2 5 3" xfId="5881" xr:uid="{00000000-0005-0000-0000-0000910B0000}"/>
    <cellStyle name="Currency 5 2 2 2 2 5 3 2" xfId="31213" xr:uid="{24AF1232-C7C1-4A76-873F-BF7C5D850B5B}"/>
    <cellStyle name="Currency 5 2 2 2 2 5 3 3" xfId="22772" xr:uid="{B5CFC408-CF1B-481F-91BD-0DC85674CC38}"/>
    <cellStyle name="Currency 5 2 2 2 2 5 3 4" xfId="14331" xr:uid="{36D7FD27-5C9A-4680-9689-EBB06469B0E5}"/>
    <cellStyle name="Currency 5 2 2 2 2 5 4" xfId="26995" xr:uid="{E39EC499-9FCE-4000-BF34-9DABA2680D4E}"/>
    <cellStyle name="Currency 5 2 2 2 2 5 5" xfId="18554" xr:uid="{72AD1E5E-36B2-4AC0-94BE-54A9A0CC2171}"/>
    <cellStyle name="Currency 5 2 2 2 2 5 6" xfId="10113" xr:uid="{9829C902-64D4-407D-A809-4AC852A3A5FD}"/>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2 2 2" xfId="33771" xr:uid="{F2C2DB1A-2109-4CEE-ADA6-FAA54BF2BECC}"/>
    <cellStyle name="Currency 5 2 2 2 2 6 2 2 3" xfId="25330" xr:uid="{4A6BE1D6-4A19-47A5-80C4-B1AC0B20E3BA}"/>
    <cellStyle name="Currency 5 2 2 2 2 6 2 2 4" xfId="16889" xr:uid="{50ABAE1A-CA19-4B8D-B264-EB98EFD4ADC9}"/>
    <cellStyle name="Currency 5 2 2 2 2 6 2 3" xfId="29553" xr:uid="{74C1515D-FDCC-4151-BD35-4570B41A41CF}"/>
    <cellStyle name="Currency 5 2 2 2 2 6 2 4" xfId="21112" xr:uid="{0AFD978C-003A-44E1-BA20-3DD47BDFCD56}"/>
    <cellStyle name="Currency 5 2 2 2 2 6 2 5" xfId="12671" xr:uid="{4079154E-5AFB-4E5A-AD68-2C2C5C885BF1}"/>
    <cellStyle name="Currency 5 2 2 2 2 6 3" xfId="6294" xr:uid="{00000000-0005-0000-0000-0000950B0000}"/>
    <cellStyle name="Currency 5 2 2 2 2 6 3 2" xfId="31626" xr:uid="{78F29E94-DCC8-4D03-8814-A8D6176ED0D1}"/>
    <cellStyle name="Currency 5 2 2 2 2 6 3 3" xfId="23185" xr:uid="{E678AE8A-E76D-4476-81E2-702B41EABAA0}"/>
    <cellStyle name="Currency 5 2 2 2 2 6 3 4" xfId="14744" xr:uid="{0F18714D-CC77-4B6C-95C8-60E5AD2BA19B}"/>
    <cellStyle name="Currency 5 2 2 2 2 6 4" xfId="27408" xr:uid="{C42F9C7D-1B4A-4D55-A3CB-8C401207B277}"/>
    <cellStyle name="Currency 5 2 2 2 2 6 5" xfId="18967" xr:uid="{071E1289-7D33-4D25-ADFB-A7F943D116D2}"/>
    <cellStyle name="Currency 5 2 2 2 2 6 6" xfId="10526" xr:uid="{4A2DDE2D-3518-4F7A-B06A-FFF3E907A1D9}"/>
    <cellStyle name="Currency 5 2 2 2 2 7" xfId="2423" xr:uid="{00000000-0005-0000-0000-0000960B0000}"/>
    <cellStyle name="Currency 5 2 2 2 2 7 2" xfId="6707" xr:uid="{00000000-0005-0000-0000-0000970B0000}"/>
    <cellStyle name="Currency 5 2 2 2 2 7 2 2" xfId="32039" xr:uid="{CE3B79F4-1DAE-43DD-B4D4-7567D8CB1C31}"/>
    <cellStyle name="Currency 5 2 2 2 2 7 2 3" xfId="23598" xr:uid="{838E7116-0BAB-4A3A-B414-58225937EC3F}"/>
    <cellStyle name="Currency 5 2 2 2 2 7 2 4" xfId="15157" xr:uid="{3A9C51B4-8548-4FDC-8AD4-C4A2E0DAC030}"/>
    <cellStyle name="Currency 5 2 2 2 2 7 3" xfId="27821" xr:uid="{6BA7745B-6610-4F02-87EC-DE022D87B71E}"/>
    <cellStyle name="Currency 5 2 2 2 2 7 4" xfId="19380" xr:uid="{E17EC8FD-B182-4608-851E-6A2706D1BC5F}"/>
    <cellStyle name="Currency 5 2 2 2 2 7 5" xfId="10939" xr:uid="{D707C02D-530C-4C38-B86C-7028C6E91BBC}"/>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2 9 2 2" xfId="32356" xr:uid="{306AB0DA-7E30-498F-B7FB-D0EDE54A8275}"/>
    <cellStyle name="Currency 5 2 2 2 2 9 2 3" xfId="23915" xr:uid="{F3432392-8754-4464-8702-4BF5B054E86A}"/>
    <cellStyle name="Currency 5 2 2 2 2 9 2 4" xfId="15474" xr:uid="{72B271E3-BC62-49B3-9858-51F24991907D}"/>
    <cellStyle name="Currency 5 2 2 2 2 9 3" xfId="28138" xr:uid="{E58AFEA7-D69D-42FC-96EB-4ADBA037E408}"/>
    <cellStyle name="Currency 5 2 2 2 2 9 4" xfId="19697" xr:uid="{8961F167-0E81-4CDF-8355-7D8CF8C84DCE}"/>
    <cellStyle name="Currency 5 2 2 2 2 9 5" xfId="11256" xr:uid="{F1C04B6B-7220-471F-90D0-776937B352DD}"/>
    <cellStyle name="Currency 5 2 2 2 3" xfId="199" xr:uid="{00000000-0005-0000-0000-00009B0B0000}"/>
    <cellStyle name="Currency 5 2 2 2 3 10" xfId="25757" xr:uid="{F64A6195-06D4-4001-9708-63AD483D251D}"/>
    <cellStyle name="Currency 5 2 2 2 3 11" xfId="17316" xr:uid="{354BA601-3494-4AA5-A910-614F87D7F5AC}"/>
    <cellStyle name="Currency 5 2 2 2 3 12" xfId="8875" xr:uid="{66940937-6FB9-4756-B263-37310E4C486F}"/>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2 2 2" xfId="32534" xr:uid="{6E72EA09-A962-4B15-9150-02A60A24BF8D}"/>
    <cellStyle name="Currency 5 2 2 2 3 2 2 2 3" xfId="24093" xr:uid="{B1893A4D-8E63-4AAA-A6ED-9B395260B31B}"/>
    <cellStyle name="Currency 5 2 2 2 3 2 2 2 4" xfId="15652" xr:uid="{A1EAAA25-0229-4385-AA29-4B09FB865716}"/>
    <cellStyle name="Currency 5 2 2 2 3 2 2 3" xfId="28316" xr:uid="{5EC8626B-C4A5-4803-A184-9662B3DB3239}"/>
    <cellStyle name="Currency 5 2 2 2 3 2 2 4" xfId="19875" xr:uid="{22796B4D-AFBE-4A1F-8C97-531287C25E8E}"/>
    <cellStyle name="Currency 5 2 2 2 3 2 2 5" xfId="11434" xr:uid="{3ACAF9FA-BC74-494B-9332-D405CC57FE17}"/>
    <cellStyle name="Currency 5 2 2 2 3 2 3" xfId="5057" xr:uid="{00000000-0005-0000-0000-00009F0B0000}"/>
    <cellStyle name="Currency 5 2 2 2 3 2 3 2" xfId="30389" xr:uid="{1D5271CB-FE84-476E-8632-7EEA95F6F275}"/>
    <cellStyle name="Currency 5 2 2 2 3 2 3 3" xfId="21948" xr:uid="{C043BFEF-0AA3-463F-A4E4-D74D2D875FD9}"/>
    <cellStyle name="Currency 5 2 2 2 3 2 3 4" xfId="13507" xr:uid="{4217B01D-C0B5-4CE1-A179-BAC07836FE09}"/>
    <cellStyle name="Currency 5 2 2 2 3 2 4" xfId="26171" xr:uid="{71B2A7E7-2B0E-4B17-82F3-2AE9E993A53F}"/>
    <cellStyle name="Currency 5 2 2 2 3 2 5" xfId="17730" xr:uid="{A040AA38-272A-449C-9FF5-15D36AF586EF}"/>
    <cellStyle name="Currency 5 2 2 2 3 2 6" xfId="9289" xr:uid="{56E71734-3225-43CC-911B-3DDB3EDDC9D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2 2 2" xfId="32947" xr:uid="{85737B33-4B41-4219-B203-07257AE39C38}"/>
    <cellStyle name="Currency 5 2 2 2 3 3 2 2 3" xfId="24506" xr:uid="{346A82EF-44A9-4C14-93DE-4C62C39E39BB}"/>
    <cellStyle name="Currency 5 2 2 2 3 3 2 2 4" xfId="16065" xr:uid="{C4A377EC-2B56-4E65-9D7B-61DB2CCB4D70}"/>
    <cellStyle name="Currency 5 2 2 2 3 3 2 3" xfId="28729" xr:uid="{95D09548-3980-4FC3-937F-1642C86C8A48}"/>
    <cellStyle name="Currency 5 2 2 2 3 3 2 4" xfId="20288" xr:uid="{35C43F12-CA5E-4C20-9561-93373B9CA7C0}"/>
    <cellStyle name="Currency 5 2 2 2 3 3 2 5" xfId="11847" xr:uid="{0F414B56-6544-4CF2-98F3-70123A76B900}"/>
    <cellStyle name="Currency 5 2 2 2 3 3 3" xfId="5470" xr:uid="{00000000-0005-0000-0000-0000A30B0000}"/>
    <cellStyle name="Currency 5 2 2 2 3 3 3 2" xfId="30802" xr:uid="{50E58444-7B08-4DCA-800F-499BDACB3CC0}"/>
    <cellStyle name="Currency 5 2 2 2 3 3 3 3" xfId="22361" xr:uid="{EE493D3C-89CD-458C-875B-C04F8738E6D6}"/>
    <cellStyle name="Currency 5 2 2 2 3 3 3 4" xfId="13920" xr:uid="{784C039E-3410-4408-9793-B57227A36BA2}"/>
    <cellStyle name="Currency 5 2 2 2 3 3 4" xfId="26584" xr:uid="{885023AF-7219-4283-84A0-29B191442740}"/>
    <cellStyle name="Currency 5 2 2 2 3 3 5" xfId="18143" xr:uid="{929FE9DB-05D4-460B-BC30-DBB42885D7B9}"/>
    <cellStyle name="Currency 5 2 2 2 3 3 6" xfId="9702" xr:uid="{168BE2C9-582E-4E72-9F77-653CA2DC6F88}"/>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2 2 2" xfId="33360" xr:uid="{F33AFB72-2957-4F30-96AB-423EB4D93C4C}"/>
    <cellStyle name="Currency 5 2 2 2 3 4 2 2 3" xfId="24919" xr:uid="{47169B1A-FB85-4A2A-A875-6D4EC771C4C1}"/>
    <cellStyle name="Currency 5 2 2 2 3 4 2 2 4" xfId="16478" xr:uid="{C51A5008-027C-4A67-86E8-2472B230B954}"/>
    <cellStyle name="Currency 5 2 2 2 3 4 2 3" xfId="29142" xr:uid="{63C67DA6-B4EE-47C1-8968-CC86A506F615}"/>
    <cellStyle name="Currency 5 2 2 2 3 4 2 4" xfId="20701" xr:uid="{AFA87B6B-8E51-47AC-BE23-34FD12168E90}"/>
    <cellStyle name="Currency 5 2 2 2 3 4 2 5" xfId="12260" xr:uid="{D0A0C0EC-CE10-4077-856F-B617E580A144}"/>
    <cellStyle name="Currency 5 2 2 2 3 4 3" xfId="5883" xr:uid="{00000000-0005-0000-0000-0000A70B0000}"/>
    <cellStyle name="Currency 5 2 2 2 3 4 3 2" xfId="31215" xr:uid="{4F462E50-B443-4590-9D90-923B712E2429}"/>
    <cellStyle name="Currency 5 2 2 2 3 4 3 3" xfId="22774" xr:uid="{BE0602F4-CDC7-49EE-84F2-304427C8139F}"/>
    <cellStyle name="Currency 5 2 2 2 3 4 3 4" xfId="14333" xr:uid="{2D244112-0232-4A9A-B32B-741FA2946FB4}"/>
    <cellStyle name="Currency 5 2 2 2 3 4 4" xfId="26997" xr:uid="{561EFCD3-1885-4D7A-BAB5-C859CFEE899E}"/>
    <cellStyle name="Currency 5 2 2 2 3 4 5" xfId="18556" xr:uid="{607C91FB-FF81-4F5A-A701-BE54C92F74FA}"/>
    <cellStyle name="Currency 5 2 2 2 3 4 6" xfId="10115" xr:uid="{DFE2A3D5-7ECF-4C07-B63C-BE6291E0A9C3}"/>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2 2 2" xfId="33773" xr:uid="{CC7B8CA5-870D-4494-9255-BED884F89DD4}"/>
    <cellStyle name="Currency 5 2 2 2 3 5 2 2 3" xfId="25332" xr:uid="{37A65BAA-C632-4691-A766-93F0B4A0AB6D}"/>
    <cellStyle name="Currency 5 2 2 2 3 5 2 2 4" xfId="16891" xr:uid="{449209EF-7553-4B59-9AF7-F38A8187B64C}"/>
    <cellStyle name="Currency 5 2 2 2 3 5 2 3" xfId="29555" xr:uid="{9E58CD71-AC8A-466C-9B9C-6A6922B75B0C}"/>
    <cellStyle name="Currency 5 2 2 2 3 5 2 4" xfId="21114" xr:uid="{E8B0358A-E0F5-4BC6-BF25-FE008ED4B80A}"/>
    <cellStyle name="Currency 5 2 2 2 3 5 2 5" xfId="12673" xr:uid="{E791735A-EB69-4FBE-95E0-4AF116E994E9}"/>
    <cellStyle name="Currency 5 2 2 2 3 5 3" xfId="6296" xr:uid="{00000000-0005-0000-0000-0000AB0B0000}"/>
    <cellStyle name="Currency 5 2 2 2 3 5 3 2" xfId="31628" xr:uid="{39E09851-6128-438E-A887-7F77623DA5ED}"/>
    <cellStyle name="Currency 5 2 2 2 3 5 3 3" xfId="23187" xr:uid="{F23CB649-7F8D-4651-B94D-DD50C182474F}"/>
    <cellStyle name="Currency 5 2 2 2 3 5 3 4" xfId="14746" xr:uid="{29CCF142-8E89-403D-B7C7-64CBCEFD0ACE}"/>
    <cellStyle name="Currency 5 2 2 2 3 5 4" xfId="27410" xr:uid="{0E6F78B1-F3C9-467B-81EB-7BA137838E5C}"/>
    <cellStyle name="Currency 5 2 2 2 3 5 5" xfId="18969" xr:uid="{BCB77873-E15E-4294-BA7B-2DBE2446EB68}"/>
    <cellStyle name="Currency 5 2 2 2 3 5 6" xfId="10528" xr:uid="{ED330C66-5706-452C-ABAE-97D5DA4EDE2C}"/>
    <cellStyle name="Currency 5 2 2 2 3 6" xfId="2425" xr:uid="{00000000-0005-0000-0000-0000AC0B0000}"/>
    <cellStyle name="Currency 5 2 2 2 3 6 2" xfId="6709" xr:uid="{00000000-0005-0000-0000-0000AD0B0000}"/>
    <cellStyle name="Currency 5 2 2 2 3 6 2 2" xfId="32041" xr:uid="{672CC3B5-FB51-4580-BE4F-D75EE4BA4DFA}"/>
    <cellStyle name="Currency 5 2 2 2 3 6 2 3" xfId="23600" xr:uid="{712F2DCC-8CDC-4BD9-B844-0C1C10770CE8}"/>
    <cellStyle name="Currency 5 2 2 2 3 6 2 4" xfId="15159" xr:uid="{FABAB467-1863-4C0A-B3F6-BF0F70B87FAA}"/>
    <cellStyle name="Currency 5 2 2 2 3 6 3" xfId="27823" xr:uid="{270E5B0E-C6E4-4ACA-9986-590D0EDBCBAA}"/>
    <cellStyle name="Currency 5 2 2 2 3 6 4" xfId="19382" xr:uid="{97B80DC2-EC44-42E0-A521-942CA165CBBC}"/>
    <cellStyle name="Currency 5 2 2 2 3 6 5" xfId="10941" xr:uid="{D38928D5-4856-4E76-A0AD-250BA37A6B43}"/>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8 2 2" xfId="32358" xr:uid="{31FE7DB1-B1CC-4FCF-AF83-C48EF4F8FA3F}"/>
    <cellStyle name="Currency 5 2 2 2 3 8 2 3" xfId="23917" xr:uid="{B642DF68-92A2-4526-B4F5-0BB170583EF5}"/>
    <cellStyle name="Currency 5 2 2 2 3 8 2 4" xfId="15476" xr:uid="{C5389A71-1BFB-46A4-B1EB-3C33C0814D2A}"/>
    <cellStyle name="Currency 5 2 2 2 3 8 3" xfId="28140" xr:uid="{90B758AC-3C60-4096-B11C-48F46C911DE6}"/>
    <cellStyle name="Currency 5 2 2 2 3 8 4" xfId="19699" xr:uid="{BFF3BB59-DBFE-4547-B54F-3B6B4AE2B48A}"/>
    <cellStyle name="Currency 5 2 2 2 3 8 5" xfId="11258" xr:uid="{EE5F325F-2E90-4AA3-9D9D-74F035A6D4FC}"/>
    <cellStyle name="Currency 5 2 2 2 3 9" xfId="4643" xr:uid="{00000000-0005-0000-0000-0000B10B0000}"/>
    <cellStyle name="Currency 5 2 2 2 3 9 2" xfId="29975" xr:uid="{2062BD10-B512-4B15-9933-E3B2ED172DAB}"/>
    <cellStyle name="Currency 5 2 2 2 3 9 3" xfId="21534" xr:uid="{3DF52D13-A83E-4CDE-BE20-D1B156030C4C}"/>
    <cellStyle name="Currency 5 2 2 2 3 9 4" xfId="13093" xr:uid="{80B46A52-CCC9-452F-9FEA-B9AAC5390713}"/>
    <cellStyle name="Currency 5 2 2 2 4" xfId="723" xr:uid="{00000000-0005-0000-0000-0000B20B0000}"/>
    <cellStyle name="Currency 5 2 2 2 4 2" xfId="2977" xr:uid="{00000000-0005-0000-0000-0000B30B0000}"/>
    <cellStyle name="Currency 5 2 2 2 4 2 2" xfId="7199" xr:uid="{00000000-0005-0000-0000-0000B40B0000}"/>
    <cellStyle name="Currency 5 2 2 2 4 2 2 2" xfId="32531" xr:uid="{6E104239-AF7A-40B5-907E-73CF392628FB}"/>
    <cellStyle name="Currency 5 2 2 2 4 2 2 3" xfId="24090" xr:uid="{5D3C00CA-78EC-4A69-9D6C-4977FC7D0DCE}"/>
    <cellStyle name="Currency 5 2 2 2 4 2 2 4" xfId="15649" xr:uid="{640D684A-8593-4C50-8CF3-FB60E0CC9F43}"/>
    <cellStyle name="Currency 5 2 2 2 4 2 3" xfId="28313" xr:uid="{30518AAE-7B2A-4CE0-AC98-24168A76F416}"/>
    <cellStyle name="Currency 5 2 2 2 4 2 4" xfId="19872" xr:uid="{C3E016DE-0222-4B9C-B9C0-CF55F19745C7}"/>
    <cellStyle name="Currency 5 2 2 2 4 2 5" xfId="11431" xr:uid="{FE663C66-CA05-4CE0-92E7-1E30D871BB52}"/>
    <cellStyle name="Currency 5 2 2 2 4 3" xfId="5054" xr:uid="{00000000-0005-0000-0000-0000B50B0000}"/>
    <cellStyle name="Currency 5 2 2 2 4 3 2" xfId="30386" xr:uid="{A1896E62-C83E-4130-A236-717810C59443}"/>
    <cellStyle name="Currency 5 2 2 2 4 3 3" xfId="21945" xr:uid="{79812972-2DF8-4632-BDB4-1C6BAAE62D79}"/>
    <cellStyle name="Currency 5 2 2 2 4 3 4" xfId="13504" xr:uid="{BB12DFC0-8900-49CE-9F3A-D5F9F478D833}"/>
    <cellStyle name="Currency 5 2 2 2 4 4" xfId="26168" xr:uid="{AD526960-F797-43BE-909D-3DB15BFEB5FD}"/>
    <cellStyle name="Currency 5 2 2 2 4 5" xfId="17727" xr:uid="{536F8190-B5EB-4949-978F-AD05A0A0FF6A}"/>
    <cellStyle name="Currency 5 2 2 2 4 6" xfId="9286" xr:uid="{B9BC8FB1-2402-4689-B8A2-3BDA0268405A}"/>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2 2 2" xfId="32944" xr:uid="{07212A7E-4D13-4D02-8F31-E86C98F5A3EC}"/>
    <cellStyle name="Currency 5 2 2 2 5 2 2 3" xfId="24503" xr:uid="{0272183E-1404-412F-A93C-DE8542E44A77}"/>
    <cellStyle name="Currency 5 2 2 2 5 2 2 4" xfId="16062" xr:uid="{137DCA34-2E9F-4585-A688-D67A8FC5FD90}"/>
    <cellStyle name="Currency 5 2 2 2 5 2 3" xfId="28726" xr:uid="{1E87069F-CC38-4DBB-AA3B-1C3154343F63}"/>
    <cellStyle name="Currency 5 2 2 2 5 2 4" xfId="20285" xr:uid="{66D62A48-A3C6-4CC3-9862-5C5802AD2DD6}"/>
    <cellStyle name="Currency 5 2 2 2 5 2 5" xfId="11844" xr:uid="{2D2D236A-E253-4C1F-B4C2-D5BB16032E96}"/>
    <cellStyle name="Currency 5 2 2 2 5 3" xfId="5467" xr:uid="{00000000-0005-0000-0000-0000B90B0000}"/>
    <cellStyle name="Currency 5 2 2 2 5 3 2" xfId="30799" xr:uid="{84546D2A-3256-4A6C-8640-65C947626908}"/>
    <cellStyle name="Currency 5 2 2 2 5 3 3" xfId="22358" xr:uid="{A3EB1EAC-9ACE-4F42-8814-25CC33FEDD95}"/>
    <cellStyle name="Currency 5 2 2 2 5 3 4" xfId="13917" xr:uid="{4545BBD6-5002-4BDF-97C3-31B3C554EE28}"/>
    <cellStyle name="Currency 5 2 2 2 5 4" xfId="26581" xr:uid="{D8854965-969E-45CD-9471-7BB636BD0B50}"/>
    <cellStyle name="Currency 5 2 2 2 5 5" xfId="18140" xr:uid="{0347B716-55EA-4623-B13A-B53CDB6191A4}"/>
    <cellStyle name="Currency 5 2 2 2 5 6" xfId="9699" xr:uid="{9E9ECB11-03EE-47EB-9F46-46CA13F9F8B6}"/>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2 2 2" xfId="33357" xr:uid="{FD2FFCEA-2328-4E1A-9D92-DF301DBBFBEC}"/>
    <cellStyle name="Currency 5 2 2 2 6 2 2 3" xfId="24916" xr:uid="{B06A0EAB-1C8B-4309-88D5-860BEC4AB890}"/>
    <cellStyle name="Currency 5 2 2 2 6 2 2 4" xfId="16475" xr:uid="{9827FC58-2DA0-40DC-B1A2-DB5CC122E777}"/>
    <cellStyle name="Currency 5 2 2 2 6 2 3" xfId="29139" xr:uid="{473F5F0F-C369-4501-98B0-8D7F6280BDE9}"/>
    <cellStyle name="Currency 5 2 2 2 6 2 4" xfId="20698" xr:uid="{46DC776F-52FC-4B6C-9D49-D23B49444FBE}"/>
    <cellStyle name="Currency 5 2 2 2 6 2 5" xfId="12257" xr:uid="{06D408B5-D42C-4BCD-85EE-5B8F28C06566}"/>
    <cellStyle name="Currency 5 2 2 2 6 3" xfId="5880" xr:uid="{00000000-0005-0000-0000-0000BD0B0000}"/>
    <cellStyle name="Currency 5 2 2 2 6 3 2" xfId="31212" xr:uid="{CAE86B6E-E167-4D9F-9252-696145F8CAA6}"/>
    <cellStyle name="Currency 5 2 2 2 6 3 3" xfId="22771" xr:uid="{F6302C5B-B684-46CF-B9ED-D34B156CDF16}"/>
    <cellStyle name="Currency 5 2 2 2 6 3 4" xfId="14330" xr:uid="{8AB35D05-A38F-42AA-A20D-2DD6ED24BBD3}"/>
    <cellStyle name="Currency 5 2 2 2 6 4" xfId="26994" xr:uid="{DF48E81F-30D6-43BF-A34B-5F9BBA9A83FB}"/>
    <cellStyle name="Currency 5 2 2 2 6 5" xfId="18553" xr:uid="{70304DAC-209B-49FC-A205-1B56A9C83A64}"/>
    <cellStyle name="Currency 5 2 2 2 6 6" xfId="10112" xr:uid="{B9278116-82E1-4123-9549-CB1EE5D66CE1}"/>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2 2 2" xfId="33770" xr:uid="{E11DA268-A208-4BD7-B21F-D15339935AA7}"/>
    <cellStyle name="Currency 5 2 2 2 7 2 2 3" xfId="25329" xr:uid="{9F9C5C07-8740-4026-B491-2D8AFA854D9B}"/>
    <cellStyle name="Currency 5 2 2 2 7 2 2 4" xfId="16888" xr:uid="{AF304A83-F161-472C-B2DE-6A44FAF2C314}"/>
    <cellStyle name="Currency 5 2 2 2 7 2 3" xfId="29552" xr:uid="{BF05FF7A-95F3-4D2F-97C2-3EA694C040D9}"/>
    <cellStyle name="Currency 5 2 2 2 7 2 4" xfId="21111" xr:uid="{AF99E13D-48C0-483E-B00B-67FCA6409634}"/>
    <cellStyle name="Currency 5 2 2 2 7 2 5" xfId="12670" xr:uid="{4F85BDE2-3457-447B-AAAC-10CD6E914678}"/>
    <cellStyle name="Currency 5 2 2 2 7 3" xfId="6293" xr:uid="{00000000-0005-0000-0000-0000C10B0000}"/>
    <cellStyle name="Currency 5 2 2 2 7 3 2" xfId="31625" xr:uid="{DF51A835-45E0-4029-B381-F794BAFB5E3D}"/>
    <cellStyle name="Currency 5 2 2 2 7 3 3" xfId="23184" xr:uid="{9B540362-8BCC-42D0-BD3C-CACA95204205}"/>
    <cellStyle name="Currency 5 2 2 2 7 3 4" xfId="14743" xr:uid="{05DDADFC-8758-4BD5-B504-A041C64F19BF}"/>
    <cellStyle name="Currency 5 2 2 2 7 4" xfId="27407" xr:uid="{9282F36B-A3C7-4692-AF36-343641CB7615}"/>
    <cellStyle name="Currency 5 2 2 2 7 5" xfId="18966" xr:uid="{173F003E-FD95-4751-8CAB-76F01C4403BF}"/>
    <cellStyle name="Currency 5 2 2 2 7 6" xfId="10525" xr:uid="{0AE61C8C-1C82-42F0-A34A-81FCAEECB864}"/>
    <cellStyle name="Currency 5 2 2 2 8" xfId="2422" xr:uid="{00000000-0005-0000-0000-0000C20B0000}"/>
    <cellStyle name="Currency 5 2 2 2 8 2" xfId="6706" xr:uid="{00000000-0005-0000-0000-0000C30B0000}"/>
    <cellStyle name="Currency 5 2 2 2 8 2 2" xfId="32038" xr:uid="{FDCC2376-2150-4DAA-9FED-9D859BA8C5B0}"/>
    <cellStyle name="Currency 5 2 2 2 8 2 3" xfId="23597" xr:uid="{F24DF822-D44B-4CEC-82E4-ACD329A22C9D}"/>
    <cellStyle name="Currency 5 2 2 2 8 2 4" xfId="15156" xr:uid="{B2EC264F-BD1E-4FA6-AB51-D2AB3D47D924}"/>
    <cellStyle name="Currency 5 2 2 2 8 3" xfId="27820" xr:uid="{567BFC18-7CF9-4B0D-87BB-DE57E9C846AD}"/>
    <cellStyle name="Currency 5 2 2 2 8 4" xfId="19379" xr:uid="{841C134B-96F0-4231-809B-2D456C74C3EC}"/>
    <cellStyle name="Currency 5 2 2 2 8 5" xfId="10938" xr:uid="{1A7F9FFC-FFD5-4404-9083-9551E147A81A}"/>
    <cellStyle name="Currency 5 2 2 2 9" xfId="2719" xr:uid="{00000000-0005-0000-0000-0000C40B0000}"/>
    <cellStyle name="Currency 5 2 2 3" xfId="200" xr:uid="{00000000-0005-0000-0000-0000C50B0000}"/>
    <cellStyle name="Currency 5 2 2 3 10" xfId="4644" xr:uid="{00000000-0005-0000-0000-0000C60B0000}"/>
    <cellStyle name="Currency 5 2 2 3 10 2" xfId="29976" xr:uid="{0041C44C-98F8-4845-ACC9-99786F397712}"/>
    <cellStyle name="Currency 5 2 2 3 10 3" xfId="21535" xr:uid="{81279E86-5F41-4F00-86B0-2963C09B90D5}"/>
    <cellStyle name="Currency 5 2 2 3 10 4" xfId="13094" xr:uid="{C5B59F7F-9361-4874-9699-B764BF4DD1CA}"/>
    <cellStyle name="Currency 5 2 2 3 11" xfId="25758" xr:uid="{3C10C730-854D-4C90-9B42-81A26542F581}"/>
    <cellStyle name="Currency 5 2 2 3 12" xfId="17317" xr:uid="{4C3127F2-E4E1-422A-B0D7-2651E8C313B4}"/>
    <cellStyle name="Currency 5 2 2 3 13" xfId="8876" xr:uid="{CB70DE0A-3836-4E55-840C-061EA74886DD}"/>
    <cellStyle name="Currency 5 2 2 3 2" xfId="201" xr:uid="{00000000-0005-0000-0000-0000C70B0000}"/>
    <cellStyle name="Currency 5 2 2 3 2 10" xfId="25759" xr:uid="{504F444C-A70F-49FF-8855-6CB0BC9E5F60}"/>
    <cellStyle name="Currency 5 2 2 3 2 11" xfId="17318" xr:uid="{7BCF34EC-BEF0-4D98-B96F-CFA96E542316}"/>
    <cellStyle name="Currency 5 2 2 3 2 12" xfId="8877" xr:uid="{674F6E3F-AC2E-4CA6-B201-43E7CC613A47}"/>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2 2 2" xfId="32536" xr:uid="{6E50411D-B665-4626-9182-727A3E5E2BF2}"/>
    <cellStyle name="Currency 5 2 2 3 2 2 2 2 3" xfId="24095" xr:uid="{AFFE1F9A-0E56-4602-A7A1-E0AFAE08DA40}"/>
    <cellStyle name="Currency 5 2 2 3 2 2 2 2 4" xfId="15654" xr:uid="{3CF08DF2-C60E-48F4-A4D4-FB1611D35AA5}"/>
    <cellStyle name="Currency 5 2 2 3 2 2 2 3" xfId="28318" xr:uid="{6F11BB30-33D1-4C54-A05E-C755BC2F1910}"/>
    <cellStyle name="Currency 5 2 2 3 2 2 2 4" xfId="19877" xr:uid="{7299D2FF-1B3D-4408-A497-B6EB14A45FED}"/>
    <cellStyle name="Currency 5 2 2 3 2 2 2 5" xfId="11436" xr:uid="{49B55BA6-563A-4C0D-8D6F-8C9E8C4A8607}"/>
    <cellStyle name="Currency 5 2 2 3 2 2 3" xfId="5059" xr:uid="{00000000-0005-0000-0000-0000CB0B0000}"/>
    <cellStyle name="Currency 5 2 2 3 2 2 3 2" xfId="30391" xr:uid="{CAE590C0-02BE-4D71-957D-6CD5FA4A53C7}"/>
    <cellStyle name="Currency 5 2 2 3 2 2 3 3" xfId="21950" xr:uid="{65E3A263-4C2B-4938-A9F5-224B8AE69876}"/>
    <cellStyle name="Currency 5 2 2 3 2 2 3 4" xfId="13509" xr:uid="{98753973-0E64-4F26-A2F5-B648884F3938}"/>
    <cellStyle name="Currency 5 2 2 3 2 2 4" xfId="26173" xr:uid="{443576BF-49C4-4B56-9416-2661FE41FE61}"/>
    <cellStyle name="Currency 5 2 2 3 2 2 5" xfId="17732" xr:uid="{EFAE6BE2-9C9B-4612-A89A-9D3CF53D8346}"/>
    <cellStyle name="Currency 5 2 2 3 2 2 6" xfId="9291" xr:uid="{A670E799-D0AE-4CFC-93EF-796903013D4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2 2 2" xfId="32949" xr:uid="{DEDFEA20-97B3-485A-B06D-B93DE3413E47}"/>
    <cellStyle name="Currency 5 2 2 3 2 3 2 2 3" xfId="24508" xr:uid="{B805DE68-7A06-42DF-982B-B82B99B7154F}"/>
    <cellStyle name="Currency 5 2 2 3 2 3 2 2 4" xfId="16067" xr:uid="{8B779F1E-610F-4A09-BCF7-C00F35518336}"/>
    <cellStyle name="Currency 5 2 2 3 2 3 2 3" xfId="28731" xr:uid="{E4AA1945-0C4B-49B7-9443-E1F20D225BBE}"/>
    <cellStyle name="Currency 5 2 2 3 2 3 2 4" xfId="20290" xr:uid="{C7E27F0C-5CD8-408B-9C53-60056176ACAE}"/>
    <cellStyle name="Currency 5 2 2 3 2 3 2 5" xfId="11849" xr:uid="{6295B463-A2AC-4ED1-A027-5135007399ED}"/>
    <cellStyle name="Currency 5 2 2 3 2 3 3" xfId="5472" xr:uid="{00000000-0005-0000-0000-0000CF0B0000}"/>
    <cellStyle name="Currency 5 2 2 3 2 3 3 2" xfId="30804" xr:uid="{9016B85D-56C9-4B73-87DA-957031D171C2}"/>
    <cellStyle name="Currency 5 2 2 3 2 3 3 3" xfId="22363" xr:uid="{F22F4286-B9D2-4235-8CDA-15A02703218B}"/>
    <cellStyle name="Currency 5 2 2 3 2 3 3 4" xfId="13922" xr:uid="{A86F688B-B549-4D6B-AD49-0151B5CDE327}"/>
    <cellStyle name="Currency 5 2 2 3 2 3 4" xfId="26586" xr:uid="{2E4366EE-DD11-4395-83CE-1D3E925F389B}"/>
    <cellStyle name="Currency 5 2 2 3 2 3 5" xfId="18145" xr:uid="{2273847A-6256-4354-81D2-894621E0DA14}"/>
    <cellStyle name="Currency 5 2 2 3 2 3 6" xfId="9704" xr:uid="{3AA5E6F6-BD93-468C-85DB-3C822E5E7692}"/>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2 2 2" xfId="33362" xr:uid="{B7895CB8-B500-43CC-9345-BB436418D3FF}"/>
    <cellStyle name="Currency 5 2 2 3 2 4 2 2 3" xfId="24921" xr:uid="{9301C1A8-A5B2-44C4-8F7A-CC69E9561359}"/>
    <cellStyle name="Currency 5 2 2 3 2 4 2 2 4" xfId="16480" xr:uid="{DA9E5D48-D935-4FF7-B42A-C59F925CCA8D}"/>
    <cellStyle name="Currency 5 2 2 3 2 4 2 3" xfId="29144" xr:uid="{74151A06-DB2A-4FD8-B9D7-A178D6399BDF}"/>
    <cellStyle name="Currency 5 2 2 3 2 4 2 4" xfId="20703" xr:uid="{7ADDAFBC-B947-4698-9074-0D523E46B06E}"/>
    <cellStyle name="Currency 5 2 2 3 2 4 2 5" xfId="12262" xr:uid="{927D426A-BE37-4F19-B5B6-361AFCCE399E}"/>
    <cellStyle name="Currency 5 2 2 3 2 4 3" xfId="5885" xr:uid="{00000000-0005-0000-0000-0000D30B0000}"/>
    <cellStyle name="Currency 5 2 2 3 2 4 3 2" xfId="31217" xr:uid="{2D16B331-BE28-47BE-9EFB-9C3B392D237A}"/>
    <cellStyle name="Currency 5 2 2 3 2 4 3 3" xfId="22776" xr:uid="{9F434FF4-68FE-4BA8-BF36-683A44D27D7D}"/>
    <cellStyle name="Currency 5 2 2 3 2 4 3 4" xfId="14335" xr:uid="{59E705FC-5092-4408-B649-0CCDF0C8CE31}"/>
    <cellStyle name="Currency 5 2 2 3 2 4 4" xfId="26999" xr:uid="{90EDD4F5-1439-4574-BE89-FCF38DFDECF4}"/>
    <cellStyle name="Currency 5 2 2 3 2 4 5" xfId="18558" xr:uid="{681BA36D-A992-4D9F-A72E-77BD97DE700A}"/>
    <cellStyle name="Currency 5 2 2 3 2 4 6" xfId="10117" xr:uid="{241FF311-7927-40A7-8964-D893B52D5D9B}"/>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2 2 2" xfId="33775" xr:uid="{A20ED42B-75A8-46A8-B4B5-F51CC48EDAC9}"/>
    <cellStyle name="Currency 5 2 2 3 2 5 2 2 3" xfId="25334" xr:uid="{5522AA40-8162-4D62-985B-1FAB65946EC4}"/>
    <cellStyle name="Currency 5 2 2 3 2 5 2 2 4" xfId="16893" xr:uid="{5A231EF1-97C7-4C52-82A0-AE628B8B7701}"/>
    <cellStyle name="Currency 5 2 2 3 2 5 2 3" xfId="29557" xr:uid="{E2BFBD69-4B0D-4D5B-9889-CDAAEA5CBE4F}"/>
    <cellStyle name="Currency 5 2 2 3 2 5 2 4" xfId="21116" xr:uid="{4C0958FC-3DA6-4F21-BBE5-B9A7CDABEBAB}"/>
    <cellStyle name="Currency 5 2 2 3 2 5 2 5" xfId="12675" xr:uid="{A5296B95-60CE-48CC-B2BC-4E8F7E3C8A71}"/>
    <cellStyle name="Currency 5 2 2 3 2 5 3" xfId="6298" xr:uid="{00000000-0005-0000-0000-0000D70B0000}"/>
    <cellStyle name="Currency 5 2 2 3 2 5 3 2" xfId="31630" xr:uid="{67D8CA42-06A7-4980-87AD-121D491375F1}"/>
    <cellStyle name="Currency 5 2 2 3 2 5 3 3" xfId="23189" xr:uid="{88A148A1-11D8-4560-91C9-71DDF0F2C3E2}"/>
    <cellStyle name="Currency 5 2 2 3 2 5 3 4" xfId="14748" xr:uid="{89EFA23B-D653-4CA6-A9FA-E92DF4A4D197}"/>
    <cellStyle name="Currency 5 2 2 3 2 5 4" xfId="27412" xr:uid="{0C258EF1-C2D5-458A-B306-048F7C78B40A}"/>
    <cellStyle name="Currency 5 2 2 3 2 5 5" xfId="18971" xr:uid="{C46F76F6-9E5E-4E84-B48D-ABD318EB8DA8}"/>
    <cellStyle name="Currency 5 2 2 3 2 5 6" xfId="10530" xr:uid="{027E59AC-58CB-42AE-AA3F-84BDDF2D4F7F}"/>
    <cellStyle name="Currency 5 2 2 3 2 6" xfId="2427" xr:uid="{00000000-0005-0000-0000-0000D80B0000}"/>
    <cellStyle name="Currency 5 2 2 3 2 6 2" xfId="6711" xr:uid="{00000000-0005-0000-0000-0000D90B0000}"/>
    <cellStyle name="Currency 5 2 2 3 2 6 2 2" xfId="32043" xr:uid="{D106BC72-5A10-426E-B112-828DF1E9BBCD}"/>
    <cellStyle name="Currency 5 2 2 3 2 6 2 3" xfId="23602" xr:uid="{087E203C-B1C3-4056-85A1-7E50DAB0974E}"/>
    <cellStyle name="Currency 5 2 2 3 2 6 2 4" xfId="15161" xr:uid="{2A134A21-45AE-4054-A980-E278741EF9C8}"/>
    <cellStyle name="Currency 5 2 2 3 2 6 3" xfId="27825" xr:uid="{E7B0AFF1-0ECE-4D9D-B4F2-B2A7E321906D}"/>
    <cellStyle name="Currency 5 2 2 3 2 6 4" xfId="19384" xr:uid="{63027F40-659E-407A-8C12-E7F88906509E}"/>
    <cellStyle name="Currency 5 2 2 3 2 6 5" xfId="10943" xr:uid="{7BE3DA06-46B5-49F4-B1E6-6AEACABBC15E}"/>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8 2 2" xfId="32360" xr:uid="{6AA0E259-C8EC-4AA6-9024-179B9C61C9D3}"/>
    <cellStyle name="Currency 5 2 2 3 2 8 2 3" xfId="23919" xr:uid="{ED45E960-CB79-4C8A-85EF-A009E14FEEFB}"/>
    <cellStyle name="Currency 5 2 2 3 2 8 2 4" xfId="15478" xr:uid="{49615DAD-655A-4D5C-BE96-0D1C1DEC3F76}"/>
    <cellStyle name="Currency 5 2 2 3 2 8 3" xfId="28142" xr:uid="{1C12E7E4-80D2-4BE6-97B2-8114129FAA87}"/>
    <cellStyle name="Currency 5 2 2 3 2 8 4" xfId="19701" xr:uid="{68353C73-8C30-4511-A0C3-A3CBBCEE62A1}"/>
    <cellStyle name="Currency 5 2 2 3 2 8 5" xfId="11260" xr:uid="{E152D1F7-ABC6-4504-95DB-01BD06F935BB}"/>
    <cellStyle name="Currency 5 2 2 3 2 9" xfId="4645" xr:uid="{00000000-0005-0000-0000-0000DD0B0000}"/>
    <cellStyle name="Currency 5 2 2 3 2 9 2" xfId="29977" xr:uid="{B98D1BB2-15A9-4BEA-B195-1DF92998D2FC}"/>
    <cellStyle name="Currency 5 2 2 3 2 9 3" xfId="21536" xr:uid="{06A89C72-AE68-48CE-96D5-C4F8A007BEA9}"/>
    <cellStyle name="Currency 5 2 2 3 2 9 4" xfId="13095" xr:uid="{AAA98C0C-AA98-4792-94A5-2C9D787CE904}"/>
    <cellStyle name="Currency 5 2 2 3 3" xfId="727" xr:uid="{00000000-0005-0000-0000-0000DE0B0000}"/>
    <cellStyle name="Currency 5 2 2 3 3 2" xfId="2981" xr:uid="{00000000-0005-0000-0000-0000DF0B0000}"/>
    <cellStyle name="Currency 5 2 2 3 3 2 2" xfId="7203" xr:uid="{00000000-0005-0000-0000-0000E00B0000}"/>
    <cellStyle name="Currency 5 2 2 3 3 2 2 2" xfId="32535" xr:uid="{841EC0B0-FFB3-4A8F-96E9-278CDF612755}"/>
    <cellStyle name="Currency 5 2 2 3 3 2 2 3" xfId="24094" xr:uid="{B51391C9-F78E-4310-A255-BBE4F0105FAA}"/>
    <cellStyle name="Currency 5 2 2 3 3 2 2 4" xfId="15653" xr:uid="{9ABD7BFA-B909-46DC-8DBA-11CCA89BC0CB}"/>
    <cellStyle name="Currency 5 2 2 3 3 2 3" xfId="28317" xr:uid="{990C2CE9-E064-4A65-A7C4-7815C3A00D40}"/>
    <cellStyle name="Currency 5 2 2 3 3 2 4" xfId="19876" xr:uid="{A444F169-D1AF-429E-AD32-DB77F5E3B2E9}"/>
    <cellStyle name="Currency 5 2 2 3 3 2 5" xfId="11435" xr:uid="{33EB3E49-DA79-4E9A-B178-88B850C55257}"/>
    <cellStyle name="Currency 5 2 2 3 3 3" xfId="5058" xr:uid="{00000000-0005-0000-0000-0000E10B0000}"/>
    <cellStyle name="Currency 5 2 2 3 3 3 2" xfId="30390" xr:uid="{18FABE11-0D25-4A0F-ABB5-9FFA8256910C}"/>
    <cellStyle name="Currency 5 2 2 3 3 3 3" xfId="21949" xr:uid="{7852DE38-92C5-4E24-8B8F-27C5362CA289}"/>
    <cellStyle name="Currency 5 2 2 3 3 3 4" xfId="13508" xr:uid="{D3EBC143-36F5-49B9-8AE2-363A6B107726}"/>
    <cellStyle name="Currency 5 2 2 3 3 4" xfId="26172" xr:uid="{7599A714-8277-4D29-8A5C-C849D539C64C}"/>
    <cellStyle name="Currency 5 2 2 3 3 5" xfId="17731" xr:uid="{A56E7D0F-D1A2-4003-B400-7315AF76466B}"/>
    <cellStyle name="Currency 5 2 2 3 3 6" xfId="9290" xr:uid="{DE8C10A8-CA42-42CE-8178-CE3461E71AAE}"/>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2 2 2" xfId="32948" xr:uid="{DEE2FD2A-FF2B-4404-9082-E3AFA1D16E6C}"/>
    <cellStyle name="Currency 5 2 2 3 4 2 2 3" xfId="24507" xr:uid="{E81EA6BB-4F73-4CF8-B240-19E70FA22985}"/>
    <cellStyle name="Currency 5 2 2 3 4 2 2 4" xfId="16066" xr:uid="{60824D81-39CE-42C9-A003-D1D0371A09E8}"/>
    <cellStyle name="Currency 5 2 2 3 4 2 3" xfId="28730" xr:uid="{FB38F660-7AB1-45CD-8774-5BBA887C6A2F}"/>
    <cellStyle name="Currency 5 2 2 3 4 2 4" xfId="20289" xr:uid="{5A0AF910-0F5E-4A98-A8BB-6BDE3DEEBEF6}"/>
    <cellStyle name="Currency 5 2 2 3 4 2 5" xfId="11848" xr:uid="{6412A3ED-BE0E-45EC-B017-7F19B3A64915}"/>
    <cellStyle name="Currency 5 2 2 3 4 3" xfId="5471" xr:uid="{00000000-0005-0000-0000-0000E50B0000}"/>
    <cellStyle name="Currency 5 2 2 3 4 3 2" xfId="30803" xr:uid="{BF43DB0E-C96B-4F2A-8201-C232BAAFA4E6}"/>
    <cellStyle name="Currency 5 2 2 3 4 3 3" xfId="22362" xr:uid="{D9AC0FE5-F1F5-4463-9FB7-02A22CB623A8}"/>
    <cellStyle name="Currency 5 2 2 3 4 3 4" xfId="13921" xr:uid="{D775BB5F-B603-4DB9-9DE3-A6FDF4E82087}"/>
    <cellStyle name="Currency 5 2 2 3 4 4" xfId="26585" xr:uid="{854EE4B2-3D75-4FB3-A33B-6BCF98788AD6}"/>
    <cellStyle name="Currency 5 2 2 3 4 5" xfId="18144" xr:uid="{A00AE2A0-CA2C-4748-B543-937D9ADAD820}"/>
    <cellStyle name="Currency 5 2 2 3 4 6" xfId="9703" xr:uid="{85EF27CC-0D83-4F4E-AA79-519B43B449AA}"/>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2 2 2" xfId="33361" xr:uid="{7B930D10-9A35-4BAF-9F1D-6BA57E417059}"/>
    <cellStyle name="Currency 5 2 2 3 5 2 2 3" xfId="24920" xr:uid="{2BD1FF10-BAB5-4BF7-A95A-34B7144A9179}"/>
    <cellStyle name="Currency 5 2 2 3 5 2 2 4" xfId="16479" xr:uid="{72F9FEBE-7506-4542-8544-1EAB67AE53FD}"/>
    <cellStyle name="Currency 5 2 2 3 5 2 3" xfId="29143" xr:uid="{E80C07EE-7881-426E-B5CF-A11217778292}"/>
    <cellStyle name="Currency 5 2 2 3 5 2 4" xfId="20702" xr:uid="{D6A8586D-C820-4B10-B613-19AD2A5DCB3C}"/>
    <cellStyle name="Currency 5 2 2 3 5 2 5" xfId="12261" xr:uid="{2899BC89-6EFB-4D25-8B3D-3B000EC7B6A0}"/>
    <cellStyle name="Currency 5 2 2 3 5 3" xfId="5884" xr:uid="{00000000-0005-0000-0000-0000E90B0000}"/>
    <cellStyle name="Currency 5 2 2 3 5 3 2" xfId="31216" xr:uid="{A37C9E18-7693-4963-9BD8-5A1FA888A48A}"/>
    <cellStyle name="Currency 5 2 2 3 5 3 3" xfId="22775" xr:uid="{9789BF89-F8CC-46EC-89C8-56CC552ACA81}"/>
    <cellStyle name="Currency 5 2 2 3 5 3 4" xfId="14334" xr:uid="{7CC5948D-00B0-490F-94C5-57E0A7ED7702}"/>
    <cellStyle name="Currency 5 2 2 3 5 4" xfId="26998" xr:uid="{52671EB0-5C19-49ED-A488-A7751E92EC4D}"/>
    <cellStyle name="Currency 5 2 2 3 5 5" xfId="18557" xr:uid="{9B6729B8-86D5-4ADF-9A96-A2E60D4303B0}"/>
    <cellStyle name="Currency 5 2 2 3 5 6" xfId="10116" xr:uid="{206D8518-62CD-44B8-ACF6-2BC39D66A5E6}"/>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2 2 2" xfId="33774" xr:uid="{96849AF4-4A2E-465F-8516-552BD0B3573A}"/>
    <cellStyle name="Currency 5 2 2 3 6 2 2 3" xfId="25333" xr:uid="{DF7C16A3-A1DC-4F36-9481-FAB9546F236A}"/>
    <cellStyle name="Currency 5 2 2 3 6 2 2 4" xfId="16892" xr:uid="{77E16212-18EB-4F86-9B41-CCEF43630865}"/>
    <cellStyle name="Currency 5 2 2 3 6 2 3" xfId="29556" xr:uid="{95F95789-CDF3-4717-A946-3BE6A491F371}"/>
    <cellStyle name="Currency 5 2 2 3 6 2 4" xfId="21115" xr:uid="{1AF05512-A998-404C-8C17-41E9518D937B}"/>
    <cellStyle name="Currency 5 2 2 3 6 2 5" xfId="12674" xr:uid="{86C314A5-9266-4540-B629-6D13DE73E820}"/>
    <cellStyle name="Currency 5 2 2 3 6 3" xfId="6297" xr:uid="{00000000-0005-0000-0000-0000ED0B0000}"/>
    <cellStyle name="Currency 5 2 2 3 6 3 2" xfId="31629" xr:uid="{1D4E5B93-BCE1-4047-B896-4EB927DD3537}"/>
    <cellStyle name="Currency 5 2 2 3 6 3 3" xfId="23188" xr:uid="{A46D0085-F4FC-4C7A-8B3F-F33078ECF539}"/>
    <cellStyle name="Currency 5 2 2 3 6 3 4" xfId="14747" xr:uid="{81E74273-5219-4E1F-B95F-71B9481BD79E}"/>
    <cellStyle name="Currency 5 2 2 3 6 4" xfId="27411" xr:uid="{FF3A7F38-8044-4045-B540-FD73853900B7}"/>
    <cellStyle name="Currency 5 2 2 3 6 5" xfId="18970" xr:uid="{F1A2A186-6A46-46FC-B525-4DF7421D4892}"/>
    <cellStyle name="Currency 5 2 2 3 6 6" xfId="10529" xr:uid="{EAB3AE88-1C85-454E-91E6-217DC33C532A}"/>
    <cellStyle name="Currency 5 2 2 3 7" xfId="2426" xr:uid="{00000000-0005-0000-0000-0000EE0B0000}"/>
    <cellStyle name="Currency 5 2 2 3 7 2" xfId="6710" xr:uid="{00000000-0005-0000-0000-0000EF0B0000}"/>
    <cellStyle name="Currency 5 2 2 3 7 2 2" xfId="32042" xr:uid="{2F09AC4F-F46D-4289-9518-50F664B20D7F}"/>
    <cellStyle name="Currency 5 2 2 3 7 2 3" xfId="23601" xr:uid="{FA398926-F39C-4ECA-987E-357F0705636A}"/>
    <cellStyle name="Currency 5 2 2 3 7 2 4" xfId="15160" xr:uid="{2A0BEEDD-E44C-466F-B7C0-514DA5451034}"/>
    <cellStyle name="Currency 5 2 2 3 7 3" xfId="27824" xr:uid="{BAC46242-CD95-4AA7-96F4-023967C9D27A}"/>
    <cellStyle name="Currency 5 2 2 3 7 4" xfId="19383" xr:uid="{9E8A2180-A08E-446C-8C13-C97633E7CD25}"/>
    <cellStyle name="Currency 5 2 2 3 7 5" xfId="10942" xr:uid="{1496101D-612A-41EF-A329-EA493E266A25}"/>
    <cellStyle name="Currency 5 2 2 3 8" xfId="2723" xr:uid="{00000000-0005-0000-0000-0000F00B0000}"/>
    <cellStyle name="Currency 5 2 2 3 9" xfId="2804" xr:uid="{00000000-0005-0000-0000-0000F10B0000}"/>
    <cellStyle name="Currency 5 2 2 3 9 2" xfId="7027" xr:uid="{00000000-0005-0000-0000-0000F20B0000}"/>
    <cellStyle name="Currency 5 2 2 3 9 2 2" xfId="32359" xr:uid="{2913ABF3-281D-44CC-9CD8-552CB2FC8ED6}"/>
    <cellStyle name="Currency 5 2 2 3 9 2 3" xfId="23918" xr:uid="{DDBD0965-2B83-4D51-872A-074FB0F79FE5}"/>
    <cellStyle name="Currency 5 2 2 3 9 2 4" xfId="15477" xr:uid="{12250644-5325-47C7-BA7E-E635EC2FD929}"/>
    <cellStyle name="Currency 5 2 2 3 9 3" xfId="28141" xr:uid="{34359046-6BBC-4D33-BD1B-594CC4DC6578}"/>
    <cellStyle name="Currency 5 2 2 3 9 4" xfId="19700" xr:uid="{16C2CB33-6386-4165-92CD-2CA73152623A}"/>
    <cellStyle name="Currency 5 2 2 3 9 5" xfId="11259" xr:uid="{4A73ABA9-04DC-471E-8108-83F7708AAB05}"/>
    <cellStyle name="Currency 5 2 2 4" xfId="202" xr:uid="{00000000-0005-0000-0000-0000F30B0000}"/>
    <cellStyle name="Currency 5 2 2 4 10" xfId="25760" xr:uid="{ACC238E4-6339-4C2A-8900-7A2D82F05A5A}"/>
    <cellStyle name="Currency 5 2 2 4 11" xfId="17319" xr:uid="{9C9B1B6C-4052-44ED-8597-6650835C7056}"/>
    <cellStyle name="Currency 5 2 2 4 12" xfId="8878" xr:uid="{CEE63E37-1A6E-40EB-A4FB-48016D6B5583}"/>
    <cellStyle name="Currency 5 2 2 4 2" xfId="729" xr:uid="{00000000-0005-0000-0000-0000F40B0000}"/>
    <cellStyle name="Currency 5 2 2 4 2 2" xfId="2983" xr:uid="{00000000-0005-0000-0000-0000F50B0000}"/>
    <cellStyle name="Currency 5 2 2 4 2 2 2" xfId="7205" xr:uid="{00000000-0005-0000-0000-0000F60B0000}"/>
    <cellStyle name="Currency 5 2 2 4 2 2 2 2" xfId="32537" xr:uid="{1F657E90-B6D5-498A-9E81-B2CC42E83905}"/>
    <cellStyle name="Currency 5 2 2 4 2 2 2 3" xfId="24096" xr:uid="{2202572C-BE0F-4582-B7D2-2A95E11DB4C7}"/>
    <cellStyle name="Currency 5 2 2 4 2 2 2 4" xfId="15655" xr:uid="{9ECEDF41-4C4D-4821-9093-E742B3C2F299}"/>
    <cellStyle name="Currency 5 2 2 4 2 2 3" xfId="28319" xr:uid="{0A3F096F-5ABD-40FC-AC6E-EFA68C114EAE}"/>
    <cellStyle name="Currency 5 2 2 4 2 2 4" xfId="19878" xr:uid="{38435DBA-7048-4B50-BC31-438EF427DFC7}"/>
    <cellStyle name="Currency 5 2 2 4 2 2 5" xfId="11437" xr:uid="{D9976A55-FB9B-485B-814C-1866883BF3E3}"/>
    <cellStyle name="Currency 5 2 2 4 2 3" xfId="5060" xr:uid="{00000000-0005-0000-0000-0000F70B0000}"/>
    <cellStyle name="Currency 5 2 2 4 2 3 2" xfId="30392" xr:uid="{D1E9244F-6A5D-4CC3-AE4A-914D8393751B}"/>
    <cellStyle name="Currency 5 2 2 4 2 3 3" xfId="21951" xr:uid="{F715A9D2-BCE3-4374-B25F-D58CDDE8B857}"/>
    <cellStyle name="Currency 5 2 2 4 2 3 4" xfId="13510" xr:uid="{55897665-DA28-46F3-AC55-3E40B7D8F0B0}"/>
    <cellStyle name="Currency 5 2 2 4 2 4" xfId="26174" xr:uid="{48EA4A44-0058-4E03-9550-846025FE9A77}"/>
    <cellStyle name="Currency 5 2 2 4 2 5" xfId="17733" xr:uid="{9FADC24C-8C43-4855-9E52-5A0BCA9AF8A6}"/>
    <cellStyle name="Currency 5 2 2 4 2 6" xfId="9292" xr:uid="{9F941772-3238-463F-8A92-4152BE9C68F8}"/>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2 2 2" xfId="32950" xr:uid="{0ABA0847-BCB9-4E40-9FE2-D39B74D18CD4}"/>
    <cellStyle name="Currency 5 2 2 4 3 2 2 3" xfId="24509" xr:uid="{269BF688-CDD3-46D8-9C0A-223FF2D5AA0F}"/>
    <cellStyle name="Currency 5 2 2 4 3 2 2 4" xfId="16068" xr:uid="{8BAFFD49-4876-46A1-AA6D-124AAE0EB213}"/>
    <cellStyle name="Currency 5 2 2 4 3 2 3" xfId="28732" xr:uid="{57ACBA7A-F06A-4A7A-9F13-539219333E6F}"/>
    <cellStyle name="Currency 5 2 2 4 3 2 4" xfId="20291" xr:uid="{89C153A2-6ACF-488D-A7DD-0555B9841986}"/>
    <cellStyle name="Currency 5 2 2 4 3 2 5" xfId="11850" xr:uid="{32AC21C1-F945-4F32-A8EA-4B5B129DDF78}"/>
    <cellStyle name="Currency 5 2 2 4 3 3" xfId="5473" xr:uid="{00000000-0005-0000-0000-0000FB0B0000}"/>
    <cellStyle name="Currency 5 2 2 4 3 3 2" xfId="30805" xr:uid="{CE30AF33-AA88-4C3E-B799-CB3A305DC29B}"/>
    <cellStyle name="Currency 5 2 2 4 3 3 3" xfId="22364" xr:uid="{FBBF9950-E16A-4B5F-80E3-86E25711EAF7}"/>
    <cellStyle name="Currency 5 2 2 4 3 3 4" xfId="13923" xr:uid="{A8F17212-47E7-4DE2-B200-6171935E28E8}"/>
    <cellStyle name="Currency 5 2 2 4 3 4" xfId="26587" xr:uid="{87DE44E3-0692-4BEF-A23C-C8983EF15EEC}"/>
    <cellStyle name="Currency 5 2 2 4 3 5" xfId="18146" xr:uid="{21386A5F-1445-4688-B703-D873983653D7}"/>
    <cellStyle name="Currency 5 2 2 4 3 6" xfId="9705" xr:uid="{1AC65224-71BD-4270-BC2D-0629FC81988A}"/>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2 2 2" xfId="33363" xr:uid="{EDDA0A5E-0F44-429F-9B44-49B5E6EC8F52}"/>
    <cellStyle name="Currency 5 2 2 4 4 2 2 3" xfId="24922" xr:uid="{1A1863E9-DDBB-46DE-91D3-4C7383626A43}"/>
    <cellStyle name="Currency 5 2 2 4 4 2 2 4" xfId="16481" xr:uid="{91948921-16AB-45E8-9702-5C7982FAD8E0}"/>
    <cellStyle name="Currency 5 2 2 4 4 2 3" xfId="29145" xr:uid="{0FC529E9-2442-46B2-B95A-9BBD310DDEA9}"/>
    <cellStyle name="Currency 5 2 2 4 4 2 4" xfId="20704" xr:uid="{727E475B-966A-4A2C-A4C2-65B904BC263D}"/>
    <cellStyle name="Currency 5 2 2 4 4 2 5" xfId="12263" xr:uid="{C1DC3BE7-E94B-448D-9193-5E0A6514B36B}"/>
    <cellStyle name="Currency 5 2 2 4 4 3" xfId="5886" xr:uid="{00000000-0005-0000-0000-0000FF0B0000}"/>
    <cellStyle name="Currency 5 2 2 4 4 3 2" xfId="31218" xr:uid="{74496947-6DA2-4A43-BA7F-2CE789A250D2}"/>
    <cellStyle name="Currency 5 2 2 4 4 3 3" xfId="22777" xr:uid="{23B1EADF-6D90-4EE6-9CA5-E87809D370F8}"/>
    <cellStyle name="Currency 5 2 2 4 4 3 4" xfId="14336" xr:uid="{31B6AF91-92BA-4064-B6CD-5602E2DC987F}"/>
    <cellStyle name="Currency 5 2 2 4 4 4" xfId="27000" xr:uid="{113D274C-DD0D-4FF6-9A91-8A815E69A689}"/>
    <cellStyle name="Currency 5 2 2 4 4 5" xfId="18559" xr:uid="{B5760525-EBEE-46DE-8B5C-EDB9FD49A09A}"/>
    <cellStyle name="Currency 5 2 2 4 4 6" xfId="10118" xr:uid="{A9B7C7C3-32F2-4623-9EEB-3B1885854D4F}"/>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2 2 2" xfId="33776" xr:uid="{61436951-9397-4128-8CFB-4DCD8C2417BE}"/>
    <cellStyle name="Currency 5 2 2 4 5 2 2 3" xfId="25335" xr:uid="{18FA86A3-DA0F-4ED2-9659-B47AB98601AE}"/>
    <cellStyle name="Currency 5 2 2 4 5 2 2 4" xfId="16894" xr:uid="{E3C8071A-A880-4D73-9409-ADBA49DE1348}"/>
    <cellStyle name="Currency 5 2 2 4 5 2 3" xfId="29558" xr:uid="{5F92ED52-750D-4306-927F-79E164258375}"/>
    <cellStyle name="Currency 5 2 2 4 5 2 4" xfId="21117" xr:uid="{42801BD5-F7C5-4CD5-989C-3BB055AEE584}"/>
    <cellStyle name="Currency 5 2 2 4 5 2 5" xfId="12676" xr:uid="{2E3B6CB3-33B8-4046-A376-6E791733A1E4}"/>
    <cellStyle name="Currency 5 2 2 4 5 3" xfId="6299" xr:uid="{00000000-0005-0000-0000-0000030C0000}"/>
    <cellStyle name="Currency 5 2 2 4 5 3 2" xfId="31631" xr:uid="{3BF68BD7-567B-4E15-B2B7-CFD5712E308A}"/>
    <cellStyle name="Currency 5 2 2 4 5 3 3" xfId="23190" xr:uid="{71C58B88-857B-443F-940A-7DD1C85B5F51}"/>
    <cellStyle name="Currency 5 2 2 4 5 3 4" xfId="14749" xr:uid="{B75F2ED8-24DA-4D66-AA30-E0A80041232C}"/>
    <cellStyle name="Currency 5 2 2 4 5 4" xfId="27413" xr:uid="{536F7DC4-D507-4F4D-9C54-FB4B23192361}"/>
    <cellStyle name="Currency 5 2 2 4 5 5" xfId="18972" xr:uid="{9B62DAE5-B615-49A2-B904-B22A86F2012C}"/>
    <cellStyle name="Currency 5 2 2 4 5 6" xfId="10531" xr:uid="{28D0AB64-4FC1-439A-9252-FE9B7AC54D80}"/>
    <cellStyle name="Currency 5 2 2 4 6" xfId="2428" xr:uid="{00000000-0005-0000-0000-0000040C0000}"/>
    <cellStyle name="Currency 5 2 2 4 6 2" xfId="6712" xr:uid="{00000000-0005-0000-0000-0000050C0000}"/>
    <cellStyle name="Currency 5 2 2 4 6 2 2" xfId="32044" xr:uid="{8F96D9A0-12C9-4075-B814-A44AB2CDF21A}"/>
    <cellStyle name="Currency 5 2 2 4 6 2 3" xfId="23603" xr:uid="{E848BB9C-8E1F-42F0-A421-E45C992A4720}"/>
    <cellStyle name="Currency 5 2 2 4 6 2 4" xfId="15162" xr:uid="{31A8C9FF-8EA8-416F-BCD4-E280EB7B4FC9}"/>
    <cellStyle name="Currency 5 2 2 4 6 3" xfId="27826" xr:uid="{D476014A-63BF-4DC8-A479-4B18C059D1F8}"/>
    <cellStyle name="Currency 5 2 2 4 6 4" xfId="19385" xr:uid="{E4E7110D-9D37-41E1-9B01-1D79C97ADDE9}"/>
    <cellStyle name="Currency 5 2 2 4 6 5" xfId="10944" xr:uid="{566307F6-4B3F-4B18-87C0-7E128FD9AC06}"/>
    <cellStyle name="Currency 5 2 2 4 7" xfId="2725" xr:uid="{00000000-0005-0000-0000-0000060C0000}"/>
    <cellStyle name="Currency 5 2 2 4 8" xfId="2806" xr:uid="{00000000-0005-0000-0000-0000070C0000}"/>
    <cellStyle name="Currency 5 2 2 4 8 2" xfId="7029" xr:uid="{00000000-0005-0000-0000-0000080C0000}"/>
    <cellStyle name="Currency 5 2 2 4 8 2 2" xfId="32361" xr:uid="{731EBD16-86E4-46A0-A17F-2C73D87C53E6}"/>
    <cellStyle name="Currency 5 2 2 4 8 2 3" xfId="23920" xr:uid="{A83350F8-F578-4D18-9ED2-2C0B236E21C1}"/>
    <cellStyle name="Currency 5 2 2 4 8 2 4" xfId="15479" xr:uid="{1631AB8C-69A8-4A9B-B872-413460447BFB}"/>
    <cellStyle name="Currency 5 2 2 4 8 3" xfId="28143" xr:uid="{2CDFE655-7E7D-4C8F-A056-059C4263A192}"/>
    <cellStyle name="Currency 5 2 2 4 8 4" xfId="19702" xr:uid="{B759BF44-40F6-48D4-9ED1-914455BF98FB}"/>
    <cellStyle name="Currency 5 2 2 4 8 5" xfId="11261" xr:uid="{39D5246A-144E-421F-BF6B-E97278E5A8BB}"/>
    <cellStyle name="Currency 5 2 2 4 9" xfId="4646" xr:uid="{00000000-0005-0000-0000-0000090C0000}"/>
    <cellStyle name="Currency 5 2 2 4 9 2" xfId="29978" xr:uid="{6F67432D-A0C8-4CA2-AB93-D7555B27C773}"/>
    <cellStyle name="Currency 5 2 2 4 9 3" xfId="21537" xr:uid="{3AAE259F-795A-417C-92D8-7710271BD053}"/>
    <cellStyle name="Currency 5 2 2 4 9 4" xfId="13096" xr:uid="{BF88CA68-DF5A-4252-9CAA-A1F4241199EE}"/>
    <cellStyle name="Currency 5 2 2 5" xfId="203" xr:uid="{00000000-0005-0000-0000-00000A0C0000}"/>
    <cellStyle name="Currency 5 2 2 5 10" xfId="25761" xr:uid="{362A65DC-78CA-4D65-B786-DDC39FDA1CFB}"/>
    <cellStyle name="Currency 5 2 2 5 11" xfId="17320" xr:uid="{626C7033-DCC9-4770-8448-AD28EB2003F1}"/>
    <cellStyle name="Currency 5 2 2 5 12" xfId="8879" xr:uid="{FA2071BD-B372-4CB2-8117-5406B8DE1064}"/>
    <cellStyle name="Currency 5 2 2 5 2" xfId="730" xr:uid="{00000000-0005-0000-0000-00000B0C0000}"/>
    <cellStyle name="Currency 5 2 2 5 2 2" xfId="2984" xr:uid="{00000000-0005-0000-0000-00000C0C0000}"/>
    <cellStyle name="Currency 5 2 2 5 2 2 2" xfId="7206" xr:uid="{00000000-0005-0000-0000-00000D0C0000}"/>
    <cellStyle name="Currency 5 2 2 5 2 2 2 2" xfId="32538" xr:uid="{DDE1849E-1B9A-4F32-A456-4686016DF9A8}"/>
    <cellStyle name="Currency 5 2 2 5 2 2 2 3" xfId="24097" xr:uid="{51483C9D-FB00-4833-B887-A023C73BC325}"/>
    <cellStyle name="Currency 5 2 2 5 2 2 2 4" xfId="15656" xr:uid="{F75BE8BE-4318-40B1-8FEA-50C3F24B2849}"/>
    <cellStyle name="Currency 5 2 2 5 2 2 3" xfId="28320" xr:uid="{9D3B8617-FE3A-4FA0-90A4-A0D426E4B7E9}"/>
    <cellStyle name="Currency 5 2 2 5 2 2 4" xfId="19879" xr:uid="{300FBBE0-B4DB-4579-A246-8DD7FF798D5B}"/>
    <cellStyle name="Currency 5 2 2 5 2 2 5" xfId="11438" xr:uid="{E81EDF78-31F6-4D86-BDBC-21EDDEE64584}"/>
    <cellStyle name="Currency 5 2 2 5 2 3" xfId="5061" xr:uid="{00000000-0005-0000-0000-00000E0C0000}"/>
    <cellStyle name="Currency 5 2 2 5 2 3 2" xfId="30393" xr:uid="{5B2899DA-D791-4B98-AC93-A37319012DD0}"/>
    <cellStyle name="Currency 5 2 2 5 2 3 3" xfId="21952" xr:uid="{BFD35D76-5CFA-4410-A87A-6D292025C841}"/>
    <cellStyle name="Currency 5 2 2 5 2 3 4" xfId="13511" xr:uid="{5AA934FD-6EE8-4782-99AD-B5BBEDF79267}"/>
    <cellStyle name="Currency 5 2 2 5 2 4" xfId="26175" xr:uid="{BBAD4427-9839-4F53-84C8-C3262BBD2709}"/>
    <cellStyle name="Currency 5 2 2 5 2 5" xfId="17734" xr:uid="{59FEBDCB-8283-4115-BB03-AF172DC07669}"/>
    <cellStyle name="Currency 5 2 2 5 2 6" xfId="9293" xr:uid="{F0F61F54-3000-4BFB-AAD6-C7B8B1E4F9E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2 2 2" xfId="32951" xr:uid="{C31FAAB3-40A2-48A7-ABE3-AC70A310FC8D}"/>
    <cellStyle name="Currency 5 2 2 5 3 2 2 3" xfId="24510" xr:uid="{86E6124E-BA7E-4C58-9648-3421B46E2B98}"/>
    <cellStyle name="Currency 5 2 2 5 3 2 2 4" xfId="16069" xr:uid="{7DE8694E-9107-4879-A987-4C91B5C497A1}"/>
    <cellStyle name="Currency 5 2 2 5 3 2 3" xfId="28733" xr:uid="{7C6B8E0E-2A1D-4754-BDF3-7EA16A26B50E}"/>
    <cellStyle name="Currency 5 2 2 5 3 2 4" xfId="20292" xr:uid="{B201E536-2A97-43C9-B685-F198E51E105C}"/>
    <cellStyle name="Currency 5 2 2 5 3 2 5" xfId="11851" xr:uid="{25DAD6FB-EB6B-4573-8F4B-9922F9FD142A}"/>
    <cellStyle name="Currency 5 2 2 5 3 3" xfId="5474" xr:uid="{00000000-0005-0000-0000-0000120C0000}"/>
    <cellStyle name="Currency 5 2 2 5 3 3 2" xfId="30806" xr:uid="{58FD970A-8AAE-4A01-A905-7F1326284BF2}"/>
    <cellStyle name="Currency 5 2 2 5 3 3 3" xfId="22365" xr:uid="{39DC5790-55DC-46DB-B2E5-5F779F5C6022}"/>
    <cellStyle name="Currency 5 2 2 5 3 3 4" xfId="13924" xr:uid="{9008D618-81EB-4D4B-A820-DDA280D618A0}"/>
    <cellStyle name="Currency 5 2 2 5 3 4" xfId="26588" xr:uid="{41B30C6A-CA91-4867-93B6-BD0B006775A7}"/>
    <cellStyle name="Currency 5 2 2 5 3 5" xfId="18147" xr:uid="{41631E72-B006-4664-A093-85733991B3A0}"/>
    <cellStyle name="Currency 5 2 2 5 3 6" xfId="9706" xr:uid="{9A450A71-039C-4305-862D-5AFA9E174A96}"/>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2 2 2" xfId="33364" xr:uid="{049AF8FA-58A9-4C82-B7C3-BA061F8F1305}"/>
    <cellStyle name="Currency 5 2 2 5 4 2 2 3" xfId="24923" xr:uid="{8ED6F1F0-1808-4C19-B898-5BF8F436856F}"/>
    <cellStyle name="Currency 5 2 2 5 4 2 2 4" xfId="16482" xr:uid="{226798AD-18C0-48FE-8B89-F7B72C55C1AB}"/>
    <cellStyle name="Currency 5 2 2 5 4 2 3" xfId="29146" xr:uid="{33486463-7768-455F-BF7A-2F532ED8153A}"/>
    <cellStyle name="Currency 5 2 2 5 4 2 4" xfId="20705" xr:uid="{F2E81298-BC91-4B6E-9059-C0628A9F9928}"/>
    <cellStyle name="Currency 5 2 2 5 4 2 5" xfId="12264" xr:uid="{EEE6C454-9985-4695-BBF2-5D549083FB9E}"/>
    <cellStyle name="Currency 5 2 2 5 4 3" xfId="5887" xr:uid="{00000000-0005-0000-0000-0000160C0000}"/>
    <cellStyle name="Currency 5 2 2 5 4 3 2" xfId="31219" xr:uid="{839D67EE-B5E2-4B7A-B3EB-A8A6EBA206A3}"/>
    <cellStyle name="Currency 5 2 2 5 4 3 3" xfId="22778" xr:uid="{3ADDBDED-2576-4431-9D9D-C5991C32AB70}"/>
    <cellStyle name="Currency 5 2 2 5 4 3 4" xfId="14337" xr:uid="{07DFD253-CF41-477A-BD88-4658D109AFBE}"/>
    <cellStyle name="Currency 5 2 2 5 4 4" xfId="27001" xr:uid="{BAA8BD2A-C218-4FAD-B53C-6384976382CB}"/>
    <cellStyle name="Currency 5 2 2 5 4 5" xfId="18560" xr:uid="{1E993AC7-5025-4ECE-A9AB-E9E0FDC278A2}"/>
    <cellStyle name="Currency 5 2 2 5 4 6" xfId="10119" xr:uid="{14D4FDCC-A663-4A69-B9C9-E46950661E47}"/>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2 2 2" xfId="33777" xr:uid="{AAA82DFC-0526-44D0-BCBC-0B3C0DEA805F}"/>
    <cellStyle name="Currency 5 2 2 5 5 2 2 3" xfId="25336" xr:uid="{B18A5778-733C-437E-8C7B-40C4544CAA2E}"/>
    <cellStyle name="Currency 5 2 2 5 5 2 2 4" xfId="16895" xr:uid="{2489D6DA-5684-4DFE-A5A1-1E0532EB629F}"/>
    <cellStyle name="Currency 5 2 2 5 5 2 3" xfId="29559" xr:uid="{968F4E0C-5062-437D-B5F0-8F0C5204989D}"/>
    <cellStyle name="Currency 5 2 2 5 5 2 4" xfId="21118" xr:uid="{2CA58671-AC6C-427E-93E1-5F72086DD23C}"/>
    <cellStyle name="Currency 5 2 2 5 5 2 5" xfId="12677" xr:uid="{5CA192AF-221A-429D-B4D3-3599309D31EF}"/>
    <cellStyle name="Currency 5 2 2 5 5 3" xfId="6300" xr:uid="{00000000-0005-0000-0000-00001A0C0000}"/>
    <cellStyle name="Currency 5 2 2 5 5 3 2" xfId="31632" xr:uid="{A077DDD8-A71F-4917-8C00-F56A21C8652A}"/>
    <cellStyle name="Currency 5 2 2 5 5 3 3" xfId="23191" xr:uid="{37BC8DEB-4BDF-4C36-BA50-5AB505B46DCA}"/>
    <cellStyle name="Currency 5 2 2 5 5 3 4" xfId="14750" xr:uid="{18B19B71-B58F-4777-9A20-631D5012CBD8}"/>
    <cellStyle name="Currency 5 2 2 5 5 4" xfId="27414" xr:uid="{A622302E-72FB-4FAF-96B3-66F7A89A68EA}"/>
    <cellStyle name="Currency 5 2 2 5 5 5" xfId="18973" xr:uid="{4A399F21-41C9-4A6F-89CD-9E8624061DBE}"/>
    <cellStyle name="Currency 5 2 2 5 5 6" xfId="10532" xr:uid="{366C6981-DD34-4005-A95C-42D0EC682EA0}"/>
    <cellStyle name="Currency 5 2 2 5 6" xfId="2429" xr:uid="{00000000-0005-0000-0000-00001B0C0000}"/>
    <cellStyle name="Currency 5 2 2 5 6 2" xfId="6713" xr:uid="{00000000-0005-0000-0000-00001C0C0000}"/>
    <cellStyle name="Currency 5 2 2 5 6 2 2" xfId="32045" xr:uid="{8A39DCF5-E962-4240-AC4E-EA8FD92165DA}"/>
    <cellStyle name="Currency 5 2 2 5 6 2 3" xfId="23604" xr:uid="{7AAEDEF0-6D8E-4CEB-8D67-6A80C619E89F}"/>
    <cellStyle name="Currency 5 2 2 5 6 2 4" xfId="15163" xr:uid="{884CD970-E306-46E7-BD87-3C016B5B0346}"/>
    <cellStyle name="Currency 5 2 2 5 6 3" xfId="27827" xr:uid="{F8EF33CB-B28A-405F-BDFF-5C0AF890B68A}"/>
    <cellStyle name="Currency 5 2 2 5 6 4" xfId="19386" xr:uid="{817A89E2-F26D-47E7-8F90-7100D1DBD17A}"/>
    <cellStyle name="Currency 5 2 2 5 6 5" xfId="10945" xr:uid="{4B2560E4-4D66-45B8-BB75-D7E27ACFDC73}"/>
    <cellStyle name="Currency 5 2 2 5 7" xfId="2726" xr:uid="{00000000-0005-0000-0000-00001D0C0000}"/>
    <cellStyle name="Currency 5 2 2 5 8" xfId="2807" xr:uid="{00000000-0005-0000-0000-00001E0C0000}"/>
    <cellStyle name="Currency 5 2 2 5 8 2" xfId="7030" xr:uid="{00000000-0005-0000-0000-00001F0C0000}"/>
    <cellStyle name="Currency 5 2 2 5 8 2 2" xfId="32362" xr:uid="{9286860E-45CA-4022-A1F2-FDB66833F6AC}"/>
    <cellStyle name="Currency 5 2 2 5 8 2 3" xfId="23921" xr:uid="{C46940EC-B839-4BA8-9848-30C431A75E1C}"/>
    <cellStyle name="Currency 5 2 2 5 8 2 4" xfId="15480" xr:uid="{63F8CBB5-C359-47D0-AB34-FC2741DFC3CE}"/>
    <cellStyle name="Currency 5 2 2 5 8 3" xfId="28144" xr:uid="{5D734864-0B28-4BC3-997F-71F00781A9E9}"/>
    <cellStyle name="Currency 5 2 2 5 8 4" xfId="19703" xr:uid="{E92BA555-813B-4BCE-B29E-06FA49513467}"/>
    <cellStyle name="Currency 5 2 2 5 8 5" xfId="11262" xr:uid="{A3DDF250-E71D-45BB-BB5E-6B2122228135}"/>
    <cellStyle name="Currency 5 2 2 5 9" xfId="4647" xr:uid="{00000000-0005-0000-0000-0000200C0000}"/>
    <cellStyle name="Currency 5 2 2 5 9 2" xfId="29979" xr:uid="{3C55F444-F829-483B-9543-4DF9DE54F800}"/>
    <cellStyle name="Currency 5 2 2 5 9 3" xfId="21538" xr:uid="{ED66EEDF-DF91-4C74-86F9-A82D191B3870}"/>
    <cellStyle name="Currency 5 2 2 5 9 4" xfId="13097" xr:uid="{762D5C72-E97A-4A83-A41E-FAE29074CC2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0 2" xfId="29980" xr:uid="{45512C37-65CC-4FD8-9921-B2B6E2210CE2}"/>
    <cellStyle name="Currency 5 2 4 10 3" xfId="21539" xr:uid="{BA6C2E18-B62D-4C3E-B685-6BFB7F57F41B}"/>
    <cellStyle name="Currency 5 2 4 10 4" xfId="13098" xr:uid="{44E5F91B-B24A-4938-AD64-5BF28123B063}"/>
    <cellStyle name="Currency 5 2 4 11" xfId="25762" xr:uid="{FF87844B-596B-4008-977A-69DAE4FE7CE6}"/>
    <cellStyle name="Currency 5 2 4 12" xfId="17321" xr:uid="{AD35C4DB-ABEE-4B3E-BEC5-64D39179498A}"/>
    <cellStyle name="Currency 5 2 4 13" xfId="8880" xr:uid="{05ABBBE7-67A1-4E15-8515-BE7E1CBC55E4}"/>
    <cellStyle name="Currency 5 2 4 2" xfId="206" xr:uid="{00000000-0005-0000-0000-0000250C0000}"/>
    <cellStyle name="Currency 5 2 4 2 10" xfId="25763" xr:uid="{F4C2EBE4-036F-49CA-B1AA-96A40AF7DF8A}"/>
    <cellStyle name="Currency 5 2 4 2 11" xfId="17322" xr:uid="{7E1F90C0-58FA-4082-AE92-02F7DD8CBF09}"/>
    <cellStyle name="Currency 5 2 4 2 12" xfId="8881" xr:uid="{A37DDC51-A867-4A2B-88A7-5FE50CD77B25}"/>
    <cellStyle name="Currency 5 2 4 2 2" xfId="733" xr:uid="{00000000-0005-0000-0000-0000260C0000}"/>
    <cellStyle name="Currency 5 2 4 2 2 2" xfId="2986" xr:uid="{00000000-0005-0000-0000-0000270C0000}"/>
    <cellStyle name="Currency 5 2 4 2 2 2 2" xfId="7208" xr:uid="{00000000-0005-0000-0000-0000280C0000}"/>
    <cellStyle name="Currency 5 2 4 2 2 2 2 2" xfId="32540" xr:uid="{1667A694-FAFE-4BF4-A53C-36AD2D579BB4}"/>
    <cellStyle name="Currency 5 2 4 2 2 2 2 3" xfId="24099" xr:uid="{1D7CBB05-C977-4F9E-9C2F-E70E7503FD2F}"/>
    <cellStyle name="Currency 5 2 4 2 2 2 2 4" xfId="15658" xr:uid="{CBE2EBE5-141C-4CB4-833B-1DF1D2CCDC57}"/>
    <cellStyle name="Currency 5 2 4 2 2 2 3" xfId="28322" xr:uid="{1A16EA32-B6AB-4FF0-9297-DB070FE866CC}"/>
    <cellStyle name="Currency 5 2 4 2 2 2 4" xfId="19881" xr:uid="{06E42183-385D-4027-839A-59865F264760}"/>
    <cellStyle name="Currency 5 2 4 2 2 2 5" xfId="11440" xr:uid="{D43C09D0-4FDA-4759-BA31-EAE91BF7ACEC}"/>
    <cellStyle name="Currency 5 2 4 2 2 3" xfId="5063" xr:uid="{00000000-0005-0000-0000-0000290C0000}"/>
    <cellStyle name="Currency 5 2 4 2 2 3 2" xfId="30395" xr:uid="{CF81A1F4-C2D3-4C41-8BDD-FF514E7B5F03}"/>
    <cellStyle name="Currency 5 2 4 2 2 3 3" xfId="21954" xr:uid="{003C5E46-A1C3-474D-8EA5-BF7D8F33A1AB}"/>
    <cellStyle name="Currency 5 2 4 2 2 3 4" xfId="13513" xr:uid="{72A695A2-4002-4114-A212-266204ECE9B5}"/>
    <cellStyle name="Currency 5 2 4 2 2 4" xfId="26177" xr:uid="{ADA15688-62B1-4F90-B5DE-598D37DE9F89}"/>
    <cellStyle name="Currency 5 2 4 2 2 5" xfId="17736" xr:uid="{9DE1573E-3942-48AB-AA5E-352E8DF90C8D}"/>
    <cellStyle name="Currency 5 2 4 2 2 6" xfId="9295" xr:uid="{18DC72CC-0EAF-4C13-87EA-B852890C14B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2 2 2" xfId="32953" xr:uid="{BB8A0635-6762-41C1-B63D-310E1B6B1721}"/>
    <cellStyle name="Currency 5 2 4 2 3 2 2 3" xfId="24512" xr:uid="{32496C0E-A24F-4C7D-90B6-512AC4272990}"/>
    <cellStyle name="Currency 5 2 4 2 3 2 2 4" xfId="16071" xr:uid="{F937960A-998D-420B-B9FA-3789059FA416}"/>
    <cellStyle name="Currency 5 2 4 2 3 2 3" xfId="28735" xr:uid="{5355BE85-2515-460E-B5C5-33B00F4529DE}"/>
    <cellStyle name="Currency 5 2 4 2 3 2 4" xfId="20294" xr:uid="{95DA8EE5-19C1-44A0-A955-95EEFF952EC0}"/>
    <cellStyle name="Currency 5 2 4 2 3 2 5" xfId="11853" xr:uid="{59AAD4FB-C0EC-4623-9A06-521397D563A5}"/>
    <cellStyle name="Currency 5 2 4 2 3 3" xfId="5476" xr:uid="{00000000-0005-0000-0000-00002D0C0000}"/>
    <cellStyle name="Currency 5 2 4 2 3 3 2" xfId="30808" xr:uid="{FD733960-ADB9-4A9D-908B-4F2721A6CEF0}"/>
    <cellStyle name="Currency 5 2 4 2 3 3 3" xfId="22367" xr:uid="{03475842-583A-4269-AAA7-CF937510A333}"/>
    <cellStyle name="Currency 5 2 4 2 3 3 4" xfId="13926" xr:uid="{B59E448D-3594-4979-9FC8-DE46697EB0DF}"/>
    <cellStyle name="Currency 5 2 4 2 3 4" xfId="26590" xr:uid="{3AE6190B-707D-44D0-9874-1AE9EFFE8DBF}"/>
    <cellStyle name="Currency 5 2 4 2 3 5" xfId="18149" xr:uid="{36BF4357-A33D-4E73-A80F-44F64C15A1E8}"/>
    <cellStyle name="Currency 5 2 4 2 3 6" xfId="9708" xr:uid="{7D937028-67B9-4FDD-A6DF-E15F5D1E698F}"/>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2 2 2" xfId="33366" xr:uid="{8FC1F9D7-A0F0-4955-9A54-460DDCE758CD}"/>
    <cellStyle name="Currency 5 2 4 2 4 2 2 3" xfId="24925" xr:uid="{CAFA086C-DE28-426D-A9E0-C7D35C375479}"/>
    <cellStyle name="Currency 5 2 4 2 4 2 2 4" xfId="16484" xr:uid="{AEBFB34A-0E70-4CE3-B8DD-3855A28BEDA7}"/>
    <cellStyle name="Currency 5 2 4 2 4 2 3" xfId="29148" xr:uid="{74E0C95A-67BD-456B-9877-23422C21A0C3}"/>
    <cellStyle name="Currency 5 2 4 2 4 2 4" xfId="20707" xr:uid="{28C44E23-15B8-48AB-8AF0-E7D0B8BAB0CC}"/>
    <cellStyle name="Currency 5 2 4 2 4 2 5" xfId="12266" xr:uid="{2CF374B4-C2C0-4E23-B5AD-11647F6150B1}"/>
    <cellStyle name="Currency 5 2 4 2 4 3" xfId="5889" xr:uid="{00000000-0005-0000-0000-0000310C0000}"/>
    <cellStyle name="Currency 5 2 4 2 4 3 2" xfId="31221" xr:uid="{B5A88E84-6F0F-4E58-A5E7-1E45231D2D3B}"/>
    <cellStyle name="Currency 5 2 4 2 4 3 3" xfId="22780" xr:uid="{8CC4FED4-6E3F-41FF-A6A8-21080D29A7C2}"/>
    <cellStyle name="Currency 5 2 4 2 4 3 4" xfId="14339" xr:uid="{327713C6-B12D-42CC-BF1A-ADD1764A0627}"/>
    <cellStyle name="Currency 5 2 4 2 4 4" xfId="27003" xr:uid="{6C505075-105B-4B78-AF2F-90F99E43AB33}"/>
    <cellStyle name="Currency 5 2 4 2 4 5" xfId="18562" xr:uid="{9395A0EF-9824-4262-B63A-502DFFC5BF64}"/>
    <cellStyle name="Currency 5 2 4 2 4 6" xfId="10121" xr:uid="{35C300E7-5976-4D20-A069-D1D8F4AF3CBF}"/>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2 2 2" xfId="33779" xr:uid="{B8DED631-5937-4697-BCCC-D6E5FFB9ACE8}"/>
    <cellStyle name="Currency 5 2 4 2 5 2 2 3" xfId="25338" xr:uid="{3711321E-B9FA-4CE3-B269-C511848E9423}"/>
    <cellStyle name="Currency 5 2 4 2 5 2 2 4" xfId="16897" xr:uid="{AFC92057-61A9-4F98-B3EF-AD357FFDECB6}"/>
    <cellStyle name="Currency 5 2 4 2 5 2 3" xfId="29561" xr:uid="{BF008AC1-95DE-436F-9979-ED8E0B5DDF84}"/>
    <cellStyle name="Currency 5 2 4 2 5 2 4" xfId="21120" xr:uid="{2C5DC2BE-173C-4964-9427-213ED93A1ACA}"/>
    <cellStyle name="Currency 5 2 4 2 5 2 5" xfId="12679" xr:uid="{48E7847F-FF19-4F08-BDA1-1A9BB143C34E}"/>
    <cellStyle name="Currency 5 2 4 2 5 3" xfId="6302" xr:uid="{00000000-0005-0000-0000-0000350C0000}"/>
    <cellStyle name="Currency 5 2 4 2 5 3 2" xfId="31634" xr:uid="{6AC79600-79DD-435A-BF71-D06B29248936}"/>
    <cellStyle name="Currency 5 2 4 2 5 3 3" xfId="23193" xr:uid="{92F1E03D-9E12-40ED-9AB6-E4896A41E5A9}"/>
    <cellStyle name="Currency 5 2 4 2 5 3 4" xfId="14752" xr:uid="{A19B33F2-B0E7-4F48-9D05-93409119BF97}"/>
    <cellStyle name="Currency 5 2 4 2 5 4" xfId="27416" xr:uid="{A05938DA-4C55-49FD-9EB1-A0001B02EDC8}"/>
    <cellStyle name="Currency 5 2 4 2 5 5" xfId="18975" xr:uid="{EF7C5178-408E-420F-8E5D-B317A42CCA28}"/>
    <cellStyle name="Currency 5 2 4 2 5 6" xfId="10534" xr:uid="{1B302E81-CF58-4AF0-9E24-40995190D2B7}"/>
    <cellStyle name="Currency 5 2 4 2 6" xfId="2431" xr:uid="{00000000-0005-0000-0000-0000360C0000}"/>
    <cellStyle name="Currency 5 2 4 2 6 2" xfId="6715" xr:uid="{00000000-0005-0000-0000-0000370C0000}"/>
    <cellStyle name="Currency 5 2 4 2 6 2 2" xfId="32047" xr:uid="{92685E01-77B6-4155-8B53-C839F8051055}"/>
    <cellStyle name="Currency 5 2 4 2 6 2 3" xfId="23606" xr:uid="{3590754D-4374-4AB0-9A4A-AEEB96777206}"/>
    <cellStyle name="Currency 5 2 4 2 6 2 4" xfId="15165" xr:uid="{CB5FCFA4-C838-4B29-8E1B-8112931A6543}"/>
    <cellStyle name="Currency 5 2 4 2 6 3" xfId="27829" xr:uid="{A07FFDEE-B41F-4DDB-9EB6-B22CBA52209A}"/>
    <cellStyle name="Currency 5 2 4 2 6 4" xfId="19388" xr:uid="{405E9D0F-F02B-4DB3-A3E5-A05D75C0B7B9}"/>
    <cellStyle name="Currency 5 2 4 2 6 5" xfId="10947" xr:uid="{693C378F-8FAB-4C27-8E2F-DC2E7EE35BD8}"/>
    <cellStyle name="Currency 5 2 4 2 7" xfId="2728" xr:uid="{00000000-0005-0000-0000-0000380C0000}"/>
    <cellStyle name="Currency 5 2 4 2 8" xfId="2809" xr:uid="{00000000-0005-0000-0000-0000390C0000}"/>
    <cellStyle name="Currency 5 2 4 2 8 2" xfId="7032" xr:uid="{00000000-0005-0000-0000-00003A0C0000}"/>
    <cellStyle name="Currency 5 2 4 2 8 2 2" xfId="32364" xr:uid="{76F887F5-76C0-4FBE-8E1C-A2D807556ABB}"/>
    <cellStyle name="Currency 5 2 4 2 8 2 3" xfId="23923" xr:uid="{27A2608D-B2D5-4694-AC40-4D9CC7DA610F}"/>
    <cellStyle name="Currency 5 2 4 2 8 2 4" xfId="15482" xr:uid="{4579EAB9-E1C1-4967-8BFD-B216C7B60899}"/>
    <cellStyle name="Currency 5 2 4 2 8 3" xfId="28146" xr:uid="{92858B0F-2DAC-46D0-9764-652CBDC065B2}"/>
    <cellStyle name="Currency 5 2 4 2 8 4" xfId="19705" xr:uid="{7BAAFBB1-8BDC-4B16-803E-E6C95529E341}"/>
    <cellStyle name="Currency 5 2 4 2 8 5" xfId="11264" xr:uid="{BE140BAF-6A0F-493A-B88B-C3A9BBDC68EE}"/>
    <cellStyle name="Currency 5 2 4 2 9" xfId="4649" xr:uid="{00000000-0005-0000-0000-00003B0C0000}"/>
    <cellStyle name="Currency 5 2 4 2 9 2" xfId="29981" xr:uid="{E4D09F43-0B72-480F-8C76-1998FBABD2EB}"/>
    <cellStyle name="Currency 5 2 4 2 9 3" xfId="21540" xr:uid="{CDC0E9F0-1D6F-41E4-A127-0D39C2B8C358}"/>
    <cellStyle name="Currency 5 2 4 2 9 4" xfId="13099" xr:uid="{7BF7DB9F-F223-4DB7-A4A5-4E8A6FADE12B}"/>
    <cellStyle name="Currency 5 2 4 3" xfId="732" xr:uid="{00000000-0005-0000-0000-00003C0C0000}"/>
    <cellStyle name="Currency 5 2 4 3 2" xfId="2985" xr:uid="{00000000-0005-0000-0000-00003D0C0000}"/>
    <cellStyle name="Currency 5 2 4 3 2 2" xfId="7207" xr:uid="{00000000-0005-0000-0000-00003E0C0000}"/>
    <cellStyle name="Currency 5 2 4 3 2 2 2" xfId="32539" xr:uid="{89325923-7552-4B6E-8794-C84594DBA13A}"/>
    <cellStyle name="Currency 5 2 4 3 2 2 3" xfId="24098" xr:uid="{B55E1781-D362-4265-B960-2455D0BFF9C0}"/>
    <cellStyle name="Currency 5 2 4 3 2 2 4" xfId="15657" xr:uid="{F2BD5AB8-2513-4155-AC1B-3D5CB58C4DBF}"/>
    <cellStyle name="Currency 5 2 4 3 2 3" xfId="28321" xr:uid="{CD512D43-E411-40B8-9487-84133D699198}"/>
    <cellStyle name="Currency 5 2 4 3 2 4" xfId="19880" xr:uid="{099B8CA0-9F40-406E-AE06-779365BC35BF}"/>
    <cellStyle name="Currency 5 2 4 3 2 5" xfId="11439" xr:uid="{784D9710-0B6A-4437-BEED-50F9C2E36A29}"/>
    <cellStyle name="Currency 5 2 4 3 3" xfId="5062" xr:uid="{00000000-0005-0000-0000-00003F0C0000}"/>
    <cellStyle name="Currency 5 2 4 3 3 2" xfId="30394" xr:uid="{40B9BEBC-6ABD-49F6-85E4-C853074DED61}"/>
    <cellStyle name="Currency 5 2 4 3 3 3" xfId="21953" xr:uid="{D469FC2C-3F21-4543-90BB-61F63F74C2D6}"/>
    <cellStyle name="Currency 5 2 4 3 3 4" xfId="13512" xr:uid="{A392999F-812A-4261-9231-BD2D5DEA3A0D}"/>
    <cellStyle name="Currency 5 2 4 3 4" xfId="26176" xr:uid="{47E34022-DB13-4286-8F24-6E052F752732}"/>
    <cellStyle name="Currency 5 2 4 3 5" xfId="17735" xr:uid="{187D9E44-FC59-4B6A-9FC5-2C99B4752FE2}"/>
    <cellStyle name="Currency 5 2 4 3 6" xfId="9294" xr:uid="{7E40B8FD-63A9-4EAB-9A86-902EA150A392}"/>
    <cellStyle name="Currency 5 2 4 4" xfId="1167" xr:uid="{00000000-0005-0000-0000-0000400C0000}"/>
    <cellStyle name="Currency 5 2 4 4 2" xfId="3398" xr:uid="{00000000-0005-0000-0000-0000410C0000}"/>
    <cellStyle name="Currency 5 2 4 4 2 2" xfId="7620" xr:uid="{00000000-0005-0000-0000-0000420C0000}"/>
    <cellStyle name="Currency 5 2 4 4 2 2 2" xfId="32952" xr:uid="{D21B318E-D9E5-40E2-BF0B-C94583DF8EE7}"/>
    <cellStyle name="Currency 5 2 4 4 2 2 3" xfId="24511" xr:uid="{810D8578-5937-45C6-8B55-DE7D681494C6}"/>
    <cellStyle name="Currency 5 2 4 4 2 2 4" xfId="16070" xr:uid="{0ED3E168-FD9F-4C16-ABCE-3276821CF736}"/>
    <cellStyle name="Currency 5 2 4 4 2 3" xfId="28734" xr:uid="{5282B489-BD29-45A2-BBA6-06CE6F1862AA}"/>
    <cellStyle name="Currency 5 2 4 4 2 4" xfId="20293" xr:uid="{86F5EE59-51DA-42C9-B999-7B14CF8F9CD6}"/>
    <cellStyle name="Currency 5 2 4 4 2 5" xfId="11852" xr:uid="{C74FB573-C3B0-4379-8051-9D025B4780E9}"/>
    <cellStyle name="Currency 5 2 4 4 3" xfId="5475" xr:uid="{00000000-0005-0000-0000-0000430C0000}"/>
    <cellStyle name="Currency 5 2 4 4 3 2" xfId="30807" xr:uid="{30AA6763-0DD4-457D-9F1E-D28DD5119054}"/>
    <cellStyle name="Currency 5 2 4 4 3 3" xfId="22366" xr:uid="{E4CC7F45-6A04-42F0-B993-16B8FA16ABA9}"/>
    <cellStyle name="Currency 5 2 4 4 3 4" xfId="13925" xr:uid="{D0DA1C57-CDA8-4399-92BC-BC855B5F93FE}"/>
    <cellStyle name="Currency 5 2 4 4 4" xfId="26589" xr:uid="{5FF5E67B-B2F5-49CA-A063-05BD14279E06}"/>
    <cellStyle name="Currency 5 2 4 4 5" xfId="18148" xr:uid="{B58F8700-7C69-41FA-A262-B2FE0B7B6BA1}"/>
    <cellStyle name="Currency 5 2 4 4 6" xfId="9707" xr:uid="{34793ECD-38B1-490D-8E04-8D615B0EF463}"/>
    <cellStyle name="Currency 5 2 4 5" xfId="1581" xr:uid="{00000000-0005-0000-0000-0000440C0000}"/>
    <cellStyle name="Currency 5 2 4 5 2" xfId="3811" xr:uid="{00000000-0005-0000-0000-0000450C0000}"/>
    <cellStyle name="Currency 5 2 4 5 2 2" xfId="8033" xr:uid="{00000000-0005-0000-0000-0000460C0000}"/>
    <cellStyle name="Currency 5 2 4 5 2 2 2" xfId="33365" xr:uid="{0C83BD71-8B63-4C99-9E2E-97E026E56ADC}"/>
    <cellStyle name="Currency 5 2 4 5 2 2 3" xfId="24924" xr:uid="{90C2CD5E-26D2-4749-982B-860940935FB6}"/>
    <cellStyle name="Currency 5 2 4 5 2 2 4" xfId="16483" xr:uid="{4D20DBE0-6178-4FB8-9DBA-3EA7042224ED}"/>
    <cellStyle name="Currency 5 2 4 5 2 3" xfId="29147" xr:uid="{D9F3C0CF-61A7-41E3-B89B-ED9F2A5DB7B2}"/>
    <cellStyle name="Currency 5 2 4 5 2 4" xfId="20706" xr:uid="{D5A6EEC0-5A51-4B9B-85AD-B0E4167A12A3}"/>
    <cellStyle name="Currency 5 2 4 5 2 5" xfId="12265" xr:uid="{297D1864-E1C1-43FD-8F44-8A29BC520914}"/>
    <cellStyle name="Currency 5 2 4 5 3" xfId="5888" xr:uid="{00000000-0005-0000-0000-0000470C0000}"/>
    <cellStyle name="Currency 5 2 4 5 3 2" xfId="31220" xr:uid="{A3D3075E-86A4-4483-ABD3-746894EF92C4}"/>
    <cellStyle name="Currency 5 2 4 5 3 3" xfId="22779" xr:uid="{743EFB7E-54EC-4DD9-8E1D-2A38F0C1A3C8}"/>
    <cellStyle name="Currency 5 2 4 5 3 4" xfId="14338" xr:uid="{F29D64D1-8341-49F9-A195-4AFE7BC4B917}"/>
    <cellStyle name="Currency 5 2 4 5 4" xfId="27002" xr:uid="{923157A6-19B9-4F4C-8F15-7E57D56B7E22}"/>
    <cellStyle name="Currency 5 2 4 5 5" xfId="18561" xr:uid="{D3FAE63B-7DFF-4B44-90A6-7E81332B5572}"/>
    <cellStyle name="Currency 5 2 4 5 6" xfId="10120" xr:uid="{C37BD1AF-AC8C-492F-BC39-F5479869B85B}"/>
    <cellStyle name="Currency 5 2 4 6" xfId="1995" xr:uid="{00000000-0005-0000-0000-0000480C0000}"/>
    <cellStyle name="Currency 5 2 4 6 2" xfId="4224" xr:uid="{00000000-0005-0000-0000-0000490C0000}"/>
    <cellStyle name="Currency 5 2 4 6 2 2" xfId="8446" xr:uid="{00000000-0005-0000-0000-00004A0C0000}"/>
    <cellStyle name="Currency 5 2 4 6 2 2 2" xfId="33778" xr:uid="{7A844B6F-8D6E-42F3-85FA-CEA0D3362F23}"/>
    <cellStyle name="Currency 5 2 4 6 2 2 3" xfId="25337" xr:uid="{9EFADA4F-D4D1-4E84-9CF5-3037B47EC442}"/>
    <cellStyle name="Currency 5 2 4 6 2 2 4" xfId="16896" xr:uid="{68BC808B-44A7-4313-8291-23F7F479811F}"/>
    <cellStyle name="Currency 5 2 4 6 2 3" xfId="29560" xr:uid="{F2278F50-C2B7-4C2E-A019-45D9375B720F}"/>
    <cellStyle name="Currency 5 2 4 6 2 4" xfId="21119" xr:uid="{7B6723AE-40F9-44F6-BD98-AEC8FDA914C2}"/>
    <cellStyle name="Currency 5 2 4 6 2 5" xfId="12678" xr:uid="{7691CF97-1752-4EB6-BD7E-4E604E1159E9}"/>
    <cellStyle name="Currency 5 2 4 6 3" xfId="6301" xr:uid="{00000000-0005-0000-0000-00004B0C0000}"/>
    <cellStyle name="Currency 5 2 4 6 3 2" xfId="31633" xr:uid="{1F0E3B06-A649-41EB-813B-D77EAACDD564}"/>
    <cellStyle name="Currency 5 2 4 6 3 3" xfId="23192" xr:uid="{EE68FFC6-A5D5-4F79-B684-AAE236E6DFA8}"/>
    <cellStyle name="Currency 5 2 4 6 3 4" xfId="14751" xr:uid="{BDD9729B-2B93-48DB-87D4-74677044D734}"/>
    <cellStyle name="Currency 5 2 4 6 4" xfId="27415" xr:uid="{2A500561-1EFC-44EE-AC87-821CDC4FF873}"/>
    <cellStyle name="Currency 5 2 4 6 5" xfId="18974" xr:uid="{0A04D1E1-EA30-4E8A-9A5A-6CD0EA14F5CF}"/>
    <cellStyle name="Currency 5 2 4 6 6" xfId="10533" xr:uid="{399D2E84-380D-4A3E-9403-E8072A175900}"/>
    <cellStyle name="Currency 5 2 4 7" xfId="2430" xr:uid="{00000000-0005-0000-0000-00004C0C0000}"/>
    <cellStyle name="Currency 5 2 4 7 2" xfId="6714" xr:uid="{00000000-0005-0000-0000-00004D0C0000}"/>
    <cellStyle name="Currency 5 2 4 7 2 2" xfId="32046" xr:uid="{8E647B3C-86D8-41A2-BCC9-C67608A0EF41}"/>
    <cellStyle name="Currency 5 2 4 7 2 3" xfId="23605" xr:uid="{DF605304-B656-4233-A54A-E9F986039EAF}"/>
    <cellStyle name="Currency 5 2 4 7 2 4" xfId="15164" xr:uid="{83FEA63A-7EF3-4892-8DF8-A470CDD743A3}"/>
    <cellStyle name="Currency 5 2 4 7 3" xfId="27828" xr:uid="{159B8743-C1F9-4FE5-8357-C6FC1A6F2C62}"/>
    <cellStyle name="Currency 5 2 4 7 4" xfId="19387" xr:uid="{02096456-0692-4C6D-8E65-FAA43C443F42}"/>
    <cellStyle name="Currency 5 2 4 7 5" xfId="10946" xr:uid="{18FE725C-B9EF-4723-84D2-606E975E89E2}"/>
    <cellStyle name="Currency 5 2 4 8" xfId="2727" xr:uid="{00000000-0005-0000-0000-00004E0C0000}"/>
    <cellStyle name="Currency 5 2 4 9" xfId="2808" xr:uid="{00000000-0005-0000-0000-00004F0C0000}"/>
    <cellStyle name="Currency 5 2 4 9 2" xfId="7031" xr:uid="{00000000-0005-0000-0000-0000500C0000}"/>
    <cellStyle name="Currency 5 2 4 9 2 2" xfId="32363" xr:uid="{DAE2E006-228C-4AC3-9B4D-9D61733ED4B7}"/>
    <cellStyle name="Currency 5 2 4 9 2 3" xfId="23922" xr:uid="{48554519-C192-4738-B9DD-480FDDC90247}"/>
    <cellStyle name="Currency 5 2 4 9 2 4" xfId="15481" xr:uid="{B3F144E6-26C3-4D3A-8DA1-0BA8031C38FE}"/>
    <cellStyle name="Currency 5 2 4 9 3" xfId="28145" xr:uid="{9E9FA644-8A8E-4A92-AE0C-5597DDD7B146}"/>
    <cellStyle name="Currency 5 2 4 9 4" xfId="19704" xr:uid="{758E70E9-E0D3-4B56-8C5F-DBD225A4A9C8}"/>
    <cellStyle name="Currency 5 2 4 9 5" xfId="11263" xr:uid="{5047CE69-52CA-49B6-86F5-3E06E9726C47}"/>
    <cellStyle name="Currency 5 2 5" xfId="207" xr:uid="{00000000-0005-0000-0000-0000510C0000}"/>
    <cellStyle name="Currency 5 2 5 10" xfId="25764" xr:uid="{583A8940-BD69-40BB-B337-C30A27292C8A}"/>
    <cellStyle name="Currency 5 2 5 11" xfId="17323" xr:uid="{376ED1BD-6823-47D6-AA86-DBC327EB1163}"/>
    <cellStyle name="Currency 5 2 5 12" xfId="8882" xr:uid="{7097518E-DEB1-4AD7-98C3-073E4959A53F}"/>
    <cellStyle name="Currency 5 2 5 2" xfId="734" xr:uid="{00000000-0005-0000-0000-0000520C0000}"/>
    <cellStyle name="Currency 5 2 5 2 2" xfId="2987" xr:uid="{00000000-0005-0000-0000-0000530C0000}"/>
    <cellStyle name="Currency 5 2 5 2 2 2" xfId="7209" xr:uid="{00000000-0005-0000-0000-0000540C0000}"/>
    <cellStyle name="Currency 5 2 5 2 2 2 2" xfId="32541" xr:uid="{F739A5D8-C32D-4CDC-87DE-FC33B87184CF}"/>
    <cellStyle name="Currency 5 2 5 2 2 2 3" xfId="24100" xr:uid="{707F37AE-CCF7-4440-8522-C5AF0A8E586A}"/>
    <cellStyle name="Currency 5 2 5 2 2 2 4" xfId="15659" xr:uid="{32329CD7-11AD-4293-AADC-796E9B3AD051}"/>
    <cellStyle name="Currency 5 2 5 2 2 3" xfId="28323" xr:uid="{40A9451F-B87B-4137-BE86-DA7BFF1F3D3D}"/>
    <cellStyle name="Currency 5 2 5 2 2 4" xfId="19882" xr:uid="{BAC4EFC6-0622-47F9-A08B-6FB5842E52E0}"/>
    <cellStyle name="Currency 5 2 5 2 2 5" xfId="11441" xr:uid="{664446DF-DD86-41A3-841E-6301049D23B9}"/>
    <cellStyle name="Currency 5 2 5 2 3" xfId="5064" xr:uid="{00000000-0005-0000-0000-0000550C0000}"/>
    <cellStyle name="Currency 5 2 5 2 3 2" xfId="30396" xr:uid="{7C9D217E-2B90-4826-AB4C-7F9B17108AB4}"/>
    <cellStyle name="Currency 5 2 5 2 3 3" xfId="21955" xr:uid="{F1BEAFBB-C115-41D2-8D1D-2E6094E865C4}"/>
    <cellStyle name="Currency 5 2 5 2 3 4" xfId="13514" xr:uid="{3B809513-D08F-4C64-854E-023FC7D994A4}"/>
    <cellStyle name="Currency 5 2 5 2 4" xfId="26178" xr:uid="{164B6639-2A3D-46E5-ADFA-596A7A60F0DB}"/>
    <cellStyle name="Currency 5 2 5 2 5" xfId="17737" xr:uid="{EDD72771-6DAD-46AB-856B-6831BB4207F3}"/>
    <cellStyle name="Currency 5 2 5 2 6" xfId="9296" xr:uid="{B985176D-50CD-4EF7-931E-152CC8478A23}"/>
    <cellStyle name="Currency 5 2 5 3" xfId="1169" xr:uid="{00000000-0005-0000-0000-0000560C0000}"/>
    <cellStyle name="Currency 5 2 5 3 2" xfId="3400" xr:uid="{00000000-0005-0000-0000-0000570C0000}"/>
    <cellStyle name="Currency 5 2 5 3 2 2" xfId="7622" xr:uid="{00000000-0005-0000-0000-0000580C0000}"/>
    <cellStyle name="Currency 5 2 5 3 2 2 2" xfId="32954" xr:uid="{EA0B31C6-45B3-40B1-953D-166788DF436B}"/>
    <cellStyle name="Currency 5 2 5 3 2 2 3" xfId="24513" xr:uid="{01C5859D-973B-47C0-9E14-6570DFBD10C2}"/>
    <cellStyle name="Currency 5 2 5 3 2 2 4" xfId="16072" xr:uid="{93DA0799-CB2B-46F9-86E0-EA2CF574671F}"/>
    <cellStyle name="Currency 5 2 5 3 2 3" xfId="28736" xr:uid="{1F8DFD36-EC18-43F0-87A2-BFDA43552994}"/>
    <cellStyle name="Currency 5 2 5 3 2 4" xfId="20295" xr:uid="{7D2FF4FE-A342-4F8E-ADBC-48A454749F49}"/>
    <cellStyle name="Currency 5 2 5 3 2 5" xfId="11854" xr:uid="{5215900A-5D43-4D96-A897-3478D2CC7412}"/>
    <cellStyle name="Currency 5 2 5 3 3" xfId="5477" xr:uid="{00000000-0005-0000-0000-0000590C0000}"/>
    <cellStyle name="Currency 5 2 5 3 3 2" xfId="30809" xr:uid="{A18BA03C-F7CA-458D-BEAE-4570B5FBFA05}"/>
    <cellStyle name="Currency 5 2 5 3 3 3" xfId="22368" xr:uid="{ECA44915-E422-47F5-9775-851CE101A577}"/>
    <cellStyle name="Currency 5 2 5 3 3 4" xfId="13927" xr:uid="{06D2C6FE-5359-4F0A-8BC5-5B1A3C3E341C}"/>
    <cellStyle name="Currency 5 2 5 3 4" xfId="26591" xr:uid="{920D7C62-3F9C-4D21-A48C-34569B301D02}"/>
    <cellStyle name="Currency 5 2 5 3 5" xfId="18150" xr:uid="{C86B08C6-419C-4862-88FA-62B123A1253D}"/>
    <cellStyle name="Currency 5 2 5 3 6" xfId="9709" xr:uid="{C7EC1F18-6686-464C-AB59-726BA07D886B}"/>
    <cellStyle name="Currency 5 2 5 4" xfId="1583" xr:uid="{00000000-0005-0000-0000-00005A0C0000}"/>
    <cellStyle name="Currency 5 2 5 4 2" xfId="3813" xr:uid="{00000000-0005-0000-0000-00005B0C0000}"/>
    <cellStyle name="Currency 5 2 5 4 2 2" xfId="8035" xr:uid="{00000000-0005-0000-0000-00005C0C0000}"/>
    <cellStyle name="Currency 5 2 5 4 2 2 2" xfId="33367" xr:uid="{30D600DB-40FA-44A7-AB41-EC323F2F2540}"/>
    <cellStyle name="Currency 5 2 5 4 2 2 3" xfId="24926" xr:uid="{FC3029AF-F228-4BD8-A16B-D4DDF75ADD2A}"/>
    <cellStyle name="Currency 5 2 5 4 2 2 4" xfId="16485" xr:uid="{BBAF0A55-41CF-48CF-BC94-0C505D7EAD52}"/>
    <cellStyle name="Currency 5 2 5 4 2 3" xfId="29149" xr:uid="{FAE851B7-1D69-47DC-AFE5-37C5DE6B2BB7}"/>
    <cellStyle name="Currency 5 2 5 4 2 4" xfId="20708" xr:uid="{0CE86707-CF38-4FD2-9D56-3765335C3C0B}"/>
    <cellStyle name="Currency 5 2 5 4 2 5" xfId="12267" xr:uid="{70CC2557-14F3-4E97-A175-430636E5A71B}"/>
    <cellStyle name="Currency 5 2 5 4 3" xfId="5890" xr:uid="{00000000-0005-0000-0000-00005D0C0000}"/>
    <cellStyle name="Currency 5 2 5 4 3 2" xfId="31222" xr:uid="{F7EEF677-BC3E-418D-9FBE-B948A258F0AF}"/>
    <cellStyle name="Currency 5 2 5 4 3 3" xfId="22781" xr:uid="{91FF7585-BB8F-4D07-A246-2F21AAD20BCF}"/>
    <cellStyle name="Currency 5 2 5 4 3 4" xfId="14340" xr:uid="{3B101105-EB8D-4CF1-A079-B9ABD71FECD5}"/>
    <cellStyle name="Currency 5 2 5 4 4" xfId="27004" xr:uid="{D936142C-B443-4FA4-A3A4-79CFCAF66A81}"/>
    <cellStyle name="Currency 5 2 5 4 5" xfId="18563" xr:uid="{7FFA0EB2-91EE-499C-96DC-EA69DECCC54F}"/>
    <cellStyle name="Currency 5 2 5 4 6" xfId="10122" xr:uid="{0D654766-16DB-4EB6-B113-FB83ADA95E00}"/>
    <cellStyle name="Currency 5 2 5 5" xfId="1997" xr:uid="{00000000-0005-0000-0000-00005E0C0000}"/>
    <cellStyle name="Currency 5 2 5 5 2" xfId="4226" xr:uid="{00000000-0005-0000-0000-00005F0C0000}"/>
    <cellStyle name="Currency 5 2 5 5 2 2" xfId="8448" xr:uid="{00000000-0005-0000-0000-0000600C0000}"/>
    <cellStyle name="Currency 5 2 5 5 2 2 2" xfId="33780" xr:uid="{C3081B9F-F510-430F-9D3C-0ECFAA09C125}"/>
    <cellStyle name="Currency 5 2 5 5 2 2 3" xfId="25339" xr:uid="{0A6F42DD-F266-4049-848B-07A1462ED3E0}"/>
    <cellStyle name="Currency 5 2 5 5 2 2 4" xfId="16898" xr:uid="{79009B66-4558-4222-8EB8-04A764F8247B}"/>
    <cellStyle name="Currency 5 2 5 5 2 3" xfId="29562" xr:uid="{61ED200C-FEA3-4E92-91B4-6299995AF050}"/>
    <cellStyle name="Currency 5 2 5 5 2 4" xfId="21121" xr:uid="{D930DBDC-AADB-48A9-8AE1-93C46F8C4860}"/>
    <cellStyle name="Currency 5 2 5 5 2 5" xfId="12680" xr:uid="{A21C7305-2256-49A9-A6F7-1E42C7C7F49A}"/>
    <cellStyle name="Currency 5 2 5 5 3" xfId="6303" xr:uid="{00000000-0005-0000-0000-0000610C0000}"/>
    <cellStyle name="Currency 5 2 5 5 3 2" xfId="31635" xr:uid="{C2F03B41-6AB3-4EB5-8FF5-1E233F40DEE6}"/>
    <cellStyle name="Currency 5 2 5 5 3 3" xfId="23194" xr:uid="{C0DC8087-E425-45E8-89D5-0DC9A93AFA50}"/>
    <cellStyle name="Currency 5 2 5 5 3 4" xfId="14753" xr:uid="{C80F3BBB-B3B0-4B9B-987D-20EC21671763}"/>
    <cellStyle name="Currency 5 2 5 5 4" xfId="27417" xr:uid="{0C19EF34-7DD6-435D-BDBC-72F09073DD9B}"/>
    <cellStyle name="Currency 5 2 5 5 5" xfId="18976" xr:uid="{09ED3C5A-BEA6-4962-BE4F-DB80C571F715}"/>
    <cellStyle name="Currency 5 2 5 5 6" xfId="10535" xr:uid="{03347FBF-4176-4831-AD11-F6A754DBD996}"/>
    <cellStyle name="Currency 5 2 5 6" xfId="2432" xr:uid="{00000000-0005-0000-0000-0000620C0000}"/>
    <cellStyle name="Currency 5 2 5 6 2" xfId="6716" xr:uid="{00000000-0005-0000-0000-0000630C0000}"/>
    <cellStyle name="Currency 5 2 5 6 2 2" xfId="32048" xr:uid="{ED9920CB-1A6A-492E-AB2C-FC4B79BE6931}"/>
    <cellStyle name="Currency 5 2 5 6 2 3" xfId="23607" xr:uid="{B9AE3839-9CD4-4C33-B81B-E0A807441E1E}"/>
    <cellStyle name="Currency 5 2 5 6 2 4" xfId="15166" xr:uid="{7CCEA6CC-7880-4816-B5CE-8D1252F22AB9}"/>
    <cellStyle name="Currency 5 2 5 6 3" xfId="27830" xr:uid="{94D85FCF-7CB5-4254-9528-CB8514336740}"/>
    <cellStyle name="Currency 5 2 5 6 4" xfId="19389" xr:uid="{EF0A6E1A-E273-4B85-A286-BEDA1B91022D}"/>
    <cellStyle name="Currency 5 2 5 6 5" xfId="10948" xr:uid="{BBEAEBF1-E751-48E3-8947-6D1B29363629}"/>
    <cellStyle name="Currency 5 2 5 7" xfId="2729" xr:uid="{00000000-0005-0000-0000-0000640C0000}"/>
    <cellStyle name="Currency 5 2 5 8" xfId="2810" xr:uid="{00000000-0005-0000-0000-0000650C0000}"/>
    <cellStyle name="Currency 5 2 5 8 2" xfId="7033" xr:uid="{00000000-0005-0000-0000-0000660C0000}"/>
    <cellStyle name="Currency 5 2 5 8 2 2" xfId="32365" xr:uid="{BD1520D3-637D-4A75-AEBC-2DD14EA43BE0}"/>
    <cellStyle name="Currency 5 2 5 8 2 3" xfId="23924" xr:uid="{899F6EE1-7E8A-41C0-9C24-AE881BB41668}"/>
    <cellStyle name="Currency 5 2 5 8 2 4" xfId="15483" xr:uid="{6723D3DF-51FF-45D2-A6BC-74D1EBC9C7F6}"/>
    <cellStyle name="Currency 5 2 5 8 3" xfId="28147" xr:uid="{E720BB4D-9656-4C4E-824C-A536A8682112}"/>
    <cellStyle name="Currency 5 2 5 8 4" xfId="19706" xr:uid="{1CFCC797-CCF9-4D0E-AC80-F27406A13D9F}"/>
    <cellStyle name="Currency 5 2 5 8 5" xfId="11265" xr:uid="{E6218E7D-59B5-4377-993D-CED94DC8B57B}"/>
    <cellStyle name="Currency 5 2 5 9" xfId="4650" xr:uid="{00000000-0005-0000-0000-0000670C0000}"/>
    <cellStyle name="Currency 5 2 5 9 2" xfId="29982" xr:uid="{F17DB12B-32CF-4933-A553-691FBEB3623D}"/>
    <cellStyle name="Currency 5 2 5 9 3" xfId="21541" xr:uid="{9DF483DE-870B-404D-9811-DEEE73A2BB22}"/>
    <cellStyle name="Currency 5 2 5 9 4" xfId="13100" xr:uid="{BBC0C672-23F4-47F8-A63C-15233D82CC87}"/>
    <cellStyle name="Currency 5 2 6" xfId="208" xr:uid="{00000000-0005-0000-0000-0000680C0000}"/>
    <cellStyle name="Currency 5 2 6 10" xfId="25765" xr:uid="{B072DC22-8C66-40DB-85CA-F7B0AF632495}"/>
    <cellStyle name="Currency 5 2 6 11" xfId="17324" xr:uid="{A48B335C-5574-4186-B506-81CA835BCB25}"/>
    <cellStyle name="Currency 5 2 6 12" xfId="8883" xr:uid="{16B157FE-07EB-4AF3-A35E-C57A0FD212E0}"/>
    <cellStyle name="Currency 5 2 6 2" xfId="735" xr:uid="{00000000-0005-0000-0000-0000690C0000}"/>
    <cellStyle name="Currency 5 2 6 2 2" xfId="2988" xr:uid="{00000000-0005-0000-0000-00006A0C0000}"/>
    <cellStyle name="Currency 5 2 6 2 2 2" xfId="7210" xr:uid="{00000000-0005-0000-0000-00006B0C0000}"/>
    <cellStyle name="Currency 5 2 6 2 2 2 2" xfId="32542" xr:uid="{2B06F5A0-FB1C-44FF-8E4C-E975EA2F5A33}"/>
    <cellStyle name="Currency 5 2 6 2 2 2 3" xfId="24101" xr:uid="{880AC8AF-1283-46DB-9708-172E1EC1CEED}"/>
    <cellStyle name="Currency 5 2 6 2 2 2 4" xfId="15660" xr:uid="{A65E7AC0-5195-4408-AA42-495D9724139B}"/>
    <cellStyle name="Currency 5 2 6 2 2 3" xfId="28324" xr:uid="{DF299B1E-4B49-4E99-A154-F24DB05A5F91}"/>
    <cellStyle name="Currency 5 2 6 2 2 4" xfId="19883" xr:uid="{6D1423EC-D762-4614-B7C6-FB19EB4F433C}"/>
    <cellStyle name="Currency 5 2 6 2 2 5" xfId="11442" xr:uid="{1C2A96A9-9DF9-4DC6-A3B0-365450141EE5}"/>
    <cellStyle name="Currency 5 2 6 2 3" xfId="5065" xr:uid="{00000000-0005-0000-0000-00006C0C0000}"/>
    <cellStyle name="Currency 5 2 6 2 3 2" xfId="30397" xr:uid="{093894FA-C306-4D31-BECC-704E34F59F76}"/>
    <cellStyle name="Currency 5 2 6 2 3 3" xfId="21956" xr:uid="{29FC10AA-5875-43DC-B46F-9D3D7FF20E17}"/>
    <cellStyle name="Currency 5 2 6 2 3 4" xfId="13515" xr:uid="{DE30E29E-7FF4-45AF-86B3-F1EA4B3A3ABE}"/>
    <cellStyle name="Currency 5 2 6 2 4" xfId="26179" xr:uid="{333C4D14-14E2-4751-99D0-512CCE1A5607}"/>
    <cellStyle name="Currency 5 2 6 2 5" xfId="17738" xr:uid="{3CD1C2AD-D6A8-4C9C-83E3-AE40B79EA036}"/>
    <cellStyle name="Currency 5 2 6 2 6" xfId="9297" xr:uid="{D17FD4FD-0A5D-4794-B83B-2BCD92987AB8}"/>
    <cellStyle name="Currency 5 2 6 3" xfId="1170" xr:uid="{00000000-0005-0000-0000-00006D0C0000}"/>
    <cellStyle name="Currency 5 2 6 3 2" xfId="3401" xr:uid="{00000000-0005-0000-0000-00006E0C0000}"/>
    <cellStyle name="Currency 5 2 6 3 2 2" xfId="7623" xr:uid="{00000000-0005-0000-0000-00006F0C0000}"/>
    <cellStyle name="Currency 5 2 6 3 2 2 2" xfId="32955" xr:uid="{91663236-7EFC-42E9-A9DC-3066CF4C0657}"/>
    <cellStyle name="Currency 5 2 6 3 2 2 3" xfId="24514" xr:uid="{E41F2BBD-0415-4B0F-916E-603A9FBD2556}"/>
    <cellStyle name="Currency 5 2 6 3 2 2 4" xfId="16073" xr:uid="{C5C8310E-6C2B-4848-83ED-7CB29E834927}"/>
    <cellStyle name="Currency 5 2 6 3 2 3" xfId="28737" xr:uid="{F7AFC842-D37D-4422-9418-CD16B6F99BAE}"/>
    <cellStyle name="Currency 5 2 6 3 2 4" xfId="20296" xr:uid="{A11B178D-40FB-4098-B2B7-1D909C055824}"/>
    <cellStyle name="Currency 5 2 6 3 2 5" xfId="11855" xr:uid="{223B50F2-A678-4BEF-8E69-7D86FD33865D}"/>
    <cellStyle name="Currency 5 2 6 3 3" xfId="5478" xr:uid="{00000000-0005-0000-0000-0000700C0000}"/>
    <cellStyle name="Currency 5 2 6 3 3 2" xfId="30810" xr:uid="{8EBA4D50-7115-43F8-8717-5A06B547D350}"/>
    <cellStyle name="Currency 5 2 6 3 3 3" xfId="22369" xr:uid="{D9124803-0832-4178-9935-ECADC401B083}"/>
    <cellStyle name="Currency 5 2 6 3 3 4" xfId="13928" xr:uid="{DEA9C42C-351C-42F8-843A-8F5F79DEFAC1}"/>
    <cellStyle name="Currency 5 2 6 3 4" xfId="26592" xr:uid="{85903214-89A4-448C-8119-265F62032E79}"/>
    <cellStyle name="Currency 5 2 6 3 5" xfId="18151" xr:uid="{EDB6688A-681B-423B-840B-5957FAD63CEC}"/>
    <cellStyle name="Currency 5 2 6 3 6" xfId="9710" xr:uid="{8AFE17F8-12C7-4E5F-BD5F-796869316002}"/>
    <cellStyle name="Currency 5 2 6 4" xfId="1584" xr:uid="{00000000-0005-0000-0000-0000710C0000}"/>
    <cellStyle name="Currency 5 2 6 4 2" xfId="3814" xr:uid="{00000000-0005-0000-0000-0000720C0000}"/>
    <cellStyle name="Currency 5 2 6 4 2 2" xfId="8036" xr:uid="{00000000-0005-0000-0000-0000730C0000}"/>
    <cellStyle name="Currency 5 2 6 4 2 2 2" xfId="33368" xr:uid="{4E54CAA6-9937-442A-AE68-70249DECFA6F}"/>
    <cellStyle name="Currency 5 2 6 4 2 2 3" xfId="24927" xr:uid="{C4CCF9D0-4062-4368-8FE0-EBDE6B7E1915}"/>
    <cellStyle name="Currency 5 2 6 4 2 2 4" xfId="16486" xr:uid="{B0BD7AC7-8F7C-4D8D-AD77-69C464122D69}"/>
    <cellStyle name="Currency 5 2 6 4 2 3" xfId="29150" xr:uid="{76F4ED3E-B340-4B4A-954F-93CD6DBD5E8F}"/>
    <cellStyle name="Currency 5 2 6 4 2 4" xfId="20709" xr:uid="{9A463AB5-951C-4F3D-90A6-267D72091534}"/>
    <cellStyle name="Currency 5 2 6 4 2 5" xfId="12268" xr:uid="{6FB4288C-D3C8-400D-BD38-C77388C27E38}"/>
    <cellStyle name="Currency 5 2 6 4 3" xfId="5891" xr:uid="{00000000-0005-0000-0000-0000740C0000}"/>
    <cellStyle name="Currency 5 2 6 4 3 2" xfId="31223" xr:uid="{80B55877-B0C8-421D-82C3-95C99235A19C}"/>
    <cellStyle name="Currency 5 2 6 4 3 3" xfId="22782" xr:uid="{45E6D687-FCC2-45BF-A0D5-348173A183C2}"/>
    <cellStyle name="Currency 5 2 6 4 3 4" xfId="14341" xr:uid="{0D89709E-0C95-4CC2-8CA9-E0FF8A98C794}"/>
    <cellStyle name="Currency 5 2 6 4 4" xfId="27005" xr:uid="{DF0300E8-A69A-4734-87E7-2F995BD6A90D}"/>
    <cellStyle name="Currency 5 2 6 4 5" xfId="18564" xr:uid="{F2D55BE5-0E80-4D55-86FC-FF3C92780224}"/>
    <cellStyle name="Currency 5 2 6 4 6" xfId="10123" xr:uid="{85585825-ED05-4099-BF11-11269C0A86C5}"/>
    <cellStyle name="Currency 5 2 6 5" xfId="1998" xr:uid="{00000000-0005-0000-0000-0000750C0000}"/>
    <cellStyle name="Currency 5 2 6 5 2" xfId="4227" xr:uid="{00000000-0005-0000-0000-0000760C0000}"/>
    <cellStyle name="Currency 5 2 6 5 2 2" xfId="8449" xr:uid="{00000000-0005-0000-0000-0000770C0000}"/>
    <cellStyle name="Currency 5 2 6 5 2 2 2" xfId="33781" xr:uid="{15C4F64C-809B-47DC-832F-D1B6AA546343}"/>
    <cellStyle name="Currency 5 2 6 5 2 2 3" xfId="25340" xr:uid="{84ABCC00-6536-494C-974F-C396EA2536D7}"/>
    <cellStyle name="Currency 5 2 6 5 2 2 4" xfId="16899" xr:uid="{E64277E7-9987-4D2F-AB2F-AE9297D19F9B}"/>
    <cellStyle name="Currency 5 2 6 5 2 3" xfId="29563" xr:uid="{50BD14C8-6D7A-4A86-8624-ACC69441D285}"/>
    <cellStyle name="Currency 5 2 6 5 2 4" xfId="21122" xr:uid="{8A9F012F-F752-4361-B811-F95591F10E70}"/>
    <cellStyle name="Currency 5 2 6 5 2 5" xfId="12681" xr:uid="{172C0BD0-22FD-4CDB-BA7C-37F2D50BF1AC}"/>
    <cellStyle name="Currency 5 2 6 5 3" xfId="6304" xr:uid="{00000000-0005-0000-0000-0000780C0000}"/>
    <cellStyle name="Currency 5 2 6 5 3 2" xfId="31636" xr:uid="{2A79DC74-CFC3-4F30-90AB-0922C9C1AD98}"/>
    <cellStyle name="Currency 5 2 6 5 3 3" xfId="23195" xr:uid="{03B06DBB-D9A6-4E61-AF14-B61D228860EE}"/>
    <cellStyle name="Currency 5 2 6 5 3 4" xfId="14754" xr:uid="{43375E35-8DC7-4177-AE97-03189A72211E}"/>
    <cellStyle name="Currency 5 2 6 5 4" xfId="27418" xr:uid="{01FE054A-577E-4B63-97B6-DD53BC204349}"/>
    <cellStyle name="Currency 5 2 6 5 5" xfId="18977" xr:uid="{F3855130-B179-4851-B7CD-3F5D72F5AA44}"/>
    <cellStyle name="Currency 5 2 6 5 6" xfId="10536" xr:uid="{CCFC0FB0-C642-4011-84CA-82020CDDC893}"/>
    <cellStyle name="Currency 5 2 6 6" xfId="2433" xr:uid="{00000000-0005-0000-0000-0000790C0000}"/>
    <cellStyle name="Currency 5 2 6 6 2" xfId="6717" xr:uid="{00000000-0005-0000-0000-00007A0C0000}"/>
    <cellStyle name="Currency 5 2 6 6 2 2" xfId="32049" xr:uid="{919B398D-4175-427F-AF9F-41F28775BB1A}"/>
    <cellStyle name="Currency 5 2 6 6 2 3" xfId="23608" xr:uid="{F8AC949A-4A64-4804-8BBC-D910D35A4CBA}"/>
    <cellStyle name="Currency 5 2 6 6 2 4" xfId="15167" xr:uid="{BA7B4B81-949D-40DA-8623-A5CBEBADCA37}"/>
    <cellStyle name="Currency 5 2 6 6 3" xfId="27831" xr:uid="{1252100F-7AF0-46AA-BF6D-E6F4B3B14163}"/>
    <cellStyle name="Currency 5 2 6 6 4" xfId="19390" xr:uid="{20CF40EB-6D21-4173-8BC9-55C4E6B6C0B6}"/>
    <cellStyle name="Currency 5 2 6 6 5" xfId="10949" xr:uid="{31042B7B-B68A-4C75-B721-E1D7110DDB49}"/>
    <cellStyle name="Currency 5 2 6 7" xfId="2730" xr:uid="{00000000-0005-0000-0000-00007B0C0000}"/>
    <cellStyle name="Currency 5 2 6 8" xfId="2811" xr:uid="{00000000-0005-0000-0000-00007C0C0000}"/>
    <cellStyle name="Currency 5 2 6 8 2" xfId="7034" xr:uid="{00000000-0005-0000-0000-00007D0C0000}"/>
    <cellStyle name="Currency 5 2 6 8 2 2" xfId="32366" xr:uid="{57D894DA-BDCC-4E8F-B296-1ADE8185A73C}"/>
    <cellStyle name="Currency 5 2 6 8 2 3" xfId="23925" xr:uid="{7F48D0C5-BE2E-401A-8FB4-FC78C7409D1A}"/>
    <cellStyle name="Currency 5 2 6 8 2 4" xfId="15484" xr:uid="{E8EAA72E-898B-490B-B34E-2E05AF37B183}"/>
    <cellStyle name="Currency 5 2 6 8 3" xfId="28148" xr:uid="{B5E0545A-AF0C-41B2-BCDF-255A807D9895}"/>
    <cellStyle name="Currency 5 2 6 8 4" xfId="19707" xr:uid="{09D71F89-0B12-4DEF-90CF-6872D33FD452}"/>
    <cellStyle name="Currency 5 2 6 8 5" xfId="11266" xr:uid="{A6DCA3EA-2EB5-4511-9868-6E935DE4FCCC}"/>
    <cellStyle name="Currency 5 2 6 9" xfId="4651" xr:uid="{00000000-0005-0000-0000-00007E0C0000}"/>
    <cellStyle name="Currency 5 2 6 9 2" xfId="29983" xr:uid="{C2AA8022-5211-41F6-B18E-024798326933}"/>
    <cellStyle name="Currency 5 2 6 9 3" xfId="21542" xr:uid="{DF2DE83B-89DE-4E32-B7EA-219783CAEF26}"/>
    <cellStyle name="Currency 5 2 6 9 4" xfId="13101" xr:uid="{2A499876-D87B-46C6-812B-B239C876455A}"/>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0 2 2" xfId="32367" xr:uid="{F3364B00-2889-486B-B2B0-6ACA76D446E0}"/>
    <cellStyle name="Currency 5 3 2 10 2 3" xfId="23926" xr:uid="{00857057-3C1F-47A6-B978-0ABB1535066F}"/>
    <cellStyle name="Currency 5 3 2 10 2 4" xfId="15485" xr:uid="{E66821EF-5609-4D00-A45C-F7A553A5480F}"/>
    <cellStyle name="Currency 5 3 2 10 3" xfId="28149" xr:uid="{059B1820-201C-42E9-86A3-F3DE83BE5D3A}"/>
    <cellStyle name="Currency 5 3 2 10 4" xfId="19708" xr:uid="{79F5FFF0-00EF-43C5-A32E-3227D1139894}"/>
    <cellStyle name="Currency 5 3 2 10 5" xfId="11267" xr:uid="{81372BD1-BA0B-412D-83FA-A7581C21531E}"/>
    <cellStyle name="Currency 5 3 2 11" xfId="4652" xr:uid="{00000000-0005-0000-0000-0000840C0000}"/>
    <cellStyle name="Currency 5 3 2 11 2" xfId="29984" xr:uid="{9755CCBE-99FF-48CB-9476-15E40B61F4FB}"/>
    <cellStyle name="Currency 5 3 2 11 3" xfId="21543" xr:uid="{EEB34DDD-1D11-4546-8911-2FA08D89B42A}"/>
    <cellStyle name="Currency 5 3 2 11 4" xfId="13102" xr:uid="{BC74264E-1CB0-4118-B0B1-2186D03E0A0B}"/>
    <cellStyle name="Currency 5 3 2 12" xfId="25766" xr:uid="{19E26BEF-2580-41DD-AF71-B44236090101}"/>
    <cellStyle name="Currency 5 3 2 13" xfId="17325" xr:uid="{9EFFBD22-194C-44E0-817F-AAFA498CA662}"/>
    <cellStyle name="Currency 5 3 2 14" xfId="8884" xr:uid="{4C5AA22A-DEA0-4F03-9032-E119F4540E15}"/>
    <cellStyle name="Currency 5 3 2 2" xfId="211" xr:uid="{00000000-0005-0000-0000-0000850C0000}"/>
    <cellStyle name="Currency 5 3 2 2 10" xfId="4653" xr:uid="{00000000-0005-0000-0000-0000860C0000}"/>
    <cellStyle name="Currency 5 3 2 2 10 2" xfId="29985" xr:uid="{4A153FF6-4F7F-4101-B9C5-71A16AE04C88}"/>
    <cellStyle name="Currency 5 3 2 2 10 3" xfId="21544" xr:uid="{5C0A8D1B-22A6-458E-B291-71E2CC4EA5D3}"/>
    <cellStyle name="Currency 5 3 2 2 10 4" xfId="13103" xr:uid="{7738D410-C022-4DC5-AE77-B9FA643C848C}"/>
    <cellStyle name="Currency 5 3 2 2 11" xfId="25767" xr:uid="{52FF7A61-637E-499B-9131-2170CE1E7A43}"/>
    <cellStyle name="Currency 5 3 2 2 12" xfId="17326" xr:uid="{E00B3436-A226-4F4A-BEB6-40890A22AE9F}"/>
    <cellStyle name="Currency 5 3 2 2 13" xfId="8885" xr:uid="{91A5DE6F-5FC4-462B-ADE6-BBB8505BC0AB}"/>
    <cellStyle name="Currency 5 3 2 2 2" xfId="212" xr:uid="{00000000-0005-0000-0000-0000870C0000}"/>
    <cellStyle name="Currency 5 3 2 2 2 10" xfId="25768" xr:uid="{58FF39F0-4331-4F38-8742-C19EE4530CDD}"/>
    <cellStyle name="Currency 5 3 2 2 2 11" xfId="17327" xr:uid="{E0DD70AE-6ECE-4C98-85BF-09B32E9FA931}"/>
    <cellStyle name="Currency 5 3 2 2 2 12" xfId="8886" xr:uid="{0C716A6F-AEDA-4A11-A33C-6D46AB14E68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2 2 2" xfId="32545" xr:uid="{FB1EE22F-98BA-488C-B437-DE1822D6C06D}"/>
    <cellStyle name="Currency 5 3 2 2 2 2 2 2 3" xfId="24104" xr:uid="{CD3D431D-5ACE-49DD-AA14-C945A5BD4FA0}"/>
    <cellStyle name="Currency 5 3 2 2 2 2 2 2 4" xfId="15663" xr:uid="{CE32472D-A11B-4A88-8399-B2FACC42FB23}"/>
    <cellStyle name="Currency 5 3 2 2 2 2 2 3" xfId="28327" xr:uid="{A0373B12-66FF-4579-8116-145B6F444203}"/>
    <cellStyle name="Currency 5 3 2 2 2 2 2 4" xfId="19886" xr:uid="{0F0978F8-E177-4FB7-BB97-520AFE060643}"/>
    <cellStyle name="Currency 5 3 2 2 2 2 2 5" xfId="11445" xr:uid="{B8CC3A93-F731-4293-AD47-887F2354CBE8}"/>
    <cellStyle name="Currency 5 3 2 2 2 2 3" xfId="5068" xr:uid="{00000000-0005-0000-0000-00008B0C0000}"/>
    <cellStyle name="Currency 5 3 2 2 2 2 3 2" xfId="30400" xr:uid="{A02B52B7-B615-49DE-B722-80124958BA54}"/>
    <cellStyle name="Currency 5 3 2 2 2 2 3 3" xfId="21959" xr:uid="{2D455DF2-C0A4-45D5-BECC-5E363A2091A4}"/>
    <cellStyle name="Currency 5 3 2 2 2 2 3 4" xfId="13518" xr:uid="{95F342C3-BA4B-4AB8-AE04-B4DF5026E022}"/>
    <cellStyle name="Currency 5 3 2 2 2 2 4" xfId="26182" xr:uid="{B058A339-CE3C-4F9D-9171-42C6A2F6E554}"/>
    <cellStyle name="Currency 5 3 2 2 2 2 5" xfId="17741" xr:uid="{A09169DE-B6A6-4569-9B75-9350972C96F9}"/>
    <cellStyle name="Currency 5 3 2 2 2 2 6" xfId="9300" xr:uid="{37CC8742-660C-4F47-96E0-B2628E04D113}"/>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2 2 2" xfId="32958" xr:uid="{B60C0F7C-AB28-42EC-A0F6-D5667AF42C18}"/>
    <cellStyle name="Currency 5 3 2 2 2 3 2 2 3" xfId="24517" xr:uid="{855A3B92-FED3-46B2-AE0B-CD86516160FB}"/>
    <cellStyle name="Currency 5 3 2 2 2 3 2 2 4" xfId="16076" xr:uid="{26081349-B70B-4F49-AFCA-8404ADE15E4F}"/>
    <cellStyle name="Currency 5 3 2 2 2 3 2 3" xfId="28740" xr:uid="{36FA9B1C-4F76-4BE6-859F-51C813C4B7C3}"/>
    <cellStyle name="Currency 5 3 2 2 2 3 2 4" xfId="20299" xr:uid="{62D52B79-B115-43D6-99BF-E2627216B944}"/>
    <cellStyle name="Currency 5 3 2 2 2 3 2 5" xfId="11858" xr:uid="{D4DC8F41-7E92-4B0D-82D3-EBEA038EE48B}"/>
    <cellStyle name="Currency 5 3 2 2 2 3 3" xfId="5481" xr:uid="{00000000-0005-0000-0000-00008F0C0000}"/>
    <cellStyle name="Currency 5 3 2 2 2 3 3 2" xfId="30813" xr:uid="{EFEB996A-4ACF-4F9F-897D-8976E9ECC25A}"/>
    <cellStyle name="Currency 5 3 2 2 2 3 3 3" xfId="22372" xr:uid="{2901E8C0-9F1D-4C62-B7BC-EB1101A47A3B}"/>
    <cellStyle name="Currency 5 3 2 2 2 3 3 4" xfId="13931" xr:uid="{F83A43F2-D099-47DC-9C79-13220C1B5E7F}"/>
    <cellStyle name="Currency 5 3 2 2 2 3 4" xfId="26595" xr:uid="{517765B1-96BE-4E81-B554-61FF2544A95D}"/>
    <cellStyle name="Currency 5 3 2 2 2 3 5" xfId="18154" xr:uid="{767C78BE-FED6-4929-8EE9-A40931C28357}"/>
    <cellStyle name="Currency 5 3 2 2 2 3 6" xfId="9713" xr:uid="{B29809CA-E073-44C5-9699-BE045CA14518}"/>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2 2 2" xfId="33371" xr:uid="{42B7D16C-BEF9-4A3C-8256-B1629BABE655}"/>
    <cellStyle name="Currency 5 3 2 2 2 4 2 2 3" xfId="24930" xr:uid="{E52B109E-394C-4F2C-B2FB-A56B0E27A8BE}"/>
    <cellStyle name="Currency 5 3 2 2 2 4 2 2 4" xfId="16489" xr:uid="{1A3B0895-8F42-475D-AAA9-89F18BF8B826}"/>
    <cellStyle name="Currency 5 3 2 2 2 4 2 3" xfId="29153" xr:uid="{FC81132F-6FF1-4E84-9F00-9A2751B05070}"/>
    <cellStyle name="Currency 5 3 2 2 2 4 2 4" xfId="20712" xr:uid="{2628E5AF-B637-42F3-ABFA-95817070527F}"/>
    <cellStyle name="Currency 5 3 2 2 2 4 2 5" xfId="12271" xr:uid="{5E394A84-BA91-4815-81A0-EC8941D3FE93}"/>
    <cellStyle name="Currency 5 3 2 2 2 4 3" xfId="5894" xr:uid="{00000000-0005-0000-0000-0000930C0000}"/>
    <cellStyle name="Currency 5 3 2 2 2 4 3 2" xfId="31226" xr:uid="{D006F9F1-9A58-4003-B33E-B67BAD2B8326}"/>
    <cellStyle name="Currency 5 3 2 2 2 4 3 3" xfId="22785" xr:uid="{401C53ED-97FD-4624-8B1B-4436F352B5F5}"/>
    <cellStyle name="Currency 5 3 2 2 2 4 3 4" xfId="14344" xr:uid="{9DCB1D45-60F1-4FA7-A8C2-CE47619FEBA6}"/>
    <cellStyle name="Currency 5 3 2 2 2 4 4" xfId="27008" xr:uid="{45E70EBB-5611-42FD-8F24-0EEB93936295}"/>
    <cellStyle name="Currency 5 3 2 2 2 4 5" xfId="18567" xr:uid="{F3CF69D6-87CF-4246-98D6-C5E67F94F1DE}"/>
    <cellStyle name="Currency 5 3 2 2 2 4 6" xfId="10126" xr:uid="{589A3895-7070-4B12-A2DA-ACF2986EC2A8}"/>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2 2 2" xfId="33784" xr:uid="{2EE7A61C-DEBF-4177-A53C-F993CA2E683B}"/>
    <cellStyle name="Currency 5 3 2 2 2 5 2 2 3" xfId="25343" xr:uid="{BA252056-E821-4B8E-9B34-666272A7AE0D}"/>
    <cellStyle name="Currency 5 3 2 2 2 5 2 2 4" xfId="16902" xr:uid="{88784C06-863B-48C6-835E-A32DEA54E99B}"/>
    <cellStyle name="Currency 5 3 2 2 2 5 2 3" xfId="29566" xr:uid="{95345BA6-2673-4A56-9F30-1A0A05E71C27}"/>
    <cellStyle name="Currency 5 3 2 2 2 5 2 4" xfId="21125" xr:uid="{F7D67E38-0E33-4278-A0B1-C1552E7A1D04}"/>
    <cellStyle name="Currency 5 3 2 2 2 5 2 5" xfId="12684" xr:uid="{525DAA20-4D03-4F35-801E-C931F928DC6B}"/>
    <cellStyle name="Currency 5 3 2 2 2 5 3" xfId="6307" xr:uid="{00000000-0005-0000-0000-0000970C0000}"/>
    <cellStyle name="Currency 5 3 2 2 2 5 3 2" xfId="31639" xr:uid="{8E00D76D-5EA1-4BD9-9754-8229BEDB979A}"/>
    <cellStyle name="Currency 5 3 2 2 2 5 3 3" xfId="23198" xr:uid="{14B4203A-6943-49FB-AD32-6F0746FD32E1}"/>
    <cellStyle name="Currency 5 3 2 2 2 5 3 4" xfId="14757" xr:uid="{BDA91FE9-C8D8-4789-B549-82B113BED807}"/>
    <cellStyle name="Currency 5 3 2 2 2 5 4" xfId="27421" xr:uid="{6A4D62A4-96E3-468E-8E83-89BEFC4E0F32}"/>
    <cellStyle name="Currency 5 3 2 2 2 5 5" xfId="18980" xr:uid="{62454266-29D5-46DB-80E5-648BE568CC45}"/>
    <cellStyle name="Currency 5 3 2 2 2 5 6" xfId="10539" xr:uid="{91E87335-7630-4AEB-B96B-BD1AD8D2FB37}"/>
    <cellStyle name="Currency 5 3 2 2 2 6" xfId="2436" xr:uid="{00000000-0005-0000-0000-0000980C0000}"/>
    <cellStyle name="Currency 5 3 2 2 2 6 2" xfId="6720" xr:uid="{00000000-0005-0000-0000-0000990C0000}"/>
    <cellStyle name="Currency 5 3 2 2 2 6 2 2" xfId="32052" xr:uid="{77D47F4D-3CAA-419C-8373-743A064BACF6}"/>
    <cellStyle name="Currency 5 3 2 2 2 6 2 3" xfId="23611" xr:uid="{489B4252-6409-45DB-9A63-7169810D69E5}"/>
    <cellStyle name="Currency 5 3 2 2 2 6 2 4" xfId="15170" xr:uid="{77CDD50A-97C5-46F5-A769-46F5AFCF28D5}"/>
    <cellStyle name="Currency 5 3 2 2 2 6 3" xfId="27834" xr:uid="{8225D08E-46DC-4BE6-AF3A-5DB93631FC3B}"/>
    <cellStyle name="Currency 5 3 2 2 2 6 4" xfId="19393" xr:uid="{284C40CA-226F-446C-ABD4-AFD845215517}"/>
    <cellStyle name="Currency 5 3 2 2 2 6 5" xfId="10952" xr:uid="{76A2B191-D56F-4093-BEE1-BA9789ECAA77}"/>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8 2 2" xfId="32369" xr:uid="{157AD2CF-5704-4D26-8B70-12AA4C8BBE03}"/>
    <cellStyle name="Currency 5 3 2 2 2 8 2 3" xfId="23928" xr:uid="{C0BBA2E3-F4EF-44A0-984B-343AE026F4FF}"/>
    <cellStyle name="Currency 5 3 2 2 2 8 2 4" xfId="15487" xr:uid="{AA284DD9-68A6-4163-BD7D-C32D4EFB10DB}"/>
    <cellStyle name="Currency 5 3 2 2 2 8 3" xfId="28151" xr:uid="{3E47E8D0-13BE-4A5E-870D-C89838A69BCC}"/>
    <cellStyle name="Currency 5 3 2 2 2 8 4" xfId="19710" xr:uid="{93C58920-5317-4273-8877-AB64D7F51A94}"/>
    <cellStyle name="Currency 5 3 2 2 2 8 5" xfId="11269" xr:uid="{E4E5E0D6-CF88-4CA8-9423-2E74FC9395C8}"/>
    <cellStyle name="Currency 5 3 2 2 2 9" xfId="4654" xr:uid="{00000000-0005-0000-0000-00009D0C0000}"/>
    <cellStyle name="Currency 5 3 2 2 2 9 2" xfId="29986" xr:uid="{CC522B92-901A-42BF-B6FE-97E17C754D03}"/>
    <cellStyle name="Currency 5 3 2 2 2 9 3" xfId="21545" xr:uid="{96D2E831-E6E5-4DA5-AB5D-8E612790DD16}"/>
    <cellStyle name="Currency 5 3 2 2 2 9 4" xfId="13104" xr:uid="{0DF32FF3-BDED-4D37-A442-FFF3F7EE3B9A}"/>
    <cellStyle name="Currency 5 3 2 2 3" xfId="737" xr:uid="{00000000-0005-0000-0000-00009E0C0000}"/>
    <cellStyle name="Currency 5 3 2 2 3 2" xfId="2990" xr:uid="{00000000-0005-0000-0000-00009F0C0000}"/>
    <cellStyle name="Currency 5 3 2 2 3 2 2" xfId="7212" xr:uid="{00000000-0005-0000-0000-0000A00C0000}"/>
    <cellStyle name="Currency 5 3 2 2 3 2 2 2" xfId="32544" xr:uid="{27F63B07-42BF-4708-9B05-EEE8F16AD557}"/>
    <cellStyle name="Currency 5 3 2 2 3 2 2 3" xfId="24103" xr:uid="{580AFDBF-0AF3-4659-B09C-07EC343E0E5F}"/>
    <cellStyle name="Currency 5 3 2 2 3 2 2 4" xfId="15662" xr:uid="{D0ADA77A-D26C-4A9A-A7F8-934B9BD2539F}"/>
    <cellStyle name="Currency 5 3 2 2 3 2 3" xfId="28326" xr:uid="{05D928C3-A0BF-4FB7-AE7C-736010D80A2B}"/>
    <cellStyle name="Currency 5 3 2 2 3 2 4" xfId="19885" xr:uid="{261DEA60-90C4-4639-A586-CBCE4259CA08}"/>
    <cellStyle name="Currency 5 3 2 2 3 2 5" xfId="11444" xr:uid="{8EBFBF5E-5A51-435E-8FA8-9040D9B2E690}"/>
    <cellStyle name="Currency 5 3 2 2 3 3" xfId="5067" xr:uid="{00000000-0005-0000-0000-0000A10C0000}"/>
    <cellStyle name="Currency 5 3 2 2 3 3 2" xfId="30399" xr:uid="{F23184C7-4D8C-4658-85FA-796CE977CF36}"/>
    <cellStyle name="Currency 5 3 2 2 3 3 3" xfId="21958" xr:uid="{40324B18-303F-4BC6-8D01-6CCE384F6101}"/>
    <cellStyle name="Currency 5 3 2 2 3 3 4" xfId="13517" xr:uid="{D8A99376-D3F3-48C6-A12E-073445BF5F6E}"/>
    <cellStyle name="Currency 5 3 2 2 3 4" xfId="26181" xr:uid="{824BCA28-B6F3-4046-A7E3-6AF89A33AB7D}"/>
    <cellStyle name="Currency 5 3 2 2 3 5" xfId="17740" xr:uid="{35F041E2-E7C1-4C75-B444-322AB6391371}"/>
    <cellStyle name="Currency 5 3 2 2 3 6" xfId="9299" xr:uid="{89F2E4BA-9D9B-42CB-B0A4-D07B56489449}"/>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2 2 2" xfId="32957" xr:uid="{5C830C0C-F2FC-48C2-863B-E88CCED9DD6A}"/>
    <cellStyle name="Currency 5 3 2 2 4 2 2 3" xfId="24516" xr:uid="{AC20C03D-2A0A-4B76-AAE3-49647095A283}"/>
    <cellStyle name="Currency 5 3 2 2 4 2 2 4" xfId="16075" xr:uid="{8A08B130-7489-44AA-8335-3AAEF089F7E9}"/>
    <cellStyle name="Currency 5 3 2 2 4 2 3" xfId="28739" xr:uid="{7C8D3E73-D67D-4ACF-AF7C-36A6BA2D3A18}"/>
    <cellStyle name="Currency 5 3 2 2 4 2 4" xfId="20298" xr:uid="{B9D1D9C3-95A4-43CB-9051-A36B53FF07F0}"/>
    <cellStyle name="Currency 5 3 2 2 4 2 5" xfId="11857" xr:uid="{8C6A95CB-1E0F-40C6-BD91-F8B67E58F91E}"/>
    <cellStyle name="Currency 5 3 2 2 4 3" xfId="5480" xr:uid="{00000000-0005-0000-0000-0000A50C0000}"/>
    <cellStyle name="Currency 5 3 2 2 4 3 2" xfId="30812" xr:uid="{6D5110B5-F733-4A8F-BFA9-2EB185F6DE9E}"/>
    <cellStyle name="Currency 5 3 2 2 4 3 3" xfId="22371" xr:uid="{013F18D0-B2E3-4E03-98C4-E8EFB66CF014}"/>
    <cellStyle name="Currency 5 3 2 2 4 3 4" xfId="13930" xr:uid="{C21F8C04-E272-4B0F-9FEA-86877C44BA9A}"/>
    <cellStyle name="Currency 5 3 2 2 4 4" xfId="26594" xr:uid="{2205448A-AACF-4CD8-8CF0-F5E5F86499EF}"/>
    <cellStyle name="Currency 5 3 2 2 4 5" xfId="18153" xr:uid="{92ADA3A2-5428-48FD-83E1-AD19CA54AEFF}"/>
    <cellStyle name="Currency 5 3 2 2 4 6" xfId="9712" xr:uid="{AF0D48B3-39BA-42A9-AE87-08E6DDA7A09F}"/>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2 2 2" xfId="33370" xr:uid="{789D97F0-C2D2-4F11-B233-5F21128FF3B1}"/>
    <cellStyle name="Currency 5 3 2 2 5 2 2 3" xfId="24929" xr:uid="{FB9B1FC8-0B16-451D-814B-6F9CE1D7455F}"/>
    <cellStyle name="Currency 5 3 2 2 5 2 2 4" xfId="16488" xr:uid="{27294766-5ED7-4B7C-A5A3-22B307ED6206}"/>
    <cellStyle name="Currency 5 3 2 2 5 2 3" xfId="29152" xr:uid="{2C8BBAB6-F911-4103-BC66-04AF0F4D2101}"/>
    <cellStyle name="Currency 5 3 2 2 5 2 4" xfId="20711" xr:uid="{EDFB8E7E-A42B-42C7-9BE5-DED6D8DCB5F6}"/>
    <cellStyle name="Currency 5 3 2 2 5 2 5" xfId="12270" xr:uid="{7CF6DC8D-480C-4101-BD31-B1010C60BC74}"/>
    <cellStyle name="Currency 5 3 2 2 5 3" xfId="5893" xr:uid="{00000000-0005-0000-0000-0000A90C0000}"/>
    <cellStyle name="Currency 5 3 2 2 5 3 2" xfId="31225" xr:uid="{9BAF226B-9D22-4DEE-8DFF-ED954488FBB2}"/>
    <cellStyle name="Currency 5 3 2 2 5 3 3" xfId="22784" xr:uid="{735BDE74-2696-44B6-AA20-D30362DDF7F3}"/>
    <cellStyle name="Currency 5 3 2 2 5 3 4" xfId="14343" xr:uid="{8160D9F4-6267-4B2E-BFD3-CD41A04FFFC7}"/>
    <cellStyle name="Currency 5 3 2 2 5 4" xfId="27007" xr:uid="{DF037D08-BE4E-4E22-979F-996DB55800EC}"/>
    <cellStyle name="Currency 5 3 2 2 5 5" xfId="18566" xr:uid="{BE36A302-8D7A-4104-8F66-C8EE60EDC4D5}"/>
    <cellStyle name="Currency 5 3 2 2 5 6" xfId="10125" xr:uid="{03AF91D1-25A8-4DAD-8338-17A61949AD02}"/>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2 2 2" xfId="33783" xr:uid="{EBC9D7B1-F6B9-409E-837F-F8C8B59C2F77}"/>
    <cellStyle name="Currency 5 3 2 2 6 2 2 3" xfId="25342" xr:uid="{62DE4D46-33BF-449F-AE48-72555EC54AF4}"/>
    <cellStyle name="Currency 5 3 2 2 6 2 2 4" xfId="16901" xr:uid="{54DAA189-716D-43A5-80E6-12B89DB5DE8D}"/>
    <cellStyle name="Currency 5 3 2 2 6 2 3" xfId="29565" xr:uid="{94D31ACD-5B21-44E6-BC0F-5E67E9654C46}"/>
    <cellStyle name="Currency 5 3 2 2 6 2 4" xfId="21124" xr:uid="{9C2F3E0B-377F-4FCD-B068-A83D8B8AAFD3}"/>
    <cellStyle name="Currency 5 3 2 2 6 2 5" xfId="12683" xr:uid="{F65D821D-8E4D-4DD6-89B7-79E19BA08D5F}"/>
    <cellStyle name="Currency 5 3 2 2 6 3" xfId="6306" xr:uid="{00000000-0005-0000-0000-0000AD0C0000}"/>
    <cellStyle name="Currency 5 3 2 2 6 3 2" xfId="31638" xr:uid="{9967307A-4202-4A94-9618-F39475696A8B}"/>
    <cellStyle name="Currency 5 3 2 2 6 3 3" xfId="23197" xr:uid="{A4AF6B79-6508-4E88-A7DD-0E57DC82EF22}"/>
    <cellStyle name="Currency 5 3 2 2 6 3 4" xfId="14756" xr:uid="{E16F7893-9B5B-4C76-923B-8617ED9FDD48}"/>
    <cellStyle name="Currency 5 3 2 2 6 4" xfId="27420" xr:uid="{EFEF5A0C-FD43-441B-B3F7-783F3A19CF7E}"/>
    <cellStyle name="Currency 5 3 2 2 6 5" xfId="18979" xr:uid="{DFF09B5E-A6A9-40EF-927F-626D8C8E5DFC}"/>
    <cellStyle name="Currency 5 3 2 2 6 6" xfId="10538" xr:uid="{5FDDD086-A040-425D-BFCB-F3A55DFCD5FE}"/>
    <cellStyle name="Currency 5 3 2 2 7" xfId="2435" xr:uid="{00000000-0005-0000-0000-0000AE0C0000}"/>
    <cellStyle name="Currency 5 3 2 2 7 2" xfId="6719" xr:uid="{00000000-0005-0000-0000-0000AF0C0000}"/>
    <cellStyle name="Currency 5 3 2 2 7 2 2" xfId="32051" xr:uid="{B391FDCA-211B-4A3D-B612-30548779840C}"/>
    <cellStyle name="Currency 5 3 2 2 7 2 3" xfId="23610" xr:uid="{441D4156-1EA9-4248-94A3-F584D365D96C}"/>
    <cellStyle name="Currency 5 3 2 2 7 2 4" xfId="15169" xr:uid="{027928F5-8F3C-47E7-9C62-E35DDE547429}"/>
    <cellStyle name="Currency 5 3 2 2 7 3" xfId="27833" xr:uid="{05DB46BF-6EC6-4EFD-9157-9AAC706DD4A0}"/>
    <cellStyle name="Currency 5 3 2 2 7 4" xfId="19392" xr:uid="{9282691B-AA0C-45A8-8570-48F8BEDFC88B}"/>
    <cellStyle name="Currency 5 3 2 2 7 5" xfId="10951" xr:uid="{E7305A09-9419-45B7-9E0B-7C1D3E4AAE2A}"/>
    <cellStyle name="Currency 5 3 2 2 8" xfId="2732" xr:uid="{00000000-0005-0000-0000-0000B00C0000}"/>
    <cellStyle name="Currency 5 3 2 2 9" xfId="2813" xr:uid="{00000000-0005-0000-0000-0000B10C0000}"/>
    <cellStyle name="Currency 5 3 2 2 9 2" xfId="7036" xr:uid="{00000000-0005-0000-0000-0000B20C0000}"/>
    <cellStyle name="Currency 5 3 2 2 9 2 2" xfId="32368" xr:uid="{3E127414-A88A-4484-961A-E4908E54CC79}"/>
    <cellStyle name="Currency 5 3 2 2 9 2 3" xfId="23927" xr:uid="{DED75568-8BB4-4FF3-BCC0-04258DB1E7BA}"/>
    <cellStyle name="Currency 5 3 2 2 9 2 4" xfId="15486" xr:uid="{ED35935A-072C-4428-8FD5-F441D9657D42}"/>
    <cellStyle name="Currency 5 3 2 2 9 3" xfId="28150" xr:uid="{88B4B306-0D24-47E0-90B5-4A0D54EAC39E}"/>
    <cellStyle name="Currency 5 3 2 2 9 4" xfId="19709" xr:uid="{5E4C8BD2-F364-4544-B75A-1ABEDE633168}"/>
    <cellStyle name="Currency 5 3 2 2 9 5" xfId="11268" xr:uid="{99B6B364-E2C1-4883-B614-46D91180ACC5}"/>
    <cellStyle name="Currency 5 3 2 3" xfId="213" xr:uid="{00000000-0005-0000-0000-0000B30C0000}"/>
    <cellStyle name="Currency 5 3 2 3 10" xfId="25769" xr:uid="{3F7BC735-9095-424F-9996-DEDFD1F950B1}"/>
    <cellStyle name="Currency 5 3 2 3 11" xfId="17328" xr:uid="{2F9B2709-205A-4011-8A27-BED43DBA1EDE}"/>
    <cellStyle name="Currency 5 3 2 3 12" xfId="8887" xr:uid="{0CFA5C0C-A2D2-43C9-BB57-0264DC7E1199}"/>
    <cellStyle name="Currency 5 3 2 3 2" xfId="739" xr:uid="{00000000-0005-0000-0000-0000B40C0000}"/>
    <cellStyle name="Currency 5 3 2 3 2 2" xfId="2992" xr:uid="{00000000-0005-0000-0000-0000B50C0000}"/>
    <cellStyle name="Currency 5 3 2 3 2 2 2" xfId="7214" xr:uid="{00000000-0005-0000-0000-0000B60C0000}"/>
    <cellStyle name="Currency 5 3 2 3 2 2 2 2" xfId="32546" xr:uid="{76EDDF8B-F15F-450E-AA6B-EFAE9E9C636F}"/>
    <cellStyle name="Currency 5 3 2 3 2 2 2 3" xfId="24105" xr:uid="{35D25CF2-9E05-48EB-AA31-4313E7772FBB}"/>
    <cellStyle name="Currency 5 3 2 3 2 2 2 4" xfId="15664" xr:uid="{3D2E03EC-86A1-4420-9E83-0476433433E5}"/>
    <cellStyle name="Currency 5 3 2 3 2 2 3" xfId="28328" xr:uid="{77665269-A34E-4371-B8F0-F89B1B6F488F}"/>
    <cellStyle name="Currency 5 3 2 3 2 2 4" xfId="19887" xr:uid="{77566CAE-0443-4FC3-9D0B-16515F285990}"/>
    <cellStyle name="Currency 5 3 2 3 2 2 5" xfId="11446" xr:uid="{A02A9C48-D6A6-4423-B8B5-043EC0144219}"/>
    <cellStyle name="Currency 5 3 2 3 2 3" xfId="5069" xr:uid="{00000000-0005-0000-0000-0000B70C0000}"/>
    <cellStyle name="Currency 5 3 2 3 2 3 2" xfId="30401" xr:uid="{C92F8D5D-F1B7-4D3D-9D5E-F0C3732485DB}"/>
    <cellStyle name="Currency 5 3 2 3 2 3 3" xfId="21960" xr:uid="{E4F5EAC3-91E2-4DD2-B11F-7A86952E4380}"/>
    <cellStyle name="Currency 5 3 2 3 2 3 4" xfId="13519" xr:uid="{BFE5585D-55BA-425F-8904-7DC808CB5777}"/>
    <cellStyle name="Currency 5 3 2 3 2 4" xfId="26183" xr:uid="{F7DD748C-0582-44F8-9F0B-D8A6D5757EAF}"/>
    <cellStyle name="Currency 5 3 2 3 2 5" xfId="17742" xr:uid="{701EC0F0-D1D4-46AD-8848-15BBA1D0F565}"/>
    <cellStyle name="Currency 5 3 2 3 2 6" xfId="9301" xr:uid="{63CECDE5-1BAC-4AC8-826F-6624028193FA}"/>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2 2 2" xfId="32959" xr:uid="{0502B0E9-BDB5-469F-A1D5-41962C158A33}"/>
    <cellStyle name="Currency 5 3 2 3 3 2 2 3" xfId="24518" xr:uid="{282FE8A0-BC01-4D39-B253-5E391F15074A}"/>
    <cellStyle name="Currency 5 3 2 3 3 2 2 4" xfId="16077" xr:uid="{7A66C8F5-6036-4944-9FCB-9F9963181EB5}"/>
    <cellStyle name="Currency 5 3 2 3 3 2 3" xfId="28741" xr:uid="{A12642E0-EA9E-46FA-9E28-C73B22C10CA7}"/>
    <cellStyle name="Currency 5 3 2 3 3 2 4" xfId="20300" xr:uid="{7746FA90-8EF8-4DA2-8ADF-65ABB1808B17}"/>
    <cellStyle name="Currency 5 3 2 3 3 2 5" xfId="11859" xr:uid="{C7A836C3-5B8C-4AC8-B023-7A891CA46D95}"/>
    <cellStyle name="Currency 5 3 2 3 3 3" xfId="5482" xr:uid="{00000000-0005-0000-0000-0000BB0C0000}"/>
    <cellStyle name="Currency 5 3 2 3 3 3 2" xfId="30814" xr:uid="{F7BDEE92-BF0D-40E0-9968-081D719FBE15}"/>
    <cellStyle name="Currency 5 3 2 3 3 3 3" xfId="22373" xr:uid="{FC0FF0EC-7178-4287-8A47-1A19CD8946B8}"/>
    <cellStyle name="Currency 5 3 2 3 3 3 4" xfId="13932" xr:uid="{C5BD3614-4094-4738-A87D-4C53B20C9E22}"/>
    <cellStyle name="Currency 5 3 2 3 3 4" xfId="26596" xr:uid="{CCAE6BFF-0482-44B9-AC7C-4816422C5999}"/>
    <cellStyle name="Currency 5 3 2 3 3 5" xfId="18155" xr:uid="{732E7ECD-DACB-4394-8638-A15206766621}"/>
    <cellStyle name="Currency 5 3 2 3 3 6" xfId="9714" xr:uid="{CC866C6B-6DE5-4C78-9CB2-0A9A707FD5EF}"/>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2 2 2" xfId="33372" xr:uid="{FE8A66C3-8578-4720-BA12-12F6C69382DA}"/>
    <cellStyle name="Currency 5 3 2 3 4 2 2 3" xfId="24931" xr:uid="{3ED2D29F-F9EA-4F24-A464-D8429ED23C8D}"/>
    <cellStyle name="Currency 5 3 2 3 4 2 2 4" xfId="16490" xr:uid="{8DA89968-3BD3-4D5E-A409-AB641ED21450}"/>
    <cellStyle name="Currency 5 3 2 3 4 2 3" xfId="29154" xr:uid="{313319C6-A9EC-4865-A70D-8115FCF8D553}"/>
    <cellStyle name="Currency 5 3 2 3 4 2 4" xfId="20713" xr:uid="{3360A14E-F764-4E75-82DC-AED71FF7E261}"/>
    <cellStyle name="Currency 5 3 2 3 4 2 5" xfId="12272" xr:uid="{0D1BC6F6-247B-463E-8F6C-8A7BC4B4C78E}"/>
    <cellStyle name="Currency 5 3 2 3 4 3" xfId="5895" xr:uid="{00000000-0005-0000-0000-0000BF0C0000}"/>
    <cellStyle name="Currency 5 3 2 3 4 3 2" xfId="31227" xr:uid="{D717F318-B819-49A3-ABEA-40CBE5C15FDB}"/>
    <cellStyle name="Currency 5 3 2 3 4 3 3" xfId="22786" xr:uid="{7A13FF69-F784-4944-A29B-2C70550418A6}"/>
    <cellStyle name="Currency 5 3 2 3 4 3 4" xfId="14345" xr:uid="{818CE936-4C4A-409A-9DC2-A5692DF366D3}"/>
    <cellStyle name="Currency 5 3 2 3 4 4" xfId="27009" xr:uid="{F9E3769D-2DE4-47F7-93A8-9EF296B828E2}"/>
    <cellStyle name="Currency 5 3 2 3 4 5" xfId="18568" xr:uid="{B5430A8F-5BB3-4272-AA0B-7E23CFF93565}"/>
    <cellStyle name="Currency 5 3 2 3 4 6" xfId="10127" xr:uid="{20A4E678-98B0-4303-A9BC-08FEA24BD12D}"/>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2 2 2" xfId="33785" xr:uid="{F7A846BF-951A-4E66-B0E6-5B01903B329A}"/>
    <cellStyle name="Currency 5 3 2 3 5 2 2 3" xfId="25344" xr:uid="{C3DE54A0-A25D-4584-9972-32BE0D5FDEBE}"/>
    <cellStyle name="Currency 5 3 2 3 5 2 2 4" xfId="16903" xr:uid="{73D42C92-B0F6-4208-87FF-6D3AC18A273E}"/>
    <cellStyle name="Currency 5 3 2 3 5 2 3" xfId="29567" xr:uid="{F4886510-82CC-4FDE-89E2-4C8C2D49F262}"/>
    <cellStyle name="Currency 5 3 2 3 5 2 4" xfId="21126" xr:uid="{C0D5B87B-3B72-4F34-95EB-9A883CD5051E}"/>
    <cellStyle name="Currency 5 3 2 3 5 2 5" xfId="12685" xr:uid="{9106CDE1-F8A1-4BA5-B162-67B81FB63032}"/>
    <cellStyle name="Currency 5 3 2 3 5 3" xfId="6308" xr:uid="{00000000-0005-0000-0000-0000C30C0000}"/>
    <cellStyle name="Currency 5 3 2 3 5 3 2" xfId="31640" xr:uid="{5BCE5E8C-1F2A-488E-991E-449B4F65869C}"/>
    <cellStyle name="Currency 5 3 2 3 5 3 3" xfId="23199" xr:uid="{2A89EFC8-A987-4189-9BF7-A532277396AD}"/>
    <cellStyle name="Currency 5 3 2 3 5 3 4" xfId="14758" xr:uid="{88198B27-D3F2-4276-801C-AE6ADD27A0FE}"/>
    <cellStyle name="Currency 5 3 2 3 5 4" xfId="27422" xr:uid="{5E44D63B-5003-4604-B1F6-2E355FD7F6ED}"/>
    <cellStyle name="Currency 5 3 2 3 5 5" xfId="18981" xr:uid="{E431F5FD-0E94-4766-9D60-F1A820C866EE}"/>
    <cellStyle name="Currency 5 3 2 3 5 6" xfId="10540" xr:uid="{5AD61796-C85E-459F-B465-E747D36C1814}"/>
    <cellStyle name="Currency 5 3 2 3 6" xfId="2437" xr:uid="{00000000-0005-0000-0000-0000C40C0000}"/>
    <cellStyle name="Currency 5 3 2 3 6 2" xfId="6721" xr:uid="{00000000-0005-0000-0000-0000C50C0000}"/>
    <cellStyle name="Currency 5 3 2 3 6 2 2" xfId="32053" xr:uid="{CEB96040-E1B0-448E-880A-B36111F8DF88}"/>
    <cellStyle name="Currency 5 3 2 3 6 2 3" xfId="23612" xr:uid="{3D73A964-00B7-46C7-A9B5-9F2BD2238C30}"/>
    <cellStyle name="Currency 5 3 2 3 6 2 4" xfId="15171" xr:uid="{1FAC96C4-5215-4A87-95C3-62FFDC85C96B}"/>
    <cellStyle name="Currency 5 3 2 3 6 3" xfId="27835" xr:uid="{A0FCCB11-C707-40E0-8580-701F21C6D15B}"/>
    <cellStyle name="Currency 5 3 2 3 6 4" xfId="19394" xr:uid="{661B5EEF-92E3-4348-B623-F9B84457DC93}"/>
    <cellStyle name="Currency 5 3 2 3 6 5" xfId="10953" xr:uid="{6E7B3922-BC4F-455D-BAEC-6514D598A494}"/>
    <cellStyle name="Currency 5 3 2 3 7" xfId="2734" xr:uid="{00000000-0005-0000-0000-0000C60C0000}"/>
    <cellStyle name="Currency 5 3 2 3 8" xfId="2815" xr:uid="{00000000-0005-0000-0000-0000C70C0000}"/>
    <cellStyle name="Currency 5 3 2 3 8 2" xfId="7038" xr:uid="{00000000-0005-0000-0000-0000C80C0000}"/>
    <cellStyle name="Currency 5 3 2 3 8 2 2" xfId="32370" xr:uid="{F762972A-A891-4F04-B42A-3324DC4EF0FD}"/>
    <cellStyle name="Currency 5 3 2 3 8 2 3" xfId="23929" xr:uid="{7E5F4575-857F-43B3-A535-6025FC903B66}"/>
    <cellStyle name="Currency 5 3 2 3 8 2 4" xfId="15488" xr:uid="{9555F1E5-5C1F-4146-8DCF-C1DE4B60CD7E}"/>
    <cellStyle name="Currency 5 3 2 3 8 3" xfId="28152" xr:uid="{2D1E00F0-5B3C-48D3-AD72-3514B5A8D7C7}"/>
    <cellStyle name="Currency 5 3 2 3 8 4" xfId="19711" xr:uid="{6640CF5B-FB91-4E1E-A922-2DA178D46A4F}"/>
    <cellStyle name="Currency 5 3 2 3 8 5" xfId="11270" xr:uid="{BE8F1149-A753-496E-8A7E-B9E5B3F16807}"/>
    <cellStyle name="Currency 5 3 2 3 9" xfId="4655" xr:uid="{00000000-0005-0000-0000-0000C90C0000}"/>
    <cellStyle name="Currency 5 3 2 3 9 2" xfId="29987" xr:uid="{34DF68B9-7223-4703-8FC5-5318F59E7091}"/>
    <cellStyle name="Currency 5 3 2 3 9 3" xfId="21546" xr:uid="{B239FFD3-54C8-485E-91A3-EE2DC362F962}"/>
    <cellStyle name="Currency 5 3 2 3 9 4" xfId="13105" xr:uid="{EB4D4011-51B9-4A7C-80B7-7291BD9B36A1}"/>
    <cellStyle name="Currency 5 3 2 4" xfId="736" xr:uid="{00000000-0005-0000-0000-0000CA0C0000}"/>
    <cellStyle name="Currency 5 3 2 4 2" xfId="2989" xr:uid="{00000000-0005-0000-0000-0000CB0C0000}"/>
    <cellStyle name="Currency 5 3 2 4 2 2" xfId="7211" xr:uid="{00000000-0005-0000-0000-0000CC0C0000}"/>
    <cellStyle name="Currency 5 3 2 4 2 2 2" xfId="32543" xr:uid="{B0A554FC-A073-4289-8722-08626425B914}"/>
    <cellStyle name="Currency 5 3 2 4 2 2 3" xfId="24102" xr:uid="{FED91AB2-5CC0-44FD-8159-45BBBF6096F8}"/>
    <cellStyle name="Currency 5 3 2 4 2 2 4" xfId="15661" xr:uid="{A56B71EC-32D4-4458-AF41-8A9D11B55323}"/>
    <cellStyle name="Currency 5 3 2 4 2 3" xfId="28325" xr:uid="{46EED492-6BB1-4660-B9B1-5C07E426DF2E}"/>
    <cellStyle name="Currency 5 3 2 4 2 4" xfId="19884" xr:uid="{3B6BE43E-37B6-4749-80AE-9576C006502F}"/>
    <cellStyle name="Currency 5 3 2 4 2 5" xfId="11443" xr:uid="{49B328F9-17BD-4F28-86CA-7999D17AECA5}"/>
    <cellStyle name="Currency 5 3 2 4 3" xfId="5066" xr:uid="{00000000-0005-0000-0000-0000CD0C0000}"/>
    <cellStyle name="Currency 5 3 2 4 3 2" xfId="30398" xr:uid="{CCB34D53-8CC0-48CE-B11D-440B1CF963C3}"/>
    <cellStyle name="Currency 5 3 2 4 3 3" xfId="21957" xr:uid="{DD140DFA-6AC6-40EC-9367-25B850AA8873}"/>
    <cellStyle name="Currency 5 3 2 4 3 4" xfId="13516" xr:uid="{133F3402-5E93-496A-8B7E-5DB29CC64079}"/>
    <cellStyle name="Currency 5 3 2 4 4" xfId="26180" xr:uid="{F60FC0CB-2B85-443E-9D13-DEE2377A4240}"/>
    <cellStyle name="Currency 5 3 2 4 5" xfId="17739" xr:uid="{5FF8615B-2A83-464D-B4A3-93D51BDDB705}"/>
    <cellStyle name="Currency 5 3 2 4 6" xfId="9298" xr:uid="{3E049DDA-5FF3-46AB-8D53-218EA5D5CAC3}"/>
    <cellStyle name="Currency 5 3 2 5" xfId="1171" xr:uid="{00000000-0005-0000-0000-0000CE0C0000}"/>
    <cellStyle name="Currency 5 3 2 5 2" xfId="3402" xr:uid="{00000000-0005-0000-0000-0000CF0C0000}"/>
    <cellStyle name="Currency 5 3 2 5 2 2" xfId="7624" xr:uid="{00000000-0005-0000-0000-0000D00C0000}"/>
    <cellStyle name="Currency 5 3 2 5 2 2 2" xfId="32956" xr:uid="{6FD4D0A1-9662-4C3A-AE8A-B7888107E7C2}"/>
    <cellStyle name="Currency 5 3 2 5 2 2 3" xfId="24515" xr:uid="{E6F4E9F7-79A6-42A9-8B49-3936D54D2775}"/>
    <cellStyle name="Currency 5 3 2 5 2 2 4" xfId="16074" xr:uid="{09D19AF9-2F1D-4672-B078-B13FB675F10D}"/>
    <cellStyle name="Currency 5 3 2 5 2 3" xfId="28738" xr:uid="{E5633202-F0BC-463B-A541-6AB3A7B79F15}"/>
    <cellStyle name="Currency 5 3 2 5 2 4" xfId="20297" xr:uid="{521C2D37-CDB7-4E34-BAAA-A7FF8A2C76F1}"/>
    <cellStyle name="Currency 5 3 2 5 2 5" xfId="11856" xr:uid="{E70B23D5-A22E-44B1-BDA2-9337DBE808C4}"/>
    <cellStyle name="Currency 5 3 2 5 3" xfId="5479" xr:uid="{00000000-0005-0000-0000-0000D10C0000}"/>
    <cellStyle name="Currency 5 3 2 5 3 2" xfId="30811" xr:uid="{A5BD868E-0962-444D-A53B-58B6D5173EBC}"/>
    <cellStyle name="Currency 5 3 2 5 3 3" xfId="22370" xr:uid="{4ECF99A2-A5CF-4EFA-BDC6-7CE13EC71EC8}"/>
    <cellStyle name="Currency 5 3 2 5 3 4" xfId="13929" xr:uid="{611F8F77-C505-4893-B5DD-E946F14EFB6C}"/>
    <cellStyle name="Currency 5 3 2 5 4" xfId="26593" xr:uid="{4D40F53E-3650-4CB7-80F6-3DDEE1D489A1}"/>
    <cellStyle name="Currency 5 3 2 5 5" xfId="18152" xr:uid="{0F7FBEBF-678A-4C76-AD53-9BCA107320EC}"/>
    <cellStyle name="Currency 5 3 2 5 6" xfId="9711" xr:uid="{830D28AB-AFFF-4DF6-8427-BE03FEAD00D2}"/>
    <cellStyle name="Currency 5 3 2 6" xfId="1585" xr:uid="{00000000-0005-0000-0000-0000D20C0000}"/>
    <cellStyle name="Currency 5 3 2 6 2" xfId="3815" xr:uid="{00000000-0005-0000-0000-0000D30C0000}"/>
    <cellStyle name="Currency 5 3 2 6 2 2" xfId="8037" xr:uid="{00000000-0005-0000-0000-0000D40C0000}"/>
    <cellStyle name="Currency 5 3 2 6 2 2 2" xfId="33369" xr:uid="{05EE987A-94BB-481C-86B5-6884D54B1A4C}"/>
    <cellStyle name="Currency 5 3 2 6 2 2 3" xfId="24928" xr:uid="{97A47549-DF1F-4596-BBCF-4976915D6E23}"/>
    <cellStyle name="Currency 5 3 2 6 2 2 4" xfId="16487" xr:uid="{5DF4E58E-A331-4663-B563-A237338ABA8A}"/>
    <cellStyle name="Currency 5 3 2 6 2 3" xfId="29151" xr:uid="{247E3E41-F212-42F3-911B-01B53A85D09D}"/>
    <cellStyle name="Currency 5 3 2 6 2 4" xfId="20710" xr:uid="{75AE62DC-452C-4322-8B36-C2AD0B92B822}"/>
    <cellStyle name="Currency 5 3 2 6 2 5" xfId="12269" xr:uid="{300B54BF-4769-47FF-8147-0258041ECA4C}"/>
    <cellStyle name="Currency 5 3 2 6 3" xfId="5892" xr:uid="{00000000-0005-0000-0000-0000D50C0000}"/>
    <cellStyle name="Currency 5 3 2 6 3 2" xfId="31224" xr:uid="{BBBC8284-8D00-45E9-AED8-1DB76A5111C0}"/>
    <cellStyle name="Currency 5 3 2 6 3 3" xfId="22783" xr:uid="{7B86A1DA-728D-4EFC-A517-CB387408C62E}"/>
    <cellStyle name="Currency 5 3 2 6 3 4" xfId="14342" xr:uid="{21C1B43F-054C-4495-9518-9ABE4F0C3082}"/>
    <cellStyle name="Currency 5 3 2 6 4" xfId="27006" xr:uid="{7F505CF0-4D12-4A48-AC8A-E1206948F98B}"/>
    <cellStyle name="Currency 5 3 2 6 5" xfId="18565" xr:uid="{AFDD57A0-815F-4DC2-9B94-951F099CE0E5}"/>
    <cellStyle name="Currency 5 3 2 6 6" xfId="10124" xr:uid="{721CBFFD-0CDC-4158-B43E-66FD2075C0B3}"/>
    <cellStyle name="Currency 5 3 2 7" xfId="1999" xr:uid="{00000000-0005-0000-0000-0000D60C0000}"/>
    <cellStyle name="Currency 5 3 2 7 2" xfId="4228" xr:uid="{00000000-0005-0000-0000-0000D70C0000}"/>
    <cellStyle name="Currency 5 3 2 7 2 2" xfId="8450" xr:uid="{00000000-0005-0000-0000-0000D80C0000}"/>
    <cellStyle name="Currency 5 3 2 7 2 2 2" xfId="33782" xr:uid="{66DBBF9A-97BB-4059-8883-DF7AF7246134}"/>
    <cellStyle name="Currency 5 3 2 7 2 2 3" xfId="25341" xr:uid="{1DB01741-DEAD-449E-B4E9-35DB15788FB3}"/>
    <cellStyle name="Currency 5 3 2 7 2 2 4" xfId="16900" xr:uid="{C8BD6C08-44F4-479D-9744-72473662FF3A}"/>
    <cellStyle name="Currency 5 3 2 7 2 3" xfId="29564" xr:uid="{199EF41E-4C73-409A-92BB-D5C7A0A5E98B}"/>
    <cellStyle name="Currency 5 3 2 7 2 4" xfId="21123" xr:uid="{2D592B3B-F017-4D96-B554-17047E8D26F2}"/>
    <cellStyle name="Currency 5 3 2 7 2 5" xfId="12682" xr:uid="{26A3A753-CAF0-4199-BD09-363F8266155E}"/>
    <cellStyle name="Currency 5 3 2 7 3" xfId="6305" xr:uid="{00000000-0005-0000-0000-0000D90C0000}"/>
    <cellStyle name="Currency 5 3 2 7 3 2" xfId="31637" xr:uid="{C908C268-42F4-458C-B791-38528638DB43}"/>
    <cellStyle name="Currency 5 3 2 7 3 3" xfId="23196" xr:uid="{C1EC8FE0-81DA-41D9-95FA-045E2D022DA4}"/>
    <cellStyle name="Currency 5 3 2 7 3 4" xfId="14755" xr:uid="{7DCAB1CF-43A2-40D7-9E8D-4D5ABF34604B}"/>
    <cellStyle name="Currency 5 3 2 7 4" xfId="27419" xr:uid="{CD307ABF-9F06-482E-B30C-3A8323905934}"/>
    <cellStyle name="Currency 5 3 2 7 5" xfId="18978" xr:uid="{BB5C8067-B73C-4959-BFB9-9178E5C3FC50}"/>
    <cellStyle name="Currency 5 3 2 7 6" xfId="10537" xr:uid="{DD3F31C7-6DDE-4400-8987-B69C73709358}"/>
    <cellStyle name="Currency 5 3 2 8" xfId="2434" xr:uid="{00000000-0005-0000-0000-0000DA0C0000}"/>
    <cellStyle name="Currency 5 3 2 8 2" xfId="6718" xr:uid="{00000000-0005-0000-0000-0000DB0C0000}"/>
    <cellStyle name="Currency 5 3 2 8 2 2" xfId="32050" xr:uid="{5D68CB9E-CC5B-49C7-95E3-EDC045C97E42}"/>
    <cellStyle name="Currency 5 3 2 8 2 3" xfId="23609" xr:uid="{70987F61-2325-4976-BED1-4C618671425C}"/>
    <cellStyle name="Currency 5 3 2 8 2 4" xfId="15168" xr:uid="{709C15EC-E637-4D6D-861D-7CEEF322CE06}"/>
    <cellStyle name="Currency 5 3 2 8 3" xfId="27832" xr:uid="{B3A43847-EE3C-441B-B0AA-C144A4B78A01}"/>
    <cellStyle name="Currency 5 3 2 8 4" xfId="19391" xr:uid="{2E4A65CD-9A34-4661-97C6-DC0B3628BA3A}"/>
    <cellStyle name="Currency 5 3 2 8 5" xfId="10950" xr:uid="{712AE668-8063-443C-8804-2CF1374FF794}"/>
    <cellStyle name="Currency 5 3 2 9" xfId="2731" xr:uid="{00000000-0005-0000-0000-0000DC0C0000}"/>
    <cellStyle name="Currency 5 3 3" xfId="214" xr:uid="{00000000-0005-0000-0000-0000DD0C0000}"/>
    <cellStyle name="Currency 5 3 3 10" xfId="4656" xr:uid="{00000000-0005-0000-0000-0000DE0C0000}"/>
    <cellStyle name="Currency 5 3 3 10 2" xfId="29988" xr:uid="{F58B2E70-66F7-4EE4-B7B0-99192A08E3E7}"/>
    <cellStyle name="Currency 5 3 3 10 3" xfId="21547" xr:uid="{D203696E-2449-4C4D-9C25-F3B3F34C814E}"/>
    <cellStyle name="Currency 5 3 3 10 4" xfId="13106" xr:uid="{0CB1B8BC-2B19-4C0B-8B71-72A93E6FDF34}"/>
    <cellStyle name="Currency 5 3 3 11" xfId="25770" xr:uid="{2BBD6794-270F-4539-A3A4-2C1C872F374D}"/>
    <cellStyle name="Currency 5 3 3 12" xfId="17329" xr:uid="{6AFE2826-9430-49F6-A3BC-598C844933F0}"/>
    <cellStyle name="Currency 5 3 3 13" xfId="8888" xr:uid="{A4586B9E-8434-499F-8591-895287ADF7AB}"/>
    <cellStyle name="Currency 5 3 3 2" xfId="215" xr:uid="{00000000-0005-0000-0000-0000DF0C0000}"/>
    <cellStyle name="Currency 5 3 3 2 10" xfId="25771" xr:uid="{4C42A8C4-48AF-4401-B870-9A7163FED4B8}"/>
    <cellStyle name="Currency 5 3 3 2 11" xfId="17330" xr:uid="{B4AB87E4-3885-4FB5-B17C-F841DDAE814D}"/>
    <cellStyle name="Currency 5 3 3 2 12" xfId="8889" xr:uid="{41E876B3-E42D-4552-8440-38D7399DAA3F}"/>
    <cellStyle name="Currency 5 3 3 2 2" xfId="741" xr:uid="{00000000-0005-0000-0000-0000E00C0000}"/>
    <cellStyle name="Currency 5 3 3 2 2 2" xfId="2994" xr:uid="{00000000-0005-0000-0000-0000E10C0000}"/>
    <cellStyle name="Currency 5 3 3 2 2 2 2" xfId="7216" xr:uid="{00000000-0005-0000-0000-0000E20C0000}"/>
    <cellStyle name="Currency 5 3 3 2 2 2 2 2" xfId="32548" xr:uid="{2762AEE3-6637-4FE6-9A2B-7F1FFB50A638}"/>
    <cellStyle name="Currency 5 3 3 2 2 2 2 3" xfId="24107" xr:uid="{E9B6D063-9221-4AAA-B1F4-8EE359C82076}"/>
    <cellStyle name="Currency 5 3 3 2 2 2 2 4" xfId="15666" xr:uid="{28125A9A-F876-44E0-B50E-3970E8E23B8C}"/>
    <cellStyle name="Currency 5 3 3 2 2 2 3" xfId="28330" xr:uid="{5F5878F9-7412-4A27-B310-F389F782DD46}"/>
    <cellStyle name="Currency 5 3 3 2 2 2 4" xfId="19889" xr:uid="{EE0ABDF7-A048-4B37-A35C-915175CC3A5D}"/>
    <cellStyle name="Currency 5 3 3 2 2 2 5" xfId="11448" xr:uid="{D4339C44-A869-4CE0-8390-5ACD46D7C6AB}"/>
    <cellStyle name="Currency 5 3 3 2 2 3" xfId="5071" xr:uid="{00000000-0005-0000-0000-0000E30C0000}"/>
    <cellStyle name="Currency 5 3 3 2 2 3 2" xfId="30403" xr:uid="{9FF3B05E-194C-42BC-8212-1BA00A9F1F37}"/>
    <cellStyle name="Currency 5 3 3 2 2 3 3" xfId="21962" xr:uid="{67C73C3D-B6FD-442A-B27C-AFC74B42C162}"/>
    <cellStyle name="Currency 5 3 3 2 2 3 4" xfId="13521" xr:uid="{7F040F88-3303-4A2E-9737-292271306B8F}"/>
    <cellStyle name="Currency 5 3 3 2 2 4" xfId="26185" xr:uid="{244C667D-2877-4EF2-BA4C-9319AAE1003F}"/>
    <cellStyle name="Currency 5 3 3 2 2 5" xfId="17744" xr:uid="{D9A1F1C8-0F22-4CFA-87CB-CF62853D1B19}"/>
    <cellStyle name="Currency 5 3 3 2 2 6" xfId="9303" xr:uid="{9DEFBF8E-BDEC-44C3-874F-5BE44F2CA443}"/>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2 2 2" xfId="32961" xr:uid="{59336468-FFF9-4531-9BED-D7C2E5D2656B}"/>
    <cellStyle name="Currency 5 3 3 2 3 2 2 3" xfId="24520" xr:uid="{6FC64851-A9ED-40BC-9003-34CC0A3E86C1}"/>
    <cellStyle name="Currency 5 3 3 2 3 2 2 4" xfId="16079" xr:uid="{6B8D8BE4-ECF5-4928-BE26-6BA587A8DE65}"/>
    <cellStyle name="Currency 5 3 3 2 3 2 3" xfId="28743" xr:uid="{FA2E9470-1D48-450B-82C0-BE397827CE26}"/>
    <cellStyle name="Currency 5 3 3 2 3 2 4" xfId="20302" xr:uid="{6EBA7EED-F239-4A7D-A119-4DE4943B94EE}"/>
    <cellStyle name="Currency 5 3 3 2 3 2 5" xfId="11861" xr:uid="{25C04B88-F512-4D75-ADDE-1FC77DD90169}"/>
    <cellStyle name="Currency 5 3 3 2 3 3" xfId="5484" xr:uid="{00000000-0005-0000-0000-0000E70C0000}"/>
    <cellStyle name="Currency 5 3 3 2 3 3 2" xfId="30816" xr:uid="{A3441C36-449B-48CB-BC8B-E8A36CA252F8}"/>
    <cellStyle name="Currency 5 3 3 2 3 3 3" xfId="22375" xr:uid="{B25E580C-A425-4A90-867F-EF0F453238AB}"/>
    <cellStyle name="Currency 5 3 3 2 3 3 4" xfId="13934" xr:uid="{713DC7B0-F23A-43D5-912C-2B84CCD28F71}"/>
    <cellStyle name="Currency 5 3 3 2 3 4" xfId="26598" xr:uid="{10397690-0F3E-467F-8D93-C0D0DF481F33}"/>
    <cellStyle name="Currency 5 3 3 2 3 5" xfId="18157" xr:uid="{2F684829-0977-44C5-A308-2C4069371376}"/>
    <cellStyle name="Currency 5 3 3 2 3 6" xfId="9716" xr:uid="{AA8510AF-E8AB-4D34-B5EA-7ADA0C7F6536}"/>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2 2 2" xfId="33374" xr:uid="{181C1D89-4429-4CB8-B003-79A57A946EA8}"/>
    <cellStyle name="Currency 5 3 3 2 4 2 2 3" xfId="24933" xr:uid="{12B0E9E4-57F3-4040-A442-AEDD8C565F3C}"/>
    <cellStyle name="Currency 5 3 3 2 4 2 2 4" xfId="16492" xr:uid="{48758089-CB5A-4364-B650-22463B87FBCE}"/>
    <cellStyle name="Currency 5 3 3 2 4 2 3" xfId="29156" xr:uid="{887550ED-0488-454C-8C81-86F71A24017C}"/>
    <cellStyle name="Currency 5 3 3 2 4 2 4" xfId="20715" xr:uid="{27469FF7-CD81-4171-ACDF-D951676F5362}"/>
    <cellStyle name="Currency 5 3 3 2 4 2 5" xfId="12274" xr:uid="{BF27062E-F1B6-4A1E-A928-D52F7261DD9E}"/>
    <cellStyle name="Currency 5 3 3 2 4 3" xfId="5897" xr:uid="{00000000-0005-0000-0000-0000EB0C0000}"/>
    <cellStyle name="Currency 5 3 3 2 4 3 2" xfId="31229" xr:uid="{C4B4FD20-45C2-4714-87C4-115784C0864F}"/>
    <cellStyle name="Currency 5 3 3 2 4 3 3" xfId="22788" xr:uid="{F014D618-9865-4B68-B6FC-1ACD31D359F2}"/>
    <cellStyle name="Currency 5 3 3 2 4 3 4" xfId="14347" xr:uid="{2018BF93-DD72-4F10-8BC6-8ED690DA0D00}"/>
    <cellStyle name="Currency 5 3 3 2 4 4" xfId="27011" xr:uid="{2AA39BEE-8887-4F91-A07E-738B5AA7DF30}"/>
    <cellStyle name="Currency 5 3 3 2 4 5" xfId="18570" xr:uid="{9FB93C27-BA0A-4586-9DF1-47CB02EC24FD}"/>
    <cellStyle name="Currency 5 3 3 2 4 6" xfId="10129" xr:uid="{81C9CF6E-C0AD-4C38-B0BA-13AD23B6278A}"/>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2 2 2" xfId="33787" xr:uid="{500295FB-0C67-4639-994C-A898C1DFD873}"/>
    <cellStyle name="Currency 5 3 3 2 5 2 2 3" xfId="25346" xr:uid="{D442EC80-6C7E-4852-A0C1-127AAA4864C6}"/>
    <cellStyle name="Currency 5 3 3 2 5 2 2 4" xfId="16905" xr:uid="{67CF9B32-A4E1-4B9D-AA22-2157997D54C5}"/>
    <cellStyle name="Currency 5 3 3 2 5 2 3" xfId="29569" xr:uid="{D5C8CDED-4F7D-4AC0-9F3A-14BE31B28CA0}"/>
    <cellStyle name="Currency 5 3 3 2 5 2 4" xfId="21128" xr:uid="{852E7B43-5154-4239-97AD-657849759BBD}"/>
    <cellStyle name="Currency 5 3 3 2 5 2 5" xfId="12687" xr:uid="{5CD671EF-72BB-49FF-8E9F-F6E20E691F61}"/>
    <cellStyle name="Currency 5 3 3 2 5 3" xfId="6310" xr:uid="{00000000-0005-0000-0000-0000EF0C0000}"/>
    <cellStyle name="Currency 5 3 3 2 5 3 2" xfId="31642" xr:uid="{B2F872F1-A701-427D-AFAF-463E21548D65}"/>
    <cellStyle name="Currency 5 3 3 2 5 3 3" xfId="23201" xr:uid="{6097EA5A-C37C-4FFC-A3CF-86751C8B9C6F}"/>
    <cellStyle name="Currency 5 3 3 2 5 3 4" xfId="14760" xr:uid="{CD3772DD-1A12-4B29-8C33-80C03307C974}"/>
    <cellStyle name="Currency 5 3 3 2 5 4" xfId="27424" xr:uid="{06C7B6A1-DB03-4605-80EE-2E2F1521E54C}"/>
    <cellStyle name="Currency 5 3 3 2 5 5" xfId="18983" xr:uid="{55CD18B5-9CFD-467E-BFFD-7B5951BDB8FE}"/>
    <cellStyle name="Currency 5 3 3 2 5 6" xfId="10542" xr:uid="{C061EEFB-EE6F-4405-9B44-45CE2B14B003}"/>
    <cellStyle name="Currency 5 3 3 2 6" xfId="2439" xr:uid="{00000000-0005-0000-0000-0000F00C0000}"/>
    <cellStyle name="Currency 5 3 3 2 6 2" xfId="6723" xr:uid="{00000000-0005-0000-0000-0000F10C0000}"/>
    <cellStyle name="Currency 5 3 3 2 6 2 2" xfId="32055" xr:uid="{BC24DEB7-02A6-48F4-89CD-A00665AA6D14}"/>
    <cellStyle name="Currency 5 3 3 2 6 2 3" xfId="23614" xr:uid="{4D66E686-F03D-424B-9E07-EE139BC6D69A}"/>
    <cellStyle name="Currency 5 3 3 2 6 2 4" xfId="15173" xr:uid="{371003FD-4167-4DF4-8CFF-D7BA722D1E9B}"/>
    <cellStyle name="Currency 5 3 3 2 6 3" xfId="27837" xr:uid="{E28B14B4-4C63-4877-9560-6DF60F85760C}"/>
    <cellStyle name="Currency 5 3 3 2 6 4" xfId="19396" xr:uid="{9B59898D-0DB0-45B0-A152-B5CA805120EE}"/>
    <cellStyle name="Currency 5 3 3 2 6 5" xfId="10955" xr:uid="{3CAA3A5E-220B-4B1B-B640-EF1196B852BA}"/>
    <cellStyle name="Currency 5 3 3 2 7" xfId="2736" xr:uid="{00000000-0005-0000-0000-0000F20C0000}"/>
    <cellStyle name="Currency 5 3 3 2 8" xfId="2817" xr:uid="{00000000-0005-0000-0000-0000F30C0000}"/>
    <cellStyle name="Currency 5 3 3 2 8 2" xfId="7040" xr:uid="{00000000-0005-0000-0000-0000F40C0000}"/>
    <cellStyle name="Currency 5 3 3 2 8 2 2" xfId="32372" xr:uid="{07516221-0EA9-453B-9510-2702BE7A2957}"/>
    <cellStyle name="Currency 5 3 3 2 8 2 3" xfId="23931" xr:uid="{ACA2A983-4C65-4728-A4E2-AFF710E9BC25}"/>
    <cellStyle name="Currency 5 3 3 2 8 2 4" xfId="15490" xr:uid="{2167D6B5-0FEA-46AB-8B86-6D21CA04BE74}"/>
    <cellStyle name="Currency 5 3 3 2 8 3" xfId="28154" xr:uid="{86AE4DC1-237D-404F-A96D-DF8B7F40FCBA}"/>
    <cellStyle name="Currency 5 3 3 2 8 4" xfId="19713" xr:uid="{7179AECE-C980-49B2-8E2F-38D01FEC9BBA}"/>
    <cellStyle name="Currency 5 3 3 2 8 5" xfId="11272" xr:uid="{9946A142-B248-4ADD-9AC9-4DCD3FD9750B}"/>
    <cellStyle name="Currency 5 3 3 2 9" xfId="4657" xr:uid="{00000000-0005-0000-0000-0000F50C0000}"/>
    <cellStyle name="Currency 5 3 3 2 9 2" xfId="29989" xr:uid="{2FA4048A-2AD2-4EA7-A07E-D5B85BD9E034}"/>
    <cellStyle name="Currency 5 3 3 2 9 3" xfId="21548" xr:uid="{210A1303-75A4-4827-B196-48504B7E09E4}"/>
    <cellStyle name="Currency 5 3 3 2 9 4" xfId="13107" xr:uid="{8D76FBB4-15FF-4962-AE74-01E6D334C943}"/>
    <cellStyle name="Currency 5 3 3 3" xfId="740" xr:uid="{00000000-0005-0000-0000-0000F60C0000}"/>
    <cellStyle name="Currency 5 3 3 3 2" xfId="2993" xr:uid="{00000000-0005-0000-0000-0000F70C0000}"/>
    <cellStyle name="Currency 5 3 3 3 2 2" xfId="7215" xr:uid="{00000000-0005-0000-0000-0000F80C0000}"/>
    <cellStyle name="Currency 5 3 3 3 2 2 2" xfId="32547" xr:uid="{CDC7C89D-5499-46AF-9C6B-4C6B38DA63D6}"/>
    <cellStyle name="Currency 5 3 3 3 2 2 3" xfId="24106" xr:uid="{32C56F06-A2BD-4752-A6C0-0C925AE5CF56}"/>
    <cellStyle name="Currency 5 3 3 3 2 2 4" xfId="15665" xr:uid="{C37CBC8A-8AF0-48F3-BE65-48FE0E22B0FA}"/>
    <cellStyle name="Currency 5 3 3 3 2 3" xfId="28329" xr:uid="{4CA8A273-1E78-419B-B0C5-0933F1DF9FC8}"/>
    <cellStyle name="Currency 5 3 3 3 2 4" xfId="19888" xr:uid="{2CCC9F04-F0A0-4311-8F6A-745983B32AB4}"/>
    <cellStyle name="Currency 5 3 3 3 2 5" xfId="11447" xr:uid="{B545E393-81BE-4CF5-AD36-E460ECED3F24}"/>
    <cellStyle name="Currency 5 3 3 3 3" xfId="5070" xr:uid="{00000000-0005-0000-0000-0000F90C0000}"/>
    <cellStyle name="Currency 5 3 3 3 3 2" xfId="30402" xr:uid="{1DB20C23-50F0-41E6-A3A0-940C250E9B4B}"/>
    <cellStyle name="Currency 5 3 3 3 3 3" xfId="21961" xr:uid="{0A836798-F5C5-47F0-B252-0A66A72AABD1}"/>
    <cellStyle name="Currency 5 3 3 3 3 4" xfId="13520" xr:uid="{4C9EDFA7-B242-4794-A5FA-8A160B95D945}"/>
    <cellStyle name="Currency 5 3 3 3 4" xfId="26184" xr:uid="{758C52DF-FA79-4F18-95D7-A5E63250AB81}"/>
    <cellStyle name="Currency 5 3 3 3 5" xfId="17743" xr:uid="{1CB8126B-7E5E-4105-92F7-8D1E739D8007}"/>
    <cellStyle name="Currency 5 3 3 3 6" xfId="9302" xr:uid="{89DD494B-2451-4C9D-A5CE-50F701930B97}"/>
    <cellStyle name="Currency 5 3 3 4" xfId="1175" xr:uid="{00000000-0005-0000-0000-0000FA0C0000}"/>
    <cellStyle name="Currency 5 3 3 4 2" xfId="3406" xr:uid="{00000000-0005-0000-0000-0000FB0C0000}"/>
    <cellStyle name="Currency 5 3 3 4 2 2" xfId="7628" xr:uid="{00000000-0005-0000-0000-0000FC0C0000}"/>
    <cellStyle name="Currency 5 3 3 4 2 2 2" xfId="32960" xr:uid="{962A1501-EEF5-45F3-A108-702D2E7DFB63}"/>
    <cellStyle name="Currency 5 3 3 4 2 2 3" xfId="24519" xr:uid="{8D17746A-9FD4-4D99-B2ED-BF825C2C4D2E}"/>
    <cellStyle name="Currency 5 3 3 4 2 2 4" xfId="16078" xr:uid="{1191FAC2-7A75-4D34-BCB0-AE308B42D4CA}"/>
    <cellStyle name="Currency 5 3 3 4 2 3" xfId="28742" xr:uid="{72B47FA3-AF61-479B-AE5F-A46C602D9A35}"/>
    <cellStyle name="Currency 5 3 3 4 2 4" xfId="20301" xr:uid="{40C21228-070F-4241-B87B-52E7951ACFBF}"/>
    <cellStyle name="Currency 5 3 3 4 2 5" xfId="11860" xr:uid="{220D4587-B31B-4A58-BDCF-7C4BC859BAB0}"/>
    <cellStyle name="Currency 5 3 3 4 3" xfId="5483" xr:uid="{00000000-0005-0000-0000-0000FD0C0000}"/>
    <cellStyle name="Currency 5 3 3 4 3 2" xfId="30815" xr:uid="{815912F6-D9D8-4861-B1F8-BF6BDA1C807E}"/>
    <cellStyle name="Currency 5 3 3 4 3 3" xfId="22374" xr:uid="{E532A0BA-E849-434A-A008-F6995C26B3BE}"/>
    <cellStyle name="Currency 5 3 3 4 3 4" xfId="13933" xr:uid="{136BE83E-B82E-424C-B212-B6EF31FF454E}"/>
    <cellStyle name="Currency 5 3 3 4 4" xfId="26597" xr:uid="{83604B8E-8D9D-4638-B56D-DEF66DAFC77C}"/>
    <cellStyle name="Currency 5 3 3 4 5" xfId="18156" xr:uid="{2E0AACD0-7863-49ED-848B-FB02307790BE}"/>
    <cellStyle name="Currency 5 3 3 4 6" xfId="9715" xr:uid="{22C438B6-9F75-442B-8924-36A6443361AF}"/>
    <cellStyle name="Currency 5 3 3 5" xfId="1589" xr:uid="{00000000-0005-0000-0000-0000FE0C0000}"/>
    <cellStyle name="Currency 5 3 3 5 2" xfId="3819" xr:uid="{00000000-0005-0000-0000-0000FF0C0000}"/>
    <cellStyle name="Currency 5 3 3 5 2 2" xfId="8041" xr:uid="{00000000-0005-0000-0000-0000000D0000}"/>
    <cellStyle name="Currency 5 3 3 5 2 2 2" xfId="33373" xr:uid="{B9E1673B-81B8-4307-816C-2F7EBF698DCB}"/>
    <cellStyle name="Currency 5 3 3 5 2 2 3" xfId="24932" xr:uid="{FDC5837A-F1CE-42C7-9A18-B1D928BB6D05}"/>
    <cellStyle name="Currency 5 3 3 5 2 2 4" xfId="16491" xr:uid="{DB31D7D2-FDB1-44C4-9D15-AAD2381E7DD3}"/>
    <cellStyle name="Currency 5 3 3 5 2 3" xfId="29155" xr:uid="{6B01DDAF-62BE-4862-8F96-7504FB35F85C}"/>
    <cellStyle name="Currency 5 3 3 5 2 4" xfId="20714" xr:uid="{4C3F8D31-E1FF-467E-A3A9-C51FD1F6807C}"/>
    <cellStyle name="Currency 5 3 3 5 2 5" xfId="12273" xr:uid="{406F670D-DD5A-4793-9845-A58DF04FA5FE}"/>
    <cellStyle name="Currency 5 3 3 5 3" xfId="5896" xr:uid="{00000000-0005-0000-0000-0000010D0000}"/>
    <cellStyle name="Currency 5 3 3 5 3 2" xfId="31228" xr:uid="{4A8272E8-59F7-4529-9BD9-E0B166B47F5E}"/>
    <cellStyle name="Currency 5 3 3 5 3 3" xfId="22787" xr:uid="{A9B9FB52-68C6-4AE5-9D4C-73F1487704DD}"/>
    <cellStyle name="Currency 5 3 3 5 3 4" xfId="14346" xr:uid="{853EE3DB-C268-49AC-A22F-47E28BA448F1}"/>
    <cellStyle name="Currency 5 3 3 5 4" xfId="27010" xr:uid="{F7128FFE-11DF-47E3-80F7-404A4F338146}"/>
    <cellStyle name="Currency 5 3 3 5 5" xfId="18569" xr:uid="{C802BB06-A07A-47E8-AAB5-9D33E7BB3B24}"/>
    <cellStyle name="Currency 5 3 3 5 6" xfId="10128" xr:uid="{2E7BE6CF-20A1-46B1-9187-A83E629E2BB8}"/>
    <cellStyle name="Currency 5 3 3 6" xfId="2003" xr:uid="{00000000-0005-0000-0000-0000020D0000}"/>
    <cellStyle name="Currency 5 3 3 6 2" xfId="4232" xr:uid="{00000000-0005-0000-0000-0000030D0000}"/>
    <cellStyle name="Currency 5 3 3 6 2 2" xfId="8454" xr:uid="{00000000-0005-0000-0000-0000040D0000}"/>
    <cellStyle name="Currency 5 3 3 6 2 2 2" xfId="33786" xr:uid="{61E4F23A-4B62-4219-81AD-8126BF79AC16}"/>
    <cellStyle name="Currency 5 3 3 6 2 2 3" xfId="25345" xr:uid="{7C35841D-597D-4BA4-90B1-FA554AAFA18A}"/>
    <cellStyle name="Currency 5 3 3 6 2 2 4" xfId="16904" xr:uid="{6BDFDD41-B409-4AC4-9BF5-6F047670B37C}"/>
    <cellStyle name="Currency 5 3 3 6 2 3" xfId="29568" xr:uid="{30AEF052-8AD3-4139-AF97-31BADCF3523C}"/>
    <cellStyle name="Currency 5 3 3 6 2 4" xfId="21127" xr:uid="{4842174B-4EB8-4EA9-9F70-95CE314EDE1E}"/>
    <cellStyle name="Currency 5 3 3 6 2 5" xfId="12686" xr:uid="{59E60C37-D736-4EFE-BF07-F7AAC9FEB201}"/>
    <cellStyle name="Currency 5 3 3 6 3" xfId="6309" xr:uid="{00000000-0005-0000-0000-0000050D0000}"/>
    <cellStyle name="Currency 5 3 3 6 3 2" xfId="31641" xr:uid="{B97E488F-6FB4-459A-A347-A1215AD19C63}"/>
    <cellStyle name="Currency 5 3 3 6 3 3" xfId="23200" xr:uid="{1A24B003-6B43-4791-A3EA-4C5634FB917F}"/>
    <cellStyle name="Currency 5 3 3 6 3 4" xfId="14759" xr:uid="{EF659DA7-FB54-4F8D-9690-29EA60FC9E9C}"/>
    <cellStyle name="Currency 5 3 3 6 4" xfId="27423" xr:uid="{1101F12D-367D-4ABD-8046-921C40B7F71C}"/>
    <cellStyle name="Currency 5 3 3 6 5" xfId="18982" xr:uid="{5DD7E6D7-1D61-4918-93C7-3350252F537F}"/>
    <cellStyle name="Currency 5 3 3 6 6" xfId="10541" xr:uid="{E46FB783-665D-4082-9D7C-E8FAE93E76E4}"/>
    <cellStyle name="Currency 5 3 3 7" xfId="2438" xr:uid="{00000000-0005-0000-0000-0000060D0000}"/>
    <cellStyle name="Currency 5 3 3 7 2" xfId="6722" xr:uid="{00000000-0005-0000-0000-0000070D0000}"/>
    <cellStyle name="Currency 5 3 3 7 2 2" xfId="32054" xr:uid="{3F421A8A-8534-47D3-A67A-97CFE42CFE7D}"/>
    <cellStyle name="Currency 5 3 3 7 2 3" xfId="23613" xr:uid="{0B1ACBC5-4CC8-4C60-86B2-DDAD2446A70F}"/>
    <cellStyle name="Currency 5 3 3 7 2 4" xfId="15172" xr:uid="{5537DACF-C033-4EFC-A092-B008724DDE5F}"/>
    <cellStyle name="Currency 5 3 3 7 3" xfId="27836" xr:uid="{2754E309-5A65-404B-A2E4-F8539DA178DC}"/>
    <cellStyle name="Currency 5 3 3 7 4" xfId="19395" xr:uid="{94B531DE-4BBE-4250-8735-00F9CCC361F9}"/>
    <cellStyle name="Currency 5 3 3 7 5" xfId="10954" xr:uid="{0104371E-3353-4D36-A316-5EE43CDA57E9}"/>
    <cellStyle name="Currency 5 3 3 8" xfId="2735" xr:uid="{00000000-0005-0000-0000-0000080D0000}"/>
    <cellStyle name="Currency 5 3 3 9" xfId="2816" xr:uid="{00000000-0005-0000-0000-0000090D0000}"/>
    <cellStyle name="Currency 5 3 3 9 2" xfId="7039" xr:uid="{00000000-0005-0000-0000-00000A0D0000}"/>
    <cellStyle name="Currency 5 3 3 9 2 2" xfId="32371" xr:uid="{BFE8EF06-7574-4827-A0D9-4E3A0BCBFF14}"/>
    <cellStyle name="Currency 5 3 3 9 2 3" xfId="23930" xr:uid="{B006F0A3-788C-45FD-BE3D-C8930A26271D}"/>
    <cellStyle name="Currency 5 3 3 9 2 4" xfId="15489" xr:uid="{771D5A8E-0E2C-4B57-8FB1-4734EDF79C05}"/>
    <cellStyle name="Currency 5 3 3 9 3" xfId="28153" xr:uid="{AA089C9E-B6B6-4814-B8BF-F55059379204}"/>
    <cellStyle name="Currency 5 3 3 9 4" xfId="19712" xr:uid="{009C5A13-1DF8-41F5-8DE0-DE4D64C66088}"/>
    <cellStyle name="Currency 5 3 3 9 5" xfId="11271" xr:uid="{63C3CA99-D032-4CFA-8D68-C6693C0E625C}"/>
    <cellStyle name="Currency 5 3 4" xfId="216" xr:uid="{00000000-0005-0000-0000-00000B0D0000}"/>
    <cellStyle name="Currency 5 3 4 10" xfId="25772" xr:uid="{A8202200-8A5C-440D-8AA9-BD8A328F4132}"/>
    <cellStyle name="Currency 5 3 4 11" xfId="17331" xr:uid="{CCF7601C-DA2E-469C-BD07-B7BF640C2344}"/>
    <cellStyle name="Currency 5 3 4 12" xfId="8890" xr:uid="{2318C394-5A4E-4316-BB1E-0E9969621AD8}"/>
    <cellStyle name="Currency 5 3 4 2" xfId="742" xr:uid="{00000000-0005-0000-0000-00000C0D0000}"/>
    <cellStyle name="Currency 5 3 4 2 2" xfId="2995" xr:uid="{00000000-0005-0000-0000-00000D0D0000}"/>
    <cellStyle name="Currency 5 3 4 2 2 2" xfId="7217" xr:uid="{00000000-0005-0000-0000-00000E0D0000}"/>
    <cellStyle name="Currency 5 3 4 2 2 2 2" xfId="32549" xr:uid="{0505488E-24A3-4FC7-9C00-EE726775ECA9}"/>
    <cellStyle name="Currency 5 3 4 2 2 2 3" xfId="24108" xr:uid="{86FD0F7F-B0DA-4E50-9BFE-7A0544FD58A4}"/>
    <cellStyle name="Currency 5 3 4 2 2 2 4" xfId="15667" xr:uid="{46EFCC04-3478-452E-A5D8-022E98922838}"/>
    <cellStyle name="Currency 5 3 4 2 2 3" xfId="28331" xr:uid="{821B2F52-A6BB-41F5-89A4-8BDA857A66B5}"/>
    <cellStyle name="Currency 5 3 4 2 2 4" xfId="19890" xr:uid="{C6CE8F5D-96A6-4585-8BE1-52BBC9A79043}"/>
    <cellStyle name="Currency 5 3 4 2 2 5" xfId="11449" xr:uid="{1539D28D-C65A-4D2C-8712-9BA0EAB4754C}"/>
    <cellStyle name="Currency 5 3 4 2 3" xfId="5072" xr:uid="{00000000-0005-0000-0000-00000F0D0000}"/>
    <cellStyle name="Currency 5 3 4 2 3 2" xfId="30404" xr:uid="{2F4A4AFE-B867-4E1F-A549-46117F73B44F}"/>
    <cellStyle name="Currency 5 3 4 2 3 3" xfId="21963" xr:uid="{4631B859-42C2-47C4-85FD-EE5BEBB1029F}"/>
    <cellStyle name="Currency 5 3 4 2 3 4" xfId="13522" xr:uid="{302DBA6C-4D78-420A-9524-75B232D09F08}"/>
    <cellStyle name="Currency 5 3 4 2 4" xfId="26186" xr:uid="{A7ECAD56-F601-4A1F-9C11-FAE1979C5734}"/>
    <cellStyle name="Currency 5 3 4 2 5" xfId="17745" xr:uid="{D78A309F-F595-431C-A1A3-B5E84272C798}"/>
    <cellStyle name="Currency 5 3 4 2 6" xfId="9304" xr:uid="{C1B214E0-FD21-4C9F-BF79-9B19B910413A}"/>
    <cellStyle name="Currency 5 3 4 3" xfId="1177" xr:uid="{00000000-0005-0000-0000-0000100D0000}"/>
    <cellStyle name="Currency 5 3 4 3 2" xfId="3408" xr:uid="{00000000-0005-0000-0000-0000110D0000}"/>
    <cellStyle name="Currency 5 3 4 3 2 2" xfId="7630" xr:uid="{00000000-0005-0000-0000-0000120D0000}"/>
    <cellStyle name="Currency 5 3 4 3 2 2 2" xfId="32962" xr:uid="{31C3FFDB-04DC-4AAE-BF8F-79406B5659A1}"/>
    <cellStyle name="Currency 5 3 4 3 2 2 3" xfId="24521" xr:uid="{0005751F-BB75-42FD-88BD-E16EA87EAAB6}"/>
    <cellStyle name="Currency 5 3 4 3 2 2 4" xfId="16080" xr:uid="{C89F3A11-DD30-4402-914F-A4EAADE7D3D4}"/>
    <cellStyle name="Currency 5 3 4 3 2 3" xfId="28744" xr:uid="{EC5A5CA7-F50B-4B4C-A105-2C8729B872A0}"/>
    <cellStyle name="Currency 5 3 4 3 2 4" xfId="20303" xr:uid="{C12398DC-9F2F-430B-A2ED-212FEED5DF7C}"/>
    <cellStyle name="Currency 5 3 4 3 2 5" xfId="11862" xr:uid="{68EF8482-9217-48A3-9067-653D57D1A00E}"/>
    <cellStyle name="Currency 5 3 4 3 3" xfId="5485" xr:uid="{00000000-0005-0000-0000-0000130D0000}"/>
    <cellStyle name="Currency 5 3 4 3 3 2" xfId="30817" xr:uid="{658118FB-2AA8-4C34-9AE0-E6B98287C5F8}"/>
    <cellStyle name="Currency 5 3 4 3 3 3" xfId="22376" xr:uid="{CEC04679-1AC2-4EE1-868D-1082CA93C9AD}"/>
    <cellStyle name="Currency 5 3 4 3 3 4" xfId="13935" xr:uid="{4DC71CF7-F90A-455D-B68D-BCC1D0B41DB0}"/>
    <cellStyle name="Currency 5 3 4 3 4" xfId="26599" xr:uid="{B5ADA4AA-AF84-4929-B83A-3B40F762D982}"/>
    <cellStyle name="Currency 5 3 4 3 5" xfId="18158" xr:uid="{560A1128-F347-4D96-9CDF-E364B7FB2ED8}"/>
    <cellStyle name="Currency 5 3 4 3 6" xfId="9717" xr:uid="{45975CB7-BC54-4713-94B9-7E799C14DB14}"/>
    <cellStyle name="Currency 5 3 4 4" xfId="1591" xr:uid="{00000000-0005-0000-0000-0000140D0000}"/>
    <cellStyle name="Currency 5 3 4 4 2" xfId="3821" xr:uid="{00000000-0005-0000-0000-0000150D0000}"/>
    <cellStyle name="Currency 5 3 4 4 2 2" xfId="8043" xr:uid="{00000000-0005-0000-0000-0000160D0000}"/>
    <cellStyle name="Currency 5 3 4 4 2 2 2" xfId="33375" xr:uid="{44A89E67-715A-4EFF-AF4E-D6D84FC0CE8E}"/>
    <cellStyle name="Currency 5 3 4 4 2 2 3" xfId="24934" xr:uid="{C3DC9A72-7597-48A6-957D-7268CA0E800C}"/>
    <cellStyle name="Currency 5 3 4 4 2 2 4" xfId="16493" xr:uid="{9FAC0D98-36CA-4AD1-990F-F23394E768C2}"/>
    <cellStyle name="Currency 5 3 4 4 2 3" xfId="29157" xr:uid="{A40029CA-99B5-413A-9DB3-ECF79966D1CD}"/>
    <cellStyle name="Currency 5 3 4 4 2 4" xfId="20716" xr:uid="{9797585E-038C-4938-8A5D-8D97F4C306C3}"/>
    <cellStyle name="Currency 5 3 4 4 2 5" xfId="12275" xr:uid="{029C311C-F458-44B5-ABD6-386F0CEBAC50}"/>
    <cellStyle name="Currency 5 3 4 4 3" xfId="5898" xr:uid="{00000000-0005-0000-0000-0000170D0000}"/>
    <cellStyle name="Currency 5 3 4 4 3 2" xfId="31230" xr:uid="{B4CA0409-96D5-43C6-8491-C6BDE55CB25C}"/>
    <cellStyle name="Currency 5 3 4 4 3 3" xfId="22789" xr:uid="{5BD9603D-1AE0-4CDB-9C8A-1818F803D26D}"/>
    <cellStyle name="Currency 5 3 4 4 3 4" xfId="14348" xr:uid="{0041A3D2-7BE5-4594-A958-10A62272F02D}"/>
    <cellStyle name="Currency 5 3 4 4 4" xfId="27012" xr:uid="{90653AAA-748A-490A-BE4F-AF9D62C54D4A}"/>
    <cellStyle name="Currency 5 3 4 4 5" xfId="18571" xr:uid="{59F8FA99-C22F-43DB-A95D-527D8A5931A5}"/>
    <cellStyle name="Currency 5 3 4 4 6" xfId="10130" xr:uid="{ADD3A762-A931-48D1-BFEF-0EEAB15E4176}"/>
    <cellStyle name="Currency 5 3 4 5" xfId="2005" xr:uid="{00000000-0005-0000-0000-0000180D0000}"/>
    <cellStyle name="Currency 5 3 4 5 2" xfId="4234" xr:uid="{00000000-0005-0000-0000-0000190D0000}"/>
    <cellStyle name="Currency 5 3 4 5 2 2" xfId="8456" xr:uid="{00000000-0005-0000-0000-00001A0D0000}"/>
    <cellStyle name="Currency 5 3 4 5 2 2 2" xfId="33788" xr:uid="{BD079A78-0A6F-4898-AE6E-6360435E06B9}"/>
    <cellStyle name="Currency 5 3 4 5 2 2 3" xfId="25347" xr:uid="{2D3811DF-26CF-4016-B1D6-11989BB7524B}"/>
    <cellStyle name="Currency 5 3 4 5 2 2 4" xfId="16906" xr:uid="{32210610-96FB-4EFB-8051-C593517467BA}"/>
    <cellStyle name="Currency 5 3 4 5 2 3" xfId="29570" xr:uid="{90954D54-D21A-4C6A-B237-975C4AF9423F}"/>
    <cellStyle name="Currency 5 3 4 5 2 4" xfId="21129" xr:uid="{2C16C4E3-3644-4268-9EDC-6F5214073427}"/>
    <cellStyle name="Currency 5 3 4 5 2 5" xfId="12688" xr:uid="{859DED52-09BC-4C84-94EE-161445DE8B56}"/>
    <cellStyle name="Currency 5 3 4 5 3" xfId="6311" xr:uid="{00000000-0005-0000-0000-00001B0D0000}"/>
    <cellStyle name="Currency 5 3 4 5 3 2" xfId="31643" xr:uid="{94969F7D-48C4-468F-8688-15A42F493636}"/>
    <cellStyle name="Currency 5 3 4 5 3 3" xfId="23202" xr:uid="{490D7415-0492-4FDE-8BD3-EB7BF6817F79}"/>
    <cellStyle name="Currency 5 3 4 5 3 4" xfId="14761" xr:uid="{D1D6F608-9851-46B7-A316-A23F1FA70833}"/>
    <cellStyle name="Currency 5 3 4 5 4" xfId="27425" xr:uid="{7DCEAA9D-ABF3-4AA8-8BF0-E56508BD3CD9}"/>
    <cellStyle name="Currency 5 3 4 5 5" xfId="18984" xr:uid="{05B160E5-D268-48D6-8102-25ED2A9D102C}"/>
    <cellStyle name="Currency 5 3 4 5 6" xfId="10543" xr:uid="{E77B6ACD-A0D9-483F-9F8D-1D75D01C322A}"/>
    <cellStyle name="Currency 5 3 4 6" xfId="2440" xr:uid="{00000000-0005-0000-0000-00001C0D0000}"/>
    <cellStyle name="Currency 5 3 4 6 2" xfId="6724" xr:uid="{00000000-0005-0000-0000-00001D0D0000}"/>
    <cellStyle name="Currency 5 3 4 6 2 2" xfId="32056" xr:uid="{2294E0CA-14CB-4E25-970C-A7D5F863C64F}"/>
    <cellStyle name="Currency 5 3 4 6 2 3" xfId="23615" xr:uid="{6B62F63D-A8F2-40B5-8EA3-96FA67775D19}"/>
    <cellStyle name="Currency 5 3 4 6 2 4" xfId="15174" xr:uid="{A50F1208-1D5E-4F0F-B34C-105562579BC0}"/>
    <cellStyle name="Currency 5 3 4 6 3" xfId="27838" xr:uid="{32693852-5AE1-4251-8840-E2EE66906814}"/>
    <cellStyle name="Currency 5 3 4 6 4" xfId="19397" xr:uid="{00BCD10B-C7F3-4AEC-A300-2124750ACC4E}"/>
    <cellStyle name="Currency 5 3 4 6 5" xfId="10956" xr:uid="{41E08CB0-ADFF-422D-A474-CB4BF981DFFE}"/>
    <cellStyle name="Currency 5 3 4 7" xfId="2737" xr:uid="{00000000-0005-0000-0000-00001E0D0000}"/>
    <cellStyle name="Currency 5 3 4 8" xfId="2818" xr:uid="{00000000-0005-0000-0000-00001F0D0000}"/>
    <cellStyle name="Currency 5 3 4 8 2" xfId="7041" xr:uid="{00000000-0005-0000-0000-0000200D0000}"/>
    <cellStyle name="Currency 5 3 4 8 2 2" xfId="32373" xr:uid="{02B8B9C9-A459-474C-A800-68DFB1219CCA}"/>
    <cellStyle name="Currency 5 3 4 8 2 3" xfId="23932" xr:uid="{5583A028-4F00-4A45-8AF5-DCDD5345720F}"/>
    <cellStyle name="Currency 5 3 4 8 2 4" xfId="15491" xr:uid="{7FCC8FF8-685E-40DF-92A7-98136376E5F7}"/>
    <cellStyle name="Currency 5 3 4 8 3" xfId="28155" xr:uid="{8E58D820-0A30-4B02-B3FC-67CF6EF48320}"/>
    <cellStyle name="Currency 5 3 4 8 4" xfId="19714" xr:uid="{24FD969C-F66C-44CA-B1F2-B0A848424945}"/>
    <cellStyle name="Currency 5 3 4 8 5" xfId="11273" xr:uid="{E378052A-07A1-4607-9FDD-20824EA08980}"/>
    <cellStyle name="Currency 5 3 4 9" xfId="4658" xr:uid="{00000000-0005-0000-0000-0000210D0000}"/>
    <cellStyle name="Currency 5 3 4 9 2" xfId="29990" xr:uid="{D97DE738-4E97-4831-9E51-73B5EF43893C}"/>
    <cellStyle name="Currency 5 3 4 9 3" xfId="21549" xr:uid="{1D5E47A8-8A1E-49A6-8F75-20913EAB8207}"/>
    <cellStyle name="Currency 5 3 4 9 4" xfId="13108" xr:uid="{E8D81E7F-3D48-46CC-BA4F-4B9F0EDAB341}"/>
    <cellStyle name="Currency 5 3 5" xfId="217" xr:uid="{00000000-0005-0000-0000-0000220D0000}"/>
    <cellStyle name="Currency 5 3 5 10" xfId="25773" xr:uid="{4F472960-2716-40BB-8270-48A52D64DE97}"/>
    <cellStyle name="Currency 5 3 5 11" xfId="17332" xr:uid="{0EDD6038-75BD-4C45-AE48-D639307CC5E5}"/>
    <cellStyle name="Currency 5 3 5 12" xfId="8891" xr:uid="{2BB39384-1DF9-4BDD-9D84-9DE0D6EE7467}"/>
    <cellStyle name="Currency 5 3 5 2" xfId="743" xr:uid="{00000000-0005-0000-0000-0000230D0000}"/>
    <cellStyle name="Currency 5 3 5 2 2" xfId="2996" xr:uid="{00000000-0005-0000-0000-0000240D0000}"/>
    <cellStyle name="Currency 5 3 5 2 2 2" xfId="7218" xr:uid="{00000000-0005-0000-0000-0000250D0000}"/>
    <cellStyle name="Currency 5 3 5 2 2 2 2" xfId="32550" xr:uid="{B7036F2F-6CE3-401F-9015-AACD473BDCCA}"/>
    <cellStyle name="Currency 5 3 5 2 2 2 3" xfId="24109" xr:uid="{EFD469A7-D724-4605-9505-956D75E2FA4C}"/>
    <cellStyle name="Currency 5 3 5 2 2 2 4" xfId="15668" xr:uid="{63B03FCF-B29E-4E4D-AF75-ABB72BCED0DB}"/>
    <cellStyle name="Currency 5 3 5 2 2 3" xfId="28332" xr:uid="{0B1A98C6-82A2-4C54-9F60-D3A400B5A678}"/>
    <cellStyle name="Currency 5 3 5 2 2 4" xfId="19891" xr:uid="{3C1EAD34-CEDA-4EC8-BA76-058F089A208A}"/>
    <cellStyle name="Currency 5 3 5 2 2 5" xfId="11450" xr:uid="{ACB04814-ED11-4B14-B462-D782A1303748}"/>
    <cellStyle name="Currency 5 3 5 2 3" xfId="5073" xr:uid="{00000000-0005-0000-0000-0000260D0000}"/>
    <cellStyle name="Currency 5 3 5 2 3 2" xfId="30405" xr:uid="{BB394528-7253-42D2-9477-6667B2C39C85}"/>
    <cellStyle name="Currency 5 3 5 2 3 3" xfId="21964" xr:uid="{E07FC7F7-1177-435B-B8FF-2C2050307534}"/>
    <cellStyle name="Currency 5 3 5 2 3 4" xfId="13523" xr:uid="{40E5B17A-D9F7-464D-89F5-4FAF03655723}"/>
    <cellStyle name="Currency 5 3 5 2 4" xfId="26187" xr:uid="{D7EAFBC7-BCEF-4F6F-81F3-FA64AA9B8D7C}"/>
    <cellStyle name="Currency 5 3 5 2 5" xfId="17746" xr:uid="{96EC220B-7BA7-4DAB-8EAD-04DA946179A1}"/>
    <cellStyle name="Currency 5 3 5 2 6" xfId="9305" xr:uid="{4E95BAE7-8976-4186-9A13-C791715FEA11}"/>
    <cellStyle name="Currency 5 3 5 3" xfId="1178" xr:uid="{00000000-0005-0000-0000-0000270D0000}"/>
    <cellStyle name="Currency 5 3 5 3 2" xfId="3409" xr:uid="{00000000-0005-0000-0000-0000280D0000}"/>
    <cellStyle name="Currency 5 3 5 3 2 2" xfId="7631" xr:uid="{00000000-0005-0000-0000-0000290D0000}"/>
    <cellStyle name="Currency 5 3 5 3 2 2 2" xfId="32963" xr:uid="{7096D439-C603-4500-8E1E-2D8B653B2DE5}"/>
    <cellStyle name="Currency 5 3 5 3 2 2 3" xfId="24522" xr:uid="{AD8A8416-4F6D-42CE-80F2-621A19CBC578}"/>
    <cellStyle name="Currency 5 3 5 3 2 2 4" xfId="16081" xr:uid="{61025232-B4F4-4930-9086-960B0B3A8FBF}"/>
    <cellStyle name="Currency 5 3 5 3 2 3" xfId="28745" xr:uid="{C4DA6180-6ECF-4E8E-A194-B4B00886EC22}"/>
    <cellStyle name="Currency 5 3 5 3 2 4" xfId="20304" xr:uid="{80688811-3946-47AB-87E7-89ECF3772E29}"/>
    <cellStyle name="Currency 5 3 5 3 2 5" xfId="11863" xr:uid="{3D414A30-01B6-4BC2-BD0B-27EE28D55F64}"/>
    <cellStyle name="Currency 5 3 5 3 3" xfId="5486" xr:uid="{00000000-0005-0000-0000-00002A0D0000}"/>
    <cellStyle name="Currency 5 3 5 3 3 2" xfId="30818" xr:uid="{3827C721-0A80-43EC-A1DB-3541F70BA8F0}"/>
    <cellStyle name="Currency 5 3 5 3 3 3" xfId="22377" xr:uid="{520F0EFC-DF1E-4A56-80F5-E880D3CE436F}"/>
    <cellStyle name="Currency 5 3 5 3 3 4" xfId="13936" xr:uid="{7ED0EDDC-2514-4116-B49C-E93713C4916C}"/>
    <cellStyle name="Currency 5 3 5 3 4" xfId="26600" xr:uid="{FC5B41CE-2E4C-46BC-8370-6AC98B59BB91}"/>
    <cellStyle name="Currency 5 3 5 3 5" xfId="18159" xr:uid="{12ADBB74-8497-4DF2-B0F9-39B26C7F0FBA}"/>
    <cellStyle name="Currency 5 3 5 3 6" xfId="9718" xr:uid="{853BA2B4-1DF5-4CCE-BAA2-576AFFFB2251}"/>
    <cellStyle name="Currency 5 3 5 4" xfId="1592" xr:uid="{00000000-0005-0000-0000-00002B0D0000}"/>
    <cellStyle name="Currency 5 3 5 4 2" xfId="3822" xr:uid="{00000000-0005-0000-0000-00002C0D0000}"/>
    <cellStyle name="Currency 5 3 5 4 2 2" xfId="8044" xr:uid="{00000000-0005-0000-0000-00002D0D0000}"/>
    <cellStyle name="Currency 5 3 5 4 2 2 2" xfId="33376" xr:uid="{C7A042B4-47ED-46D5-9C52-F7B62A23D14F}"/>
    <cellStyle name="Currency 5 3 5 4 2 2 3" xfId="24935" xr:uid="{6BF25AB6-90E6-4DBE-923A-C146E8D4C78B}"/>
    <cellStyle name="Currency 5 3 5 4 2 2 4" xfId="16494" xr:uid="{35E61221-AF29-4F94-B6D9-8EFAE438C89A}"/>
    <cellStyle name="Currency 5 3 5 4 2 3" xfId="29158" xr:uid="{160B0B01-3C06-4F7B-B71B-BEEB95599001}"/>
    <cellStyle name="Currency 5 3 5 4 2 4" xfId="20717" xr:uid="{353207E4-09A2-40C6-B867-3683A148C2AF}"/>
    <cellStyle name="Currency 5 3 5 4 2 5" xfId="12276" xr:uid="{E8ED06FB-8536-491F-9518-6315B0F1768A}"/>
    <cellStyle name="Currency 5 3 5 4 3" xfId="5899" xr:uid="{00000000-0005-0000-0000-00002E0D0000}"/>
    <cellStyle name="Currency 5 3 5 4 3 2" xfId="31231" xr:uid="{746E3149-223B-4930-BF1C-893EC4293AFF}"/>
    <cellStyle name="Currency 5 3 5 4 3 3" xfId="22790" xr:uid="{3F1F5209-94CD-4635-A0E3-A538299610F1}"/>
    <cellStyle name="Currency 5 3 5 4 3 4" xfId="14349" xr:uid="{94DD6E80-2E19-4A99-9DAF-BDC9452DF3E4}"/>
    <cellStyle name="Currency 5 3 5 4 4" xfId="27013" xr:uid="{5B9C2B0B-39A3-4B3C-9B2D-6E5EAA0D16F8}"/>
    <cellStyle name="Currency 5 3 5 4 5" xfId="18572" xr:uid="{2FF6281D-4326-4415-927B-0A05FEB45B27}"/>
    <cellStyle name="Currency 5 3 5 4 6" xfId="10131" xr:uid="{B84B582D-688C-42F1-BAF2-E3ADCE757E45}"/>
    <cellStyle name="Currency 5 3 5 5" xfId="2006" xr:uid="{00000000-0005-0000-0000-00002F0D0000}"/>
    <cellStyle name="Currency 5 3 5 5 2" xfId="4235" xr:uid="{00000000-0005-0000-0000-0000300D0000}"/>
    <cellStyle name="Currency 5 3 5 5 2 2" xfId="8457" xr:uid="{00000000-0005-0000-0000-0000310D0000}"/>
    <cellStyle name="Currency 5 3 5 5 2 2 2" xfId="33789" xr:uid="{ECC47EA5-BF02-43B7-88DA-EB374627B8C9}"/>
    <cellStyle name="Currency 5 3 5 5 2 2 3" xfId="25348" xr:uid="{B0B3BAA8-E89E-486E-A605-511BBD056F1A}"/>
    <cellStyle name="Currency 5 3 5 5 2 2 4" xfId="16907" xr:uid="{44C83501-1A0F-485B-B767-504782DB6781}"/>
    <cellStyle name="Currency 5 3 5 5 2 3" xfId="29571" xr:uid="{72066392-D753-4549-A08E-B5D3E9F84F56}"/>
    <cellStyle name="Currency 5 3 5 5 2 4" xfId="21130" xr:uid="{6825EB0D-9502-4514-985C-E1B88CE6EBBB}"/>
    <cellStyle name="Currency 5 3 5 5 2 5" xfId="12689" xr:uid="{81B23FB7-2925-4986-B2E2-1590E865EA7A}"/>
    <cellStyle name="Currency 5 3 5 5 3" xfId="6312" xr:uid="{00000000-0005-0000-0000-0000320D0000}"/>
    <cellStyle name="Currency 5 3 5 5 3 2" xfId="31644" xr:uid="{48A9B2AE-8294-460A-A9A4-6CAA224DF74F}"/>
    <cellStyle name="Currency 5 3 5 5 3 3" xfId="23203" xr:uid="{43727DFD-1FE6-46EC-B364-F22692DB5D6D}"/>
    <cellStyle name="Currency 5 3 5 5 3 4" xfId="14762" xr:uid="{823C8CB7-3386-438A-8646-800D9EDF3A44}"/>
    <cellStyle name="Currency 5 3 5 5 4" xfId="27426" xr:uid="{43E60DAF-9322-4A2B-8FB0-079AEB5A7EEB}"/>
    <cellStyle name="Currency 5 3 5 5 5" xfId="18985" xr:uid="{261B0B3E-1E7C-4C83-B706-500994DB530F}"/>
    <cellStyle name="Currency 5 3 5 5 6" xfId="10544" xr:uid="{652E9ED2-B051-4205-835F-A84EE9EBB40D}"/>
    <cellStyle name="Currency 5 3 5 6" xfId="2441" xr:uid="{00000000-0005-0000-0000-0000330D0000}"/>
    <cellStyle name="Currency 5 3 5 6 2" xfId="6725" xr:uid="{00000000-0005-0000-0000-0000340D0000}"/>
    <cellStyle name="Currency 5 3 5 6 2 2" xfId="32057" xr:uid="{5798B49B-E425-46E0-BF3D-8E9E6EDB5848}"/>
    <cellStyle name="Currency 5 3 5 6 2 3" xfId="23616" xr:uid="{F26BAC7A-189F-4B6A-8D68-1CF3C0533203}"/>
    <cellStyle name="Currency 5 3 5 6 2 4" xfId="15175" xr:uid="{D50A3E93-1201-49F6-99D3-0DFEDD1916A1}"/>
    <cellStyle name="Currency 5 3 5 6 3" xfId="27839" xr:uid="{BA4F599B-88A8-475E-81E2-8EB8FF2FA19C}"/>
    <cellStyle name="Currency 5 3 5 6 4" xfId="19398" xr:uid="{E9B25FAB-AA55-4BEC-97AC-8E3B78A9D411}"/>
    <cellStyle name="Currency 5 3 5 6 5" xfId="10957" xr:uid="{9A508112-81B7-44B3-BA4C-6B33EABBABE6}"/>
    <cellStyle name="Currency 5 3 5 7" xfId="2738" xr:uid="{00000000-0005-0000-0000-0000350D0000}"/>
    <cellStyle name="Currency 5 3 5 8" xfId="2819" xr:uid="{00000000-0005-0000-0000-0000360D0000}"/>
    <cellStyle name="Currency 5 3 5 8 2" xfId="7042" xr:uid="{00000000-0005-0000-0000-0000370D0000}"/>
    <cellStyle name="Currency 5 3 5 8 2 2" xfId="32374" xr:uid="{723449B6-4FE6-4CC7-9241-42B8D91FFB15}"/>
    <cellStyle name="Currency 5 3 5 8 2 3" xfId="23933" xr:uid="{C59CE5C7-0E77-47EC-930B-F68285ADCFCB}"/>
    <cellStyle name="Currency 5 3 5 8 2 4" xfId="15492" xr:uid="{04603C3A-F2E3-4262-8B3A-9A4F463394C7}"/>
    <cellStyle name="Currency 5 3 5 8 3" xfId="28156" xr:uid="{7883F00D-CD47-4AA1-8B6A-53702A79A66C}"/>
    <cellStyle name="Currency 5 3 5 8 4" xfId="19715" xr:uid="{A1150EE3-B891-4820-895F-C99B3703406C}"/>
    <cellStyle name="Currency 5 3 5 8 5" xfId="11274" xr:uid="{0CEF16F5-9C03-41C6-B53D-F711269FA223}"/>
    <cellStyle name="Currency 5 3 5 9" xfId="4659" xr:uid="{00000000-0005-0000-0000-0000380D0000}"/>
    <cellStyle name="Currency 5 3 5 9 2" xfId="29991" xr:uid="{5654C2F8-6DCE-437E-8E9C-9018B55448BF}"/>
    <cellStyle name="Currency 5 3 5 9 3" xfId="21550" xr:uid="{D0BC4DB0-DD13-4F70-BCF5-486BEC8ABABA}"/>
    <cellStyle name="Currency 5 3 5 9 4" xfId="13109" xr:uid="{02180F24-06D9-4812-8EE8-DBCA8D9104FF}"/>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0 2" xfId="29992" xr:uid="{C69BFD08-F0F8-4CA5-B3E4-E4D3D5ACBB9D}"/>
    <cellStyle name="Currency 5 5 10 3" xfId="21551" xr:uid="{84D2E03C-E2D8-4042-A8D9-282AE7541DA6}"/>
    <cellStyle name="Currency 5 5 10 4" xfId="13110" xr:uid="{DD17B155-A84D-4D5E-9A74-406C3DD044E0}"/>
    <cellStyle name="Currency 5 5 11" xfId="25774" xr:uid="{495CC75D-3764-4C59-81E9-A3EDA866CAC5}"/>
    <cellStyle name="Currency 5 5 12" xfId="17333" xr:uid="{65429831-DF54-4967-84B8-18E41D283416}"/>
    <cellStyle name="Currency 5 5 13" xfId="8892" xr:uid="{4E7383F1-A202-4B48-8750-A371B0F36002}"/>
    <cellStyle name="Currency 5 5 2" xfId="220" xr:uid="{00000000-0005-0000-0000-00003D0D0000}"/>
    <cellStyle name="Currency 5 5 2 10" xfId="25775" xr:uid="{D7D2798C-52E1-4F84-A9D6-C348E123686E}"/>
    <cellStyle name="Currency 5 5 2 11" xfId="17334" xr:uid="{797E19A2-4C4C-497B-A400-9CD2E99DD205}"/>
    <cellStyle name="Currency 5 5 2 12" xfId="8893" xr:uid="{0E73A7FF-110C-4304-A764-832B98C1B5B8}"/>
    <cellStyle name="Currency 5 5 2 2" xfId="746" xr:uid="{00000000-0005-0000-0000-00003E0D0000}"/>
    <cellStyle name="Currency 5 5 2 2 2" xfId="2998" xr:uid="{00000000-0005-0000-0000-00003F0D0000}"/>
    <cellStyle name="Currency 5 5 2 2 2 2" xfId="7220" xr:uid="{00000000-0005-0000-0000-0000400D0000}"/>
    <cellStyle name="Currency 5 5 2 2 2 2 2" xfId="32552" xr:uid="{867248D1-78A6-440F-94BD-10F030DBAB9B}"/>
    <cellStyle name="Currency 5 5 2 2 2 2 3" xfId="24111" xr:uid="{11524145-8BF8-4C90-9AA3-CD2C699BCCBC}"/>
    <cellStyle name="Currency 5 5 2 2 2 2 4" xfId="15670" xr:uid="{FC6637FA-DB3A-4678-9342-9FB2C9F95CC0}"/>
    <cellStyle name="Currency 5 5 2 2 2 3" xfId="28334" xr:uid="{3C7BF372-676D-47D5-A7BC-BA715D3F4AF8}"/>
    <cellStyle name="Currency 5 5 2 2 2 4" xfId="19893" xr:uid="{1185A245-59E3-476F-A6F8-CC04C856CB62}"/>
    <cellStyle name="Currency 5 5 2 2 2 5" xfId="11452" xr:uid="{202EA7F7-03F5-4D41-B221-8E37E19B1F6A}"/>
    <cellStyle name="Currency 5 5 2 2 3" xfId="5075" xr:uid="{00000000-0005-0000-0000-0000410D0000}"/>
    <cellStyle name="Currency 5 5 2 2 3 2" xfId="30407" xr:uid="{696863B3-1440-4BC7-AA77-F9A7D87B3023}"/>
    <cellStyle name="Currency 5 5 2 2 3 3" xfId="21966" xr:uid="{9F782482-D7E0-434F-B5C5-1E7ED3244E4A}"/>
    <cellStyle name="Currency 5 5 2 2 3 4" xfId="13525" xr:uid="{F7481D36-A0B0-4283-B9A4-60C098705D6F}"/>
    <cellStyle name="Currency 5 5 2 2 4" xfId="26189" xr:uid="{A3A1178B-78CF-4B4D-B3FD-EF70ED8B2A09}"/>
    <cellStyle name="Currency 5 5 2 2 5" xfId="17748" xr:uid="{743D4841-87D9-44ED-B986-21673D2392C5}"/>
    <cellStyle name="Currency 5 5 2 2 6" xfId="9307" xr:uid="{A3ACEAFE-814C-4A79-8E8D-CF91FCB575A9}"/>
    <cellStyle name="Currency 5 5 2 3" xfId="1180" xr:uid="{00000000-0005-0000-0000-0000420D0000}"/>
    <cellStyle name="Currency 5 5 2 3 2" xfId="3411" xr:uid="{00000000-0005-0000-0000-0000430D0000}"/>
    <cellStyle name="Currency 5 5 2 3 2 2" xfId="7633" xr:uid="{00000000-0005-0000-0000-0000440D0000}"/>
    <cellStyle name="Currency 5 5 2 3 2 2 2" xfId="32965" xr:uid="{B3A4551C-2560-4C55-B272-004544C360A4}"/>
    <cellStyle name="Currency 5 5 2 3 2 2 3" xfId="24524" xr:uid="{F349738F-C85D-4568-8E51-89C7D7C0C772}"/>
    <cellStyle name="Currency 5 5 2 3 2 2 4" xfId="16083" xr:uid="{CB95738A-F50A-436B-870B-FC2D21333D01}"/>
    <cellStyle name="Currency 5 5 2 3 2 3" xfId="28747" xr:uid="{4C23795B-8907-4EC7-9EC9-0288D208915E}"/>
    <cellStyle name="Currency 5 5 2 3 2 4" xfId="20306" xr:uid="{30E791C5-D522-4494-B500-CEAEB702D71B}"/>
    <cellStyle name="Currency 5 5 2 3 2 5" xfId="11865" xr:uid="{DD1D9233-757C-4852-9ED4-C79199A1AC3C}"/>
    <cellStyle name="Currency 5 5 2 3 3" xfId="5488" xr:uid="{00000000-0005-0000-0000-0000450D0000}"/>
    <cellStyle name="Currency 5 5 2 3 3 2" xfId="30820" xr:uid="{89873A15-890F-4E66-AA3B-5A370A8E3852}"/>
    <cellStyle name="Currency 5 5 2 3 3 3" xfId="22379" xr:uid="{3FCA27E2-7C80-4103-9C52-B15445051930}"/>
    <cellStyle name="Currency 5 5 2 3 3 4" xfId="13938" xr:uid="{65B63FB1-68A5-4572-939C-E8AE3B9A7A5F}"/>
    <cellStyle name="Currency 5 5 2 3 4" xfId="26602" xr:uid="{608FA916-5515-4768-8852-2BD4774C8343}"/>
    <cellStyle name="Currency 5 5 2 3 5" xfId="18161" xr:uid="{0DBD1E14-C836-4685-9A4C-DED99E767981}"/>
    <cellStyle name="Currency 5 5 2 3 6" xfId="9720" xr:uid="{8207B7E8-9366-44E3-AEF4-FC8D365F0691}"/>
    <cellStyle name="Currency 5 5 2 4" xfId="1594" xr:uid="{00000000-0005-0000-0000-0000460D0000}"/>
    <cellStyle name="Currency 5 5 2 4 2" xfId="3824" xr:uid="{00000000-0005-0000-0000-0000470D0000}"/>
    <cellStyle name="Currency 5 5 2 4 2 2" xfId="8046" xr:uid="{00000000-0005-0000-0000-0000480D0000}"/>
    <cellStyle name="Currency 5 5 2 4 2 2 2" xfId="33378" xr:uid="{96579C8D-BD5B-4B9D-A677-7A780563DE08}"/>
    <cellStyle name="Currency 5 5 2 4 2 2 3" xfId="24937" xr:uid="{C14CFAF3-9F96-47F7-91A2-F27550F0221F}"/>
    <cellStyle name="Currency 5 5 2 4 2 2 4" xfId="16496" xr:uid="{CDCAD089-FAEC-45E3-BC77-38CBFF6686F8}"/>
    <cellStyle name="Currency 5 5 2 4 2 3" xfId="29160" xr:uid="{95836102-1F7A-4DCB-895F-44691815931D}"/>
    <cellStyle name="Currency 5 5 2 4 2 4" xfId="20719" xr:uid="{1DBF4B86-2869-4280-97DD-9478880804A2}"/>
    <cellStyle name="Currency 5 5 2 4 2 5" xfId="12278" xr:uid="{55D16070-D1D6-4006-8E24-F448B779B570}"/>
    <cellStyle name="Currency 5 5 2 4 3" xfId="5901" xr:uid="{00000000-0005-0000-0000-0000490D0000}"/>
    <cellStyle name="Currency 5 5 2 4 3 2" xfId="31233" xr:uid="{628530F7-4B43-4B81-91D9-60DB71304320}"/>
    <cellStyle name="Currency 5 5 2 4 3 3" xfId="22792" xr:uid="{347F7390-BC02-4FBC-8E62-A26778D102F3}"/>
    <cellStyle name="Currency 5 5 2 4 3 4" xfId="14351" xr:uid="{3D53864F-E72B-4AA6-AEA7-A0949124B8B7}"/>
    <cellStyle name="Currency 5 5 2 4 4" xfId="27015" xr:uid="{FF4D7214-483E-4549-9AB8-9C15694E1DA3}"/>
    <cellStyle name="Currency 5 5 2 4 5" xfId="18574" xr:uid="{EC06BC92-0F42-4032-B314-D83CC4D1FFB4}"/>
    <cellStyle name="Currency 5 5 2 4 6" xfId="10133" xr:uid="{13A48D33-91F5-40B1-8A33-245AC6DDEECA}"/>
    <cellStyle name="Currency 5 5 2 5" xfId="2008" xr:uid="{00000000-0005-0000-0000-00004A0D0000}"/>
    <cellStyle name="Currency 5 5 2 5 2" xfId="4237" xr:uid="{00000000-0005-0000-0000-00004B0D0000}"/>
    <cellStyle name="Currency 5 5 2 5 2 2" xfId="8459" xr:uid="{00000000-0005-0000-0000-00004C0D0000}"/>
    <cellStyle name="Currency 5 5 2 5 2 2 2" xfId="33791" xr:uid="{7F11EABC-541A-4D2B-B036-9DD238F048A0}"/>
    <cellStyle name="Currency 5 5 2 5 2 2 3" xfId="25350" xr:uid="{FFED92B9-0AEE-4C8B-B873-92DF5D8D7AFF}"/>
    <cellStyle name="Currency 5 5 2 5 2 2 4" xfId="16909" xr:uid="{1421381A-B66A-4DE6-B4A8-D527EEEB981B}"/>
    <cellStyle name="Currency 5 5 2 5 2 3" xfId="29573" xr:uid="{C7EB49DE-701A-4250-9606-4EB23F738A83}"/>
    <cellStyle name="Currency 5 5 2 5 2 4" xfId="21132" xr:uid="{60544681-C051-4BEC-B5AD-396469BCAEBA}"/>
    <cellStyle name="Currency 5 5 2 5 2 5" xfId="12691" xr:uid="{ECA6182B-CAAA-4ACA-9FF4-7C4D45605131}"/>
    <cellStyle name="Currency 5 5 2 5 3" xfId="6314" xr:uid="{00000000-0005-0000-0000-00004D0D0000}"/>
    <cellStyle name="Currency 5 5 2 5 3 2" xfId="31646" xr:uid="{5C3473D5-DC44-4BC1-8D58-995C1350A63C}"/>
    <cellStyle name="Currency 5 5 2 5 3 3" xfId="23205" xr:uid="{C57470B3-D273-42B9-B17F-588DA6899631}"/>
    <cellStyle name="Currency 5 5 2 5 3 4" xfId="14764" xr:uid="{4D3065E2-F8A7-47D7-A78C-A2E16C55952E}"/>
    <cellStyle name="Currency 5 5 2 5 4" xfId="27428" xr:uid="{6E765ECC-AB3B-4558-A4C0-0716877EBEBD}"/>
    <cellStyle name="Currency 5 5 2 5 5" xfId="18987" xr:uid="{F83808E4-E09F-4212-B2E1-33478470F867}"/>
    <cellStyle name="Currency 5 5 2 5 6" xfId="10546" xr:uid="{C3BFF1DF-E35D-4B2D-A4E7-794033BC8F36}"/>
    <cellStyle name="Currency 5 5 2 6" xfId="2443" xr:uid="{00000000-0005-0000-0000-00004E0D0000}"/>
    <cellStyle name="Currency 5 5 2 6 2" xfId="6727" xr:uid="{00000000-0005-0000-0000-00004F0D0000}"/>
    <cellStyle name="Currency 5 5 2 6 2 2" xfId="32059" xr:uid="{5EB525B7-6C5C-4999-9E42-623B1CFC5625}"/>
    <cellStyle name="Currency 5 5 2 6 2 3" xfId="23618" xr:uid="{2C821A03-E13E-48D6-AC1D-091F684CF43D}"/>
    <cellStyle name="Currency 5 5 2 6 2 4" xfId="15177" xr:uid="{EE6AD7C8-55DA-4427-9816-F6C30DF5C24C}"/>
    <cellStyle name="Currency 5 5 2 6 3" xfId="27841" xr:uid="{AA274EF4-C6A1-457C-9F5F-3A92D771B0A2}"/>
    <cellStyle name="Currency 5 5 2 6 4" xfId="19400" xr:uid="{C2148CD1-CBAA-4F5A-B667-1C27ED23FDD1}"/>
    <cellStyle name="Currency 5 5 2 6 5" xfId="10959" xr:uid="{86CF8033-51C9-4FED-805C-9E1304B9527B}"/>
    <cellStyle name="Currency 5 5 2 7" xfId="2740" xr:uid="{00000000-0005-0000-0000-0000500D0000}"/>
    <cellStyle name="Currency 5 5 2 8" xfId="2821" xr:uid="{00000000-0005-0000-0000-0000510D0000}"/>
    <cellStyle name="Currency 5 5 2 8 2" xfId="7044" xr:uid="{00000000-0005-0000-0000-0000520D0000}"/>
    <cellStyle name="Currency 5 5 2 8 2 2" xfId="32376" xr:uid="{081988F9-E937-47D1-AC0F-94F56913C51D}"/>
    <cellStyle name="Currency 5 5 2 8 2 3" xfId="23935" xr:uid="{D4ADD8B6-0854-4DAB-A866-0B1ECA4636F3}"/>
    <cellStyle name="Currency 5 5 2 8 2 4" xfId="15494" xr:uid="{7DFF57D1-8E66-43E8-B0D2-7835EEDCA078}"/>
    <cellStyle name="Currency 5 5 2 8 3" xfId="28158" xr:uid="{66A52D0B-B5F9-463C-A524-4B5C0C7EA45D}"/>
    <cellStyle name="Currency 5 5 2 8 4" xfId="19717" xr:uid="{76037C59-B681-4B0A-BAC8-B3AB129D1AA0}"/>
    <cellStyle name="Currency 5 5 2 8 5" xfId="11276" xr:uid="{1A5DEC07-1263-44E2-83EE-45EEEC65D74A}"/>
    <cellStyle name="Currency 5 5 2 9" xfId="4661" xr:uid="{00000000-0005-0000-0000-0000530D0000}"/>
    <cellStyle name="Currency 5 5 2 9 2" xfId="29993" xr:uid="{2123A073-CBF7-4945-ACE9-E346916738A1}"/>
    <cellStyle name="Currency 5 5 2 9 3" xfId="21552" xr:uid="{5B8482C7-0621-4200-B77C-5064965BF29A}"/>
    <cellStyle name="Currency 5 5 2 9 4" xfId="13111" xr:uid="{A070AECA-655F-41F5-B881-ADB17062859D}"/>
    <cellStyle name="Currency 5 5 3" xfId="745" xr:uid="{00000000-0005-0000-0000-0000540D0000}"/>
    <cellStyle name="Currency 5 5 3 2" xfId="2997" xr:uid="{00000000-0005-0000-0000-0000550D0000}"/>
    <cellStyle name="Currency 5 5 3 2 2" xfId="7219" xr:uid="{00000000-0005-0000-0000-0000560D0000}"/>
    <cellStyle name="Currency 5 5 3 2 2 2" xfId="32551" xr:uid="{64892049-6629-42EC-A4CC-405BEA4F098B}"/>
    <cellStyle name="Currency 5 5 3 2 2 3" xfId="24110" xr:uid="{B347FF0A-04EE-4646-9D4A-34FA6AAB83B9}"/>
    <cellStyle name="Currency 5 5 3 2 2 4" xfId="15669" xr:uid="{AE3E919E-7FD3-4216-9F10-074C95A05666}"/>
    <cellStyle name="Currency 5 5 3 2 3" xfId="28333" xr:uid="{645682CB-5E02-41FD-A167-062906F1E35F}"/>
    <cellStyle name="Currency 5 5 3 2 4" xfId="19892" xr:uid="{C17CDDBD-1E69-40D8-A87E-A01FDE719B2D}"/>
    <cellStyle name="Currency 5 5 3 2 5" xfId="11451" xr:uid="{9C66DBC9-0388-4005-91DD-66177A3327F2}"/>
    <cellStyle name="Currency 5 5 3 3" xfId="5074" xr:uid="{00000000-0005-0000-0000-0000570D0000}"/>
    <cellStyle name="Currency 5 5 3 3 2" xfId="30406" xr:uid="{5E4DA3DD-C3DC-4E51-95AE-937597635703}"/>
    <cellStyle name="Currency 5 5 3 3 3" xfId="21965" xr:uid="{EFC2396E-D304-4F49-88C4-3007FF05D2E8}"/>
    <cellStyle name="Currency 5 5 3 3 4" xfId="13524" xr:uid="{E0864617-57EA-4B6E-82C3-0AB23BDDC412}"/>
    <cellStyle name="Currency 5 5 3 4" xfId="26188" xr:uid="{ACAC62E5-41B4-4076-A332-29C5914713AA}"/>
    <cellStyle name="Currency 5 5 3 5" xfId="17747" xr:uid="{15A933B4-ED18-4FC6-B4B8-8220955B7EE5}"/>
    <cellStyle name="Currency 5 5 3 6" xfId="9306" xr:uid="{6A09ABE8-7486-47F2-9D6A-7D7A59C3A28B}"/>
    <cellStyle name="Currency 5 5 4" xfId="1179" xr:uid="{00000000-0005-0000-0000-0000580D0000}"/>
    <cellStyle name="Currency 5 5 4 2" xfId="3410" xr:uid="{00000000-0005-0000-0000-0000590D0000}"/>
    <cellStyle name="Currency 5 5 4 2 2" xfId="7632" xr:uid="{00000000-0005-0000-0000-00005A0D0000}"/>
    <cellStyle name="Currency 5 5 4 2 2 2" xfId="32964" xr:uid="{4647CF1B-53D7-4DAE-AF9F-950572EAEB7C}"/>
    <cellStyle name="Currency 5 5 4 2 2 3" xfId="24523" xr:uid="{64804B04-4461-4C4A-8CB9-8F950DAB8BF2}"/>
    <cellStyle name="Currency 5 5 4 2 2 4" xfId="16082" xr:uid="{64A1105A-7F24-4F30-AA39-426F8376E626}"/>
    <cellStyle name="Currency 5 5 4 2 3" xfId="28746" xr:uid="{0989729B-82B6-4B16-9087-DA214F81FBA7}"/>
    <cellStyle name="Currency 5 5 4 2 4" xfId="20305" xr:uid="{3FB6132A-57B7-48C0-A53F-834AAD19A094}"/>
    <cellStyle name="Currency 5 5 4 2 5" xfId="11864" xr:uid="{C708B4B0-FF2D-43D5-87E6-57E40E667B06}"/>
    <cellStyle name="Currency 5 5 4 3" xfId="5487" xr:uid="{00000000-0005-0000-0000-00005B0D0000}"/>
    <cellStyle name="Currency 5 5 4 3 2" xfId="30819" xr:uid="{A7F6638D-4A35-436B-A089-384274A144E2}"/>
    <cellStyle name="Currency 5 5 4 3 3" xfId="22378" xr:uid="{2F47A8F0-0DB7-4E84-824B-3DBB3A3D55E3}"/>
    <cellStyle name="Currency 5 5 4 3 4" xfId="13937" xr:uid="{2A462611-6EC6-437F-A33D-26E519C43D56}"/>
    <cellStyle name="Currency 5 5 4 4" xfId="26601" xr:uid="{C414B5AD-0CC4-4238-ADF7-4BFFDD39A8D6}"/>
    <cellStyle name="Currency 5 5 4 5" xfId="18160" xr:uid="{A0CFA925-F5EA-4B64-8FA9-630A9A777357}"/>
    <cellStyle name="Currency 5 5 4 6" xfId="9719" xr:uid="{C2F66818-95EF-4B39-B7DD-1C94DB23E20F}"/>
    <cellStyle name="Currency 5 5 5" xfId="1593" xr:uid="{00000000-0005-0000-0000-00005C0D0000}"/>
    <cellStyle name="Currency 5 5 5 2" xfId="3823" xr:uid="{00000000-0005-0000-0000-00005D0D0000}"/>
    <cellStyle name="Currency 5 5 5 2 2" xfId="8045" xr:uid="{00000000-0005-0000-0000-00005E0D0000}"/>
    <cellStyle name="Currency 5 5 5 2 2 2" xfId="33377" xr:uid="{DB0B1C4F-86B8-4964-B5B2-67BD1D78A1E3}"/>
    <cellStyle name="Currency 5 5 5 2 2 3" xfId="24936" xr:uid="{07C74DF6-CA3E-4BD5-A7EA-2FFDF18F79D5}"/>
    <cellStyle name="Currency 5 5 5 2 2 4" xfId="16495" xr:uid="{4C9EFD62-1697-4EF7-8A07-CC5DEB3F8188}"/>
    <cellStyle name="Currency 5 5 5 2 3" xfId="29159" xr:uid="{F862A878-5420-4BD0-8FEA-7B887A62DCC2}"/>
    <cellStyle name="Currency 5 5 5 2 4" xfId="20718" xr:uid="{B07068B3-4671-438B-BB0D-7FD98DE61019}"/>
    <cellStyle name="Currency 5 5 5 2 5" xfId="12277" xr:uid="{1692EDCE-C1EB-4FB0-B574-C34917A5A338}"/>
    <cellStyle name="Currency 5 5 5 3" xfId="5900" xr:uid="{00000000-0005-0000-0000-00005F0D0000}"/>
    <cellStyle name="Currency 5 5 5 3 2" xfId="31232" xr:uid="{955A1651-2AF7-4A0F-AAAE-62604178BC15}"/>
    <cellStyle name="Currency 5 5 5 3 3" xfId="22791" xr:uid="{97FB98F7-ED02-4AD8-93B1-FA518B8F05DD}"/>
    <cellStyle name="Currency 5 5 5 3 4" xfId="14350" xr:uid="{EEAEDB1C-408F-45B5-BE48-A95D89719122}"/>
    <cellStyle name="Currency 5 5 5 4" xfId="27014" xr:uid="{2519E400-9EE9-4159-8E1B-BD1593845FC5}"/>
    <cellStyle name="Currency 5 5 5 5" xfId="18573" xr:uid="{5A84CC3A-4D19-4951-9846-46E71C23CA5D}"/>
    <cellStyle name="Currency 5 5 5 6" xfId="10132" xr:uid="{8097042F-0C0B-4685-982B-3AB9AFA32E52}"/>
    <cellStyle name="Currency 5 5 6" xfId="2007" xr:uid="{00000000-0005-0000-0000-0000600D0000}"/>
    <cellStyle name="Currency 5 5 6 2" xfId="4236" xr:uid="{00000000-0005-0000-0000-0000610D0000}"/>
    <cellStyle name="Currency 5 5 6 2 2" xfId="8458" xr:uid="{00000000-0005-0000-0000-0000620D0000}"/>
    <cellStyle name="Currency 5 5 6 2 2 2" xfId="33790" xr:uid="{F447B6B3-DA3B-4E93-AE60-7C1C9B15D06F}"/>
    <cellStyle name="Currency 5 5 6 2 2 3" xfId="25349" xr:uid="{EA0F6981-527C-4CFD-A6C2-8263484CC2BC}"/>
    <cellStyle name="Currency 5 5 6 2 2 4" xfId="16908" xr:uid="{2F12DF54-BA4E-4009-8FCB-8B4146A85333}"/>
    <cellStyle name="Currency 5 5 6 2 3" xfId="29572" xr:uid="{D1057AC4-71D6-4374-A6C6-BAA08F60FA28}"/>
    <cellStyle name="Currency 5 5 6 2 4" xfId="21131" xr:uid="{4945E071-781B-424B-9E34-85D83D6F2A5D}"/>
    <cellStyle name="Currency 5 5 6 2 5" xfId="12690" xr:uid="{271ACF0D-8085-4160-A987-701029EE43DC}"/>
    <cellStyle name="Currency 5 5 6 3" xfId="6313" xr:uid="{00000000-0005-0000-0000-0000630D0000}"/>
    <cellStyle name="Currency 5 5 6 3 2" xfId="31645" xr:uid="{4C7B30D2-885D-44EE-AC41-CDC60321EF76}"/>
    <cellStyle name="Currency 5 5 6 3 3" xfId="23204" xr:uid="{5DE9558F-9312-45FF-8A7F-F95D1EBF2730}"/>
    <cellStyle name="Currency 5 5 6 3 4" xfId="14763" xr:uid="{F477C325-F045-4BCD-A36E-F0C5CDCEB62D}"/>
    <cellStyle name="Currency 5 5 6 4" xfId="27427" xr:uid="{EFCA2DE8-E8F6-46BA-BE7E-CC3A27B6C912}"/>
    <cellStyle name="Currency 5 5 6 5" xfId="18986" xr:uid="{DF2A2174-2067-4A6C-B413-8B8A22D4200C}"/>
    <cellStyle name="Currency 5 5 6 6" xfId="10545" xr:uid="{FB3B723D-6955-4242-A31A-D852E55BA90F}"/>
    <cellStyle name="Currency 5 5 7" xfId="2442" xr:uid="{00000000-0005-0000-0000-0000640D0000}"/>
    <cellStyle name="Currency 5 5 7 2" xfId="6726" xr:uid="{00000000-0005-0000-0000-0000650D0000}"/>
    <cellStyle name="Currency 5 5 7 2 2" xfId="32058" xr:uid="{2940E96B-7ECB-44BE-B6C5-60352FD3DE3C}"/>
    <cellStyle name="Currency 5 5 7 2 3" xfId="23617" xr:uid="{0BCFA2FA-47A7-475D-85DE-CDFCCB659C46}"/>
    <cellStyle name="Currency 5 5 7 2 4" xfId="15176" xr:uid="{A3CFE8BA-34E6-41DF-88B2-518E9E593A9D}"/>
    <cellStyle name="Currency 5 5 7 3" xfId="27840" xr:uid="{A872D66B-EBB8-4006-8E7E-EAF1756C5F53}"/>
    <cellStyle name="Currency 5 5 7 4" xfId="19399" xr:uid="{B7C1B109-CB6D-4D04-B6DC-02FB11DBF03D}"/>
    <cellStyle name="Currency 5 5 7 5" xfId="10958" xr:uid="{173930AB-1DC5-4CA5-9151-08D30212398E}"/>
    <cellStyle name="Currency 5 5 8" xfId="2739" xr:uid="{00000000-0005-0000-0000-0000660D0000}"/>
    <cellStyle name="Currency 5 5 9" xfId="2820" xr:uid="{00000000-0005-0000-0000-0000670D0000}"/>
    <cellStyle name="Currency 5 5 9 2" xfId="7043" xr:uid="{00000000-0005-0000-0000-0000680D0000}"/>
    <cellStyle name="Currency 5 5 9 2 2" xfId="32375" xr:uid="{D1B88627-0426-4315-954D-CF9EBF5A98C5}"/>
    <cellStyle name="Currency 5 5 9 2 3" xfId="23934" xr:uid="{7CCF8075-059A-48A7-A3BC-560D392DCDD3}"/>
    <cellStyle name="Currency 5 5 9 2 4" xfId="15493" xr:uid="{17490817-4D0A-4A83-ADF2-02CF5F141422}"/>
    <cellStyle name="Currency 5 5 9 3" xfId="28157" xr:uid="{05045D11-4884-4543-B0AE-17BD32CC363C}"/>
    <cellStyle name="Currency 5 5 9 4" xfId="19716" xr:uid="{524945CA-6C05-4E62-9837-0C4B04544071}"/>
    <cellStyle name="Currency 5 5 9 5" xfId="11275" xr:uid="{8716BC48-983A-41E6-9ED6-5F4BAA7E08DA}"/>
    <cellStyle name="Currency 5 6" xfId="221" xr:uid="{00000000-0005-0000-0000-0000690D0000}"/>
    <cellStyle name="Currency 5 6 10" xfId="25776" xr:uid="{72D42C5A-1CBA-4628-821D-1900EEFD2D8F}"/>
    <cellStyle name="Currency 5 6 11" xfId="17335" xr:uid="{69D54A38-6D93-4A23-A84F-E34DEF297CD3}"/>
    <cellStyle name="Currency 5 6 12" xfId="8894" xr:uid="{6065DD94-EEF6-4D2D-9567-02A2D33EC001}"/>
    <cellStyle name="Currency 5 6 2" xfId="747" xr:uid="{00000000-0005-0000-0000-00006A0D0000}"/>
    <cellStyle name="Currency 5 6 2 2" xfId="2999" xr:uid="{00000000-0005-0000-0000-00006B0D0000}"/>
    <cellStyle name="Currency 5 6 2 2 2" xfId="7221" xr:uid="{00000000-0005-0000-0000-00006C0D0000}"/>
    <cellStyle name="Currency 5 6 2 2 2 2" xfId="32553" xr:uid="{23DAFDDF-2395-40F3-A3C8-013258A650DC}"/>
    <cellStyle name="Currency 5 6 2 2 2 3" xfId="24112" xr:uid="{A862C4AF-3A92-4245-95C5-D0A9735D6E05}"/>
    <cellStyle name="Currency 5 6 2 2 2 4" xfId="15671" xr:uid="{B7A09B18-2BE8-490D-824A-6BE1ED767C0E}"/>
    <cellStyle name="Currency 5 6 2 2 3" xfId="28335" xr:uid="{FEEE2405-68B8-4DD2-8982-C053EA0A2CA9}"/>
    <cellStyle name="Currency 5 6 2 2 4" xfId="19894" xr:uid="{6246EC83-C4BF-4083-B299-4FFEDC503C67}"/>
    <cellStyle name="Currency 5 6 2 2 5" xfId="11453" xr:uid="{DFB6536E-526F-4489-829E-04F201F4B826}"/>
    <cellStyle name="Currency 5 6 2 3" xfId="5076" xr:uid="{00000000-0005-0000-0000-00006D0D0000}"/>
    <cellStyle name="Currency 5 6 2 3 2" xfId="30408" xr:uid="{3327E373-1DD0-43DF-AA68-63ABA9243611}"/>
    <cellStyle name="Currency 5 6 2 3 3" xfId="21967" xr:uid="{ABF050D2-87E0-43F8-BCA1-0373124562BE}"/>
    <cellStyle name="Currency 5 6 2 3 4" xfId="13526" xr:uid="{368EDCFF-A1FE-4AD5-808D-46EF5F3C0D1E}"/>
    <cellStyle name="Currency 5 6 2 4" xfId="26190" xr:uid="{B5A3EE97-DFD2-4EC0-9E50-7246D0D63863}"/>
    <cellStyle name="Currency 5 6 2 5" xfId="17749" xr:uid="{4C302927-151F-4703-BB21-17526A1EA6F3}"/>
    <cellStyle name="Currency 5 6 2 6" xfId="9308" xr:uid="{2CA35031-5C70-4E83-A1C2-BB8C89B7C35A}"/>
    <cellStyle name="Currency 5 6 3" xfId="1181" xr:uid="{00000000-0005-0000-0000-00006E0D0000}"/>
    <cellStyle name="Currency 5 6 3 2" xfId="3412" xr:uid="{00000000-0005-0000-0000-00006F0D0000}"/>
    <cellStyle name="Currency 5 6 3 2 2" xfId="7634" xr:uid="{00000000-0005-0000-0000-0000700D0000}"/>
    <cellStyle name="Currency 5 6 3 2 2 2" xfId="32966" xr:uid="{E46C6775-5055-4ACD-ADDC-48C1C4C97C29}"/>
    <cellStyle name="Currency 5 6 3 2 2 3" xfId="24525" xr:uid="{06A488DE-C3E6-4D3A-835C-24FB7FB2225D}"/>
    <cellStyle name="Currency 5 6 3 2 2 4" xfId="16084" xr:uid="{EB04477F-6147-4A43-997C-22D9D4968C63}"/>
    <cellStyle name="Currency 5 6 3 2 3" xfId="28748" xr:uid="{C047B714-66CE-4DB8-A4EF-FD103005416D}"/>
    <cellStyle name="Currency 5 6 3 2 4" xfId="20307" xr:uid="{93594167-6B60-4018-B7B7-B653F0413C63}"/>
    <cellStyle name="Currency 5 6 3 2 5" xfId="11866" xr:uid="{E57F1BFA-52E0-4B5C-8C61-5DFA625392E4}"/>
    <cellStyle name="Currency 5 6 3 3" xfId="5489" xr:uid="{00000000-0005-0000-0000-0000710D0000}"/>
    <cellStyle name="Currency 5 6 3 3 2" xfId="30821" xr:uid="{734DE52A-1D7E-441F-9240-3DF59E58DEFC}"/>
    <cellStyle name="Currency 5 6 3 3 3" xfId="22380" xr:uid="{12535F03-2479-4D52-B4B0-650D28C8B4C0}"/>
    <cellStyle name="Currency 5 6 3 3 4" xfId="13939" xr:uid="{90D7EB47-4F58-4B85-B550-92357B756FF4}"/>
    <cellStyle name="Currency 5 6 3 4" xfId="26603" xr:uid="{B2EA9D87-14E4-47AC-86F9-2B62FC170C4E}"/>
    <cellStyle name="Currency 5 6 3 5" xfId="18162" xr:uid="{C6407B6E-9676-4971-814F-6933DFC89468}"/>
    <cellStyle name="Currency 5 6 3 6" xfId="9721" xr:uid="{12358BB3-7308-4D00-9142-E01BAF0E7F09}"/>
    <cellStyle name="Currency 5 6 4" xfId="1595" xr:uid="{00000000-0005-0000-0000-0000720D0000}"/>
    <cellStyle name="Currency 5 6 4 2" xfId="3825" xr:uid="{00000000-0005-0000-0000-0000730D0000}"/>
    <cellStyle name="Currency 5 6 4 2 2" xfId="8047" xr:uid="{00000000-0005-0000-0000-0000740D0000}"/>
    <cellStyle name="Currency 5 6 4 2 2 2" xfId="33379" xr:uid="{A51BCF6D-6E28-44CE-821E-222D432F8CF4}"/>
    <cellStyle name="Currency 5 6 4 2 2 3" xfId="24938" xr:uid="{F604BD43-757B-4C84-BF7A-41F8F86C237D}"/>
    <cellStyle name="Currency 5 6 4 2 2 4" xfId="16497" xr:uid="{E890FC6C-8929-4DA8-A2D5-EA012FFF6FF2}"/>
    <cellStyle name="Currency 5 6 4 2 3" xfId="29161" xr:uid="{445F814E-BBAC-45E2-A2F4-F83669634648}"/>
    <cellStyle name="Currency 5 6 4 2 4" xfId="20720" xr:uid="{2B503347-EB03-4D82-A4AA-5C698A093B8C}"/>
    <cellStyle name="Currency 5 6 4 2 5" xfId="12279" xr:uid="{C6080C4B-D6D9-45C4-B1A9-A5D7F7150345}"/>
    <cellStyle name="Currency 5 6 4 3" xfId="5902" xr:uid="{00000000-0005-0000-0000-0000750D0000}"/>
    <cellStyle name="Currency 5 6 4 3 2" xfId="31234" xr:uid="{CCDD3920-2E23-43D6-B655-0A9604E79324}"/>
    <cellStyle name="Currency 5 6 4 3 3" xfId="22793" xr:uid="{BD03CF6D-4844-45E0-A050-D3026DB23D75}"/>
    <cellStyle name="Currency 5 6 4 3 4" xfId="14352" xr:uid="{DDC73778-2A8E-4A49-BEEA-DF0367D1F092}"/>
    <cellStyle name="Currency 5 6 4 4" xfId="27016" xr:uid="{7D60ECCB-3C80-4A09-9AED-6B6ED45FE8A1}"/>
    <cellStyle name="Currency 5 6 4 5" xfId="18575" xr:uid="{F669C44C-E084-4DC5-B90F-0FFD4ABCFECD}"/>
    <cellStyle name="Currency 5 6 4 6" xfId="10134" xr:uid="{2FB9D549-1D59-4163-85C1-7FA066AB4737}"/>
    <cellStyle name="Currency 5 6 5" xfId="2009" xr:uid="{00000000-0005-0000-0000-0000760D0000}"/>
    <cellStyle name="Currency 5 6 5 2" xfId="4238" xr:uid="{00000000-0005-0000-0000-0000770D0000}"/>
    <cellStyle name="Currency 5 6 5 2 2" xfId="8460" xr:uid="{00000000-0005-0000-0000-0000780D0000}"/>
    <cellStyle name="Currency 5 6 5 2 2 2" xfId="33792" xr:uid="{204A0947-FED1-4FF1-B90C-A288FC3EC062}"/>
    <cellStyle name="Currency 5 6 5 2 2 3" xfId="25351" xr:uid="{F29F9D00-3698-466B-BECF-EDF36102105D}"/>
    <cellStyle name="Currency 5 6 5 2 2 4" xfId="16910" xr:uid="{4BEA5CD2-67B2-419B-933D-BE3BB431934F}"/>
    <cellStyle name="Currency 5 6 5 2 3" xfId="29574" xr:uid="{770118B8-1D78-4D81-85CA-DCAC402851B2}"/>
    <cellStyle name="Currency 5 6 5 2 4" xfId="21133" xr:uid="{B28CCB43-9B21-4D7B-8103-713B4EBE6B68}"/>
    <cellStyle name="Currency 5 6 5 2 5" xfId="12692" xr:uid="{4AF91FCD-723C-4BAA-9E0C-262597DF2E79}"/>
    <cellStyle name="Currency 5 6 5 3" xfId="6315" xr:uid="{00000000-0005-0000-0000-0000790D0000}"/>
    <cellStyle name="Currency 5 6 5 3 2" xfId="31647" xr:uid="{C43D2F45-3FFA-4823-BA16-0E9F7C69EC2A}"/>
    <cellStyle name="Currency 5 6 5 3 3" xfId="23206" xr:uid="{A184D6C0-9E8E-4580-B8CA-9503DAAB11EF}"/>
    <cellStyle name="Currency 5 6 5 3 4" xfId="14765" xr:uid="{85323E1C-781B-4857-A608-E7603265DA83}"/>
    <cellStyle name="Currency 5 6 5 4" xfId="27429" xr:uid="{DB2CADE6-5B6A-4725-9C67-C76453D6458F}"/>
    <cellStyle name="Currency 5 6 5 5" xfId="18988" xr:uid="{724D8852-12D9-4624-B691-C9C600FF433B}"/>
    <cellStyle name="Currency 5 6 5 6" xfId="10547" xr:uid="{1763E46E-6C76-4419-B3A8-D539286B76F9}"/>
    <cellStyle name="Currency 5 6 6" xfId="2444" xr:uid="{00000000-0005-0000-0000-00007A0D0000}"/>
    <cellStyle name="Currency 5 6 6 2" xfId="6728" xr:uid="{00000000-0005-0000-0000-00007B0D0000}"/>
    <cellStyle name="Currency 5 6 6 2 2" xfId="32060" xr:uid="{CE15F234-7765-484E-9384-2EEFC344DA83}"/>
    <cellStyle name="Currency 5 6 6 2 3" xfId="23619" xr:uid="{E45FBA16-3D09-4014-9839-E87D252B7B86}"/>
    <cellStyle name="Currency 5 6 6 2 4" xfId="15178" xr:uid="{DCFF6D71-E3B7-41AB-9D77-2BE2C1B05533}"/>
    <cellStyle name="Currency 5 6 6 3" xfId="27842" xr:uid="{3BB69C7D-34AF-4E9B-9C3D-88B1589370F4}"/>
    <cellStyle name="Currency 5 6 6 4" xfId="19401" xr:uid="{9F870664-AC6A-4022-BFB5-0791DACE2EFD}"/>
    <cellStyle name="Currency 5 6 6 5" xfId="10960" xr:uid="{A6A2458A-8903-418E-B4DE-C6F643B1E8EB}"/>
    <cellStyle name="Currency 5 6 7" xfId="2741" xr:uid="{00000000-0005-0000-0000-00007C0D0000}"/>
    <cellStyle name="Currency 5 6 8" xfId="2822" xr:uid="{00000000-0005-0000-0000-00007D0D0000}"/>
    <cellStyle name="Currency 5 6 8 2" xfId="7045" xr:uid="{00000000-0005-0000-0000-00007E0D0000}"/>
    <cellStyle name="Currency 5 6 8 2 2" xfId="32377" xr:uid="{97DA9A6E-BC14-451F-ACDA-10568DF431CD}"/>
    <cellStyle name="Currency 5 6 8 2 3" xfId="23936" xr:uid="{0DA53618-1F49-4EE2-AB7A-9A5D510D38E8}"/>
    <cellStyle name="Currency 5 6 8 2 4" xfId="15495" xr:uid="{C3F9196B-E498-45D6-BE30-D18A9C37B8A0}"/>
    <cellStyle name="Currency 5 6 8 3" xfId="28159" xr:uid="{A2C876F8-E45D-4FBA-9859-A0D2376B1848}"/>
    <cellStyle name="Currency 5 6 8 4" xfId="19718" xr:uid="{80D3254C-396F-4125-B9FB-271913004ADB}"/>
    <cellStyle name="Currency 5 6 8 5" xfId="11277" xr:uid="{D00391F1-49D2-4034-AB26-0AA0546D617F}"/>
    <cellStyle name="Currency 5 6 9" xfId="4662" xr:uid="{00000000-0005-0000-0000-00007F0D0000}"/>
    <cellStyle name="Currency 5 6 9 2" xfId="29994" xr:uid="{F24AD672-9B84-420E-9107-E0F77C80BDB6}"/>
    <cellStyle name="Currency 5 6 9 3" xfId="21553" xr:uid="{A1D4524F-3351-40BB-BF68-0C904BB1AFFC}"/>
    <cellStyle name="Currency 5 6 9 4" xfId="13112" xr:uid="{C90FD60A-F2E0-4D10-A742-F6364937DA3F}"/>
    <cellStyle name="Currency 5 7" xfId="222" xr:uid="{00000000-0005-0000-0000-0000800D0000}"/>
    <cellStyle name="Currency 5 7 10" xfId="25777" xr:uid="{6D5A373B-4789-43E5-B613-EA49C900A920}"/>
    <cellStyle name="Currency 5 7 11" xfId="17336" xr:uid="{DA20D171-C560-41E5-969E-74C6C3B7A4C5}"/>
    <cellStyle name="Currency 5 7 12" xfId="8895" xr:uid="{C8B21A05-9DB2-47D7-AEFA-71A1446BFAD7}"/>
    <cellStyle name="Currency 5 7 2" xfId="748" xr:uid="{00000000-0005-0000-0000-0000810D0000}"/>
    <cellStyle name="Currency 5 7 2 2" xfId="3000" xr:uid="{00000000-0005-0000-0000-0000820D0000}"/>
    <cellStyle name="Currency 5 7 2 2 2" xfId="7222" xr:uid="{00000000-0005-0000-0000-0000830D0000}"/>
    <cellStyle name="Currency 5 7 2 2 2 2" xfId="32554" xr:uid="{651EC9AA-8068-4ED5-BF32-DB2BCF109FCB}"/>
    <cellStyle name="Currency 5 7 2 2 2 3" xfId="24113" xr:uid="{FBFD828F-ADF3-4ACD-A818-326F1E06147E}"/>
    <cellStyle name="Currency 5 7 2 2 2 4" xfId="15672" xr:uid="{73A44DC6-32F7-4699-81F0-3C76DB13DFBD}"/>
    <cellStyle name="Currency 5 7 2 2 3" xfId="28336" xr:uid="{E53D49A4-EB31-4694-B2B7-C3234E15CC7D}"/>
    <cellStyle name="Currency 5 7 2 2 4" xfId="19895" xr:uid="{842C582A-404E-45CA-BB5E-DC823D4D578B}"/>
    <cellStyle name="Currency 5 7 2 2 5" xfId="11454" xr:uid="{F19AB656-DBC7-4814-BEE7-6539D699B3CC}"/>
    <cellStyle name="Currency 5 7 2 3" xfId="5077" xr:uid="{00000000-0005-0000-0000-0000840D0000}"/>
    <cellStyle name="Currency 5 7 2 3 2" xfId="30409" xr:uid="{668461CF-9C2B-40E7-A8AF-2951B87F985C}"/>
    <cellStyle name="Currency 5 7 2 3 3" xfId="21968" xr:uid="{C50BFA15-5675-4D59-8DEA-F54F9D6A7626}"/>
    <cellStyle name="Currency 5 7 2 3 4" xfId="13527" xr:uid="{1B3B9F59-9C84-41A2-ABF0-7AD6396C5187}"/>
    <cellStyle name="Currency 5 7 2 4" xfId="26191" xr:uid="{55969048-0CEB-4105-936D-4FAEC1672CC6}"/>
    <cellStyle name="Currency 5 7 2 5" xfId="17750" xr:uid="{8D3EE83F-BDF9-428C-AAC4-EA46B4430FF2}"/>
    <cellStyle name="Currency 5 7 2 6" xfId="9309" xr:uid="{B8A39CAA-6A9D-4A9B-983F-58BA5D132E13}"/>
    <cellStyle name="Currency 5 7 3" xfId="1182" xr:uid="{00000000-0005-0000-0000-0000850D0000}"/>
    <cellStyle name="Currency 5 7 3 2" xfId="3413" xr:uid="{00000000-0005-0000-0000-0000860D0000}"/>
    <cellStyle name="Currency 5 7 3 2 2" xfId="7635" xr:uid="{00000000-0005-0000-0000-0000870D0000}"/>
    <cellStyle name="Currency 5 7 3 2 2 2" xfId="32967" xr:uid="{7FF602D0-3879-441F-9263-694F68654567}"/>
    <cellStyle name="Currency 5 7 3 2 2 3" xfId="24526" xr:uid="{2A559DDB-A0E3-451A-9D5B-1447D2FFBBB7}"/>
    <cellStyle name="Currency 5 7 3 2 2 4" xfId="16085" xr:uid="{F222AD17-AA8C-40D2-8F12-6C9C6EEFF6DC}"/>
    <cellStyle name="Currency 5 7 3 2 3" xfId="28749" xr:uid="{41E526D7-0627-4A72-AA01-3503E35036CB}"/>
    <cellStyle name="Currency 5 7 3 2 4" xfId="20308" xr:uid="{82819D08-DA7F-4948-80D5-5878FA3F8964}"/>
    <cellStyle name="Currency 5 7 3 2 5" xfId="11867" xr:uid="{4202F8FE-2080-423E-A294-DD310FA1E5F0}"/>
    <cellStyle name="Currency 5 7 3 3" xfId="5490" xr:uid="{00000000-0005-0000-0000-0000880D0000}"/>
    <cellStyle name="Currency 5 7 3 3 2" xfId="30822" xr:uid="{69DDA2E2-1251-432A-AEE2-FDDFFA775447}"/>
    <cellStyle name="Currency 5 7 3 3 3" xfId="22381" xr:uid="{75C597E6-2BBC-48EA-983D-10B1BB8DE844}"/>
    <cellStyle name="Currency 5 7 3 3 4" xfId="13940" xr:uid="{A67D6EC6-C3B8-41D6-A099-5D3041EB18E4}"/>
    <cellStyle name="Currency 5 7 3 4" xfId="26604" xr:uid="{4CF2729E-6180-4793-9D26-DDBDCCC31B57}"/>
    <cellStyle name="Currency 5 7 3 5" xfId="18163" xr:uid="{B30C41EC-102F-44A6-B0A2-67B2373CDAFB}"/>
    <cellStyle name="Currency 5 7 3 6" xfId="9722" xr:uid="{7EF28890-5C68-4770-BA6F-E3F5FB9993EB}"/>
    <cellStyle name="Currency 5 7 4" xfId="1596" xr:uid="{00000000-0005-0000-0000-0000890D0000}"/>
    <cellStyle name="Currency 5 7 4 2" xfId="3826" xr:uid="{00000000-0005-0000-0000-00008A0D0000}"/>
    <cellStyle name="Currency 5 7 4 2 2" xfId="8048" xr:uid="{00000000-0005-0000-0000-00008B0D0000}"/>
    <cellStyle name="Currency 5 7 4 2 2 2" xfId="33380" xr:uid="{89EACB96-789F-481A-A554-6F25F659342A}"/>
    <cellStyle name="Currency 5 7 4 2 2 3" xfId="24939" xr:uid="{F01636CA-0F66-400C-AF73-018A6F41506F}"/>
    <cellStyle name="Currency 5 7 4 2 2 4" xfId="16498" xr:uid="{299546C2-E51D-47E2-AB03-A574168D7545}"/>
    <cellStyle name="Currency 5 7 4 2 3" xfId="29162" xr:uid="{6070B922-132E-4336-9089-24C54746098D}"/>
    <cellStyle name="Currency 5 7 4 2 4" xfId="20721" xr:uid="{64C78A10-1E1C-4D2E-89AC-D4FB6428B4B0}"/>
    <cellStyle name="Currency 5 7 4 2 5" xfId="12280" xr:uid="{AD9DBE76-CA58-4B2C-B108-D797A496CCB9}"/>
    <cellStyle name="Currency 5 7 4 3" xfId="5903" xr:uid="{00000000-0005-0000-0000-00008C0D0000}"/>
    <cellStyle name="Currency 5 7 4 3 2" xfId="31235" xr:uid="{06EB8498-C208-4B53-B7A7-D02E289E0BCF}"/>
    <cellStyle name="Currency 5 7 4 3 3" xfId="22794" xr:uid="{7E6C1AD7-BB07-48D3-89D2-B53F0DBB396A}"/>
    <cellStyle name="Currency 5 7 4 3 4" xfId="14353" xr:uid="{FCB46622-F552-4184-A07C-EABD9A15521D}"/>
    <cellStyle name="Currency 5 7 4 4" xfId="27017" xr:uid="{32FE9756-011D-4C48-8A8D-F8A70531A41E}"/>
    <cellStyle name="Currency 5 7 4 5" xfId="18576" xr:uid="{6D9E045F-2315-4504-9568-175BD433FE62}"/>
    <cellStyle name="Currency 5 7 4 6" xfId="10135" xr:uid="{F2006270-2B77-4454-9F3A-2304EFA0C4E6}"/>
    <cellStyle name="Currency 5 7 5" xfId="2010" xr:uid="{00000000-0005-0000-0000-00008D0D0000}"/>
    <cellStyle name="Currency 5 7 5 2" xfId="4239" xr:uid="{00000000-0005-0000-0000-00008E0D0000}"/>
    <cellStyle name="Currency 5 7 5 2 2" xfId="8461" xr:uid="{00000000-0005-0000-0000-00008F0D0000}"/>
    <cellStyle name="Currency 5 7 5 2 2 2" xfId="33793" xr:uid="{7F8ABA06-C76B-439D-8182-455DCC6743BA}"/>
    <cellStyle name="Currency 5 7 5 2 2 3" xfId="25352" xr:uid="{7CD123AD-B640-4039-BD0B-D65DFE0B5CB5}"/>
    <cellStyle name="Currency 5 7 5 2 2 4" xfId="16911" xr:uid="{BB1BBC65-62B4-40BB-9E3E-80D7620ACB92}"/>
    <cellStyle name="Currency 5 7 5 2 3" xfId="29575" xr:uid="{382A6406-2D4D-4FFA-8273-967D9E28F3E7}"/>
    <cellStyle name="Currency 5 7 5 2 4" xfId="21134" xr:uid="{7C887FDD-68BC-4A06-B6B1-8CEFCFA9A880}"/>
    <cellStyle name="Currency 5 7 5 2 5" xfId="12693" xr:uid="{D1EE8D0C-7B9C-4656-A731-96E8C2CE9283}"/>
    <cellStyle name="Currency 5 7 5 3" xfId="6316" xr:uid="{00000000-0005-0000-0000-0000900D0000}"/>
    <cellStyle name="Currency 5 7 5 3 2" xfId="31648" xr:uid="{0A4CC02C-9463-4BBE-92DE-9FF0C6C887CC}"/>
    <cellStyle name="Currency 5 7 5 3 3" xfId="23207" xr:uid="{3FFDBC84-AF87-43AD-AB2C-F19CDEF62232}"/>
    <cellStyle name="Currency 5 7 5 3 4" xfId="14766" xr:uid="{7E7D5BDA-A53F-449B-AB67-F88D8A384CAA}"/>
    <cellStyle name="Currency 5 7 5 4" xfId="27430" xr:uid="{4B283555-09C8-4EE6-804F-D4ADCA0B855C}"/>
    <cellStyle name="Currency 5 7 5 5" xfId="18989" xr:uid="{F50C097A-6D08-4A61-9716-0A95D66565E5}"/>
    <cellStyle name="Currency 5 7 5 6" xfId="10548" xr:uid="{CD822B5B-F0BA-4830-86A0-7A8A32C777DA}"/>
    <cellStyle name="Currency 5 7 6" xfId="2445" xr:uid="{00000000-0005-0000-0000-0000910D0000}"/>
    <cellStyle name="Currency 5 7 6 2" xfId="6729" xr:uid="{00000000-0005-0000-0000-0000920D0000}"/>
    <cellStyle name="Currency 5 7 6 2 2" xfId="32061" xr:uid="{7CAB919A-BFD6-4887-826C-EC6DDCBD5F85}"/>
    <cellStyle name="Currency 5 7 6 2 3" xfId="23620" xr:uid="{B1C68687-8833-4A0E-BFE6-0733CE52FB2A}"/>
    <cellStyle name="Currency 5 7 6 2 4" xfId="15179" xr:uid="{524C5199-6FFD-41AC-8581-2B9878659D7D}"/>
    <cellStyle name="Currency 5 7 6 3" xfId="27843" xr:uid="{81C350F9-910A-4142-93F3-FB08BCB322EB}"/>
    <cellStyle name="Currency 5 7 6 4" xfId="19402" xr:uid="{F2199A6D-4FF0-46D2-A273-EB0DEC530C07}"/>
    <cellStyle name="Currency 5 7 6 5" xfId="10961" xr:uid="{9E3D4E97-FBA3-46F8-A29A-1E08C2358D58}"/>
    <cellStyle name="Currency 5 7 7" xfId="2742" xr:uid="{00000000-0005-0000-0000-0000930D0000}"/>
    <cellStyle name="Currency 5 7 8" xfId="2823" xr:uid="{00000000-0005-0000-0000-0000940D0000}"/>
    <cellStyle name="Currency 5 7 8 2" xfId="7046" xr:uid="{00000000-0005-0000-0000-0000950D0000}"/>
    <cellStyle name="Currency 5 7 8 2 2" xfId="32378" xr:uid="{686D79E1-8178-482A-BFFA-CBFBC4EC3702}"/>
    <cellStyle name="Currency 5 7 8 2 3" xfId="23937" xr:uid="{935E73F1-C244-4139-81F1-E5DB4CEF8627}"/>
    <cellStyle name="Currency 5 7 8 2 4" xfId="15496" xr:uid="{262DEC7A-B335-4F8C-BECF-19BE735904B5}"/>
    <cellStyle name="Currency 5 7 8 3" xfId="28160" xr:uid="{33FF4B14-5B17-499E-BD63-896BB2730F9D}"/>
    <cellStyle name="Currency 5 7 8 4" xfId="19719" xr:uid="{61495F8E-C3C4-4E1B-95F6-EC6F63B8E8E0}"/>
    <cellStyle name="Currency 5 7 8 5" xfId="11278" xr:uid="{141C3A13-4353-4012-86F5-B100B5F7837A}"/>
    <cellStyle name="Currency 5 7 9" xfId="4663" xr:uid="{00000000-0005-0000-0000-0000960D0000}"/>
    <cellStyle name="Currency 5 7 9 2" xfId="29995" xr:uid="{9506D4F0-0D81-4926-9450-259DFDD86CB7}"/>
    <cellStyle name="Currency 5 7 9 3" xfId="21554" xr:uid="{9C1220FD-AA1F-486E-B07A-DBE7205B46E5}"/>
    <cellStyle name="Currency 5 7 9 4" xfId="13113" xr:uid="{52222662-90F9-48FB-89ED-99531CF3402D}"/>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0 2 2" xfId="32062" xr:uid="{64398315-6A51-4085-90BC-63DE9F8239C3}"/>
    <cellStyle name="Normal 12 10 2 3" xfId="23621" xr:uid="{02F404F1-A32A-4B1C-8559-3C44CD847C55}"/>
    <cellStyle name="Normal 12 10 2 4" xfId="15180" xr:uid="{2135969C-CCEA-4392-9246-9A8B07784E93}"/>
    <cellStyle name="Normal 12 10 3" xfId="27844" xr:uid="{814E17F6-3564-4A80-878B-D7C86BDD522F}"/>
    <cellStyle name="Normal 12 10 4" xfId="19403" xr:uid="{2B0F80C9-D646-4EDB-8648-0D128DA3BC50}"/>
    <cellStyle name="Normal 12 10 5" xfId="10962" xr:uid="{D6B4A0F4-8FCB-443F-AE84-E92DA7AB6875}"/>
    <cellStyle name="Normal 12 11" xfId="4664" xr:uid="{00000000-0005-0000-0000-0000CC0D0000}"/>
    <cellStyle name="Normal 12 11 2" xfId="29996" xr:uid="{9D12459E-DC9F-431E-9CC1-E9DF94CC10E5}"/>
    <cellStyle name="Normal 12 11 3" xfId="21555" xr:uid="{8268DCFB-E07F-4491-A27C-BEC1CE37EC06}"/>
    <cellStyle name="Normal 12 11 4" xfId="13114" xr:uid="{AE8EF4ED-30DE-4F4A-8A6D-F4D95EFE44DB}"/>
    <cellStyle name="Normal 12 12" xfId="25778" xr:uid="{EA80E675-AD17-410D-984E-BF642187B80B}"/>
    <cellStyle name="Normal 12 13" xfId="17337" xr:uid="{57BA38F1-A26B-4038-8739-D6E96F244C1A}"/>
    <cellStyle name="Normal 12 14" xfId="8896" xr:uid="{CC9006D5-C239-4188-A4DB-4B32383128E0}"/>
    <cellStyle name="Normal 12 2" xfId="260" xr:uid="{00000000-0005-0000-0000-0000CD0D0000}"/>
    <cellStyle name="Normal 12 2 10" xfId="25779" xr:uid="{D7BFD1B4-9ED4-450F-BA50-8AAB953D52F7}"/>
    <cellStyle name="Normal 12 2 11" xfId="17338" xr:uid="{B9C34968-E55A-46A1-A412-59299B91E2DB}"/>
    <cellStyle name="Normal 12 2 12" xfId="8897" xr:uid="{93DB2760-96BB-41EA-BEA7-35B5DD3964E5}"/>
    <cellStyle name="Normal 12 2 2" xfId="261" xr:uid="{00000000-0005-0000-0000-0000CE0D0000}"/>
    <cellStyle name="Normal 12 2 2 10" xfId="17339" xr:uid="{ADA9AD7C-0025-4DB5-BF55-AEA4E4BDC006}"/>
    <cellStyle name="Normal 12 2 2 11" xfId="8898" xr:uid="{E782F242-4504-4FFF-ADA3-135A5FCAF641}"/>
    <cellStyle name="Normal 12 2 2 2" xfId="262" xr:uid="{00000000-0005-0000-0000-0000CF0D0000}"/>
    <cellStyle name="Normal 12 2 2 2 10" xfId="8899" xr:uid="{B1FB8C89-9A8C-4CAA-AFD2-E5FE9D7133F0}"/>
    <cellStyle name="Normal 12 2 2 2 2" xfId="763" xr:uid="{00000000-0005-0000-0000-0000D00D0000}"/>
    <cellStyle name="Normal 12 2 2 2 2 2" xfId="3004" xr:uid="{00000000-0005-0000-0000-0000D10D0000}"/>
    <cellStyle name="Normal 12 2 2 2 2 2 2" xfId="7226" xr:uid="{00000000-0005-0000-0000-0000D20D0000}"/>
    <cellStyle name="Normal 12 2 2 2 2 2 2 2" xfId="32558" xr:uid="{3FD3D825-1BF1-4534-BB71-7A75FAE11807}"/>
    <cellStyle name="Normal 12 2 2 2 2 2 2 3" xfId="24117" xr:uid="{9A7BBC70-B142-4B7B-8E10-14906F9D33B7}"/>
    <cellStyle name="Normal 12 2 2 2 2 2 2 4" xfId="15676" xr:uid="{09BCA987-6048-438B-B2DC-F4647D3A1BCD}"/>
    <cellStyle name="Normal 12 2 2 2 2 2 3" xfId="28340" xr:uid="{289861D0-D638-4D22-AE96-60FB635CE56B}"/>
    <cellStyle name="Normal 12 2 2 2 2 2 4" xfId="19899" xr:uid="{AB32449A-FB4E-4208-89DF-B8C5FE5CB783}"/>
    <cellStyle name="Normal 12 2 2 2 2 2 5" xfId="11458" xr:uid="{F9865EC0-F671-4D86-ADBD-7900EA30BF69}"/>
    <cellStyle name="Normal 12 2 2 2 2 3" xfId="5081" xr:uid="{00000000-0005-0000-0000-0000D30D0000}"/>
    <cellStyle name="Normal 12 2 2 2 2 3 2" xfId="30413" xr:uid="{11C12B85-A200-4E0F-97C0-023C38A8BC3D}"/>
    <cellStyle name="Normal 12 2 2 2 2 3 3" xfId="21972" xr:uid="{A69CD418-57D2-4170-9483-934A38128369}"/>
    <cellStyle name="Normal 12 2 2 2 2 3 4" xfId="13531" xr:uid="{A689FA3C-7358-4223-A492-B14A578B9F75}"/>
    <cellStyle name="Normal 12 2 2 2 2 4" xfId="26195" xr:uid="{1EA67A92-E0BD-4C8E-B174-02E944790124}"/>
    <cellStyle name="Normal 12 2 2 2 2 5" xfId="17754" xr:uid="{9225A696-D95B-49BC-85AF-A62AB6CD8089}"/>
    <cellStyle name="Normal 12 2 2 2 2 6" xfId="9313" xr:uid="{573CC746-945C-4A9A-B7A3-7F25465B731B}"/>
    <cellStyle name="Normal 12 2 2 2 3" xfId="1186" xr:uid="{00000000-0005-0000-0000-0000D40D0000}"/>
    <cellStyle name="Normal 12 2 2 2 3 2" xfId="3417" xr:uid="{00000000-0005-0000-0000-0000D50D0000}"/>
    <cellStyle name="Normal 12 2 2 2 3 2 2" xfId="7639" xr:uid="{00000000-0005-0000-0000-0000D60D0000}"/>
    <cellStyle name="Normal 12 2 2 2 3 2 2 2" xfId="32971" xr:uid="{398241D9-8BCA-4E5E-87A3-7FBC251DF679}"/>
    <cellStyle name="Normal 12 2 2 2 3 2 2 3" xfId="24530" xr:uid="{92947CE2-939B-4A62-A036-3C366AA358D5}"/>
    <cellStyle name="Normal 12 2 2 2 3 2 2 4" xfId="16089" xr:uid="{AF96FE5F-FCAE-4312-8AD9-07D3C8E43211}"/>
    <cellStyle name="Normal 12 2 2 2 3 2 3" xfId="28753" xr:uid="{5E6E619A-31A1-4C58-AC1B-2BB06A94CE69}"/>
    <cellStyle name="Normal 12 2 2 2 3 2 4" xfId="20312" xr:uid="{A6851DCF-5FAC-4D71-A54F-5C1BEB936FD1}"/>
    <cellStyle name="Normal 12 2 2 2 3 2 5" xfId="11871" xr:uid="{FDABBABF-1B6B-4A61-9AC6-5576A9431C4A}"/>
    <cellStyle name="Normal 12 2 2 2 3 3" xfId="5494" xr:uid="{00000000-0005-0000-0000-0000D70D0000}"/>
    <cellStyle name="Normal 12 2 2 2 3 3 2" xfId="30826" xr:uid="{070CCEDC-C0B3-4A3C-AECD-0BD2F6773AE3}"/>
    <cellStyle name="Normal 12 2 2 2 3 3 3" xfId="22385" xr:uid="{CB89D87B-EBE3-435D-BC0D-C3F37C326C71}"/>
    <cellStyle name="Normal 12 2 2 2 3 3 4" xfId="13944" xr:uid="{6FA29E91-C09D-462B-8097-A74F2EA97BFC}"/>
    <cellStyle name="Normal 12 2 2 2 3 4" xfId="26608" xr:uid="{2DD54A20-4661-4A6D-8AAC-ACF635B21760}"/>
    <cellStyle name="Normal 12 2 2 2 3 5" xfId="18167" xr:uid="{F96BA15D-AAE9-4F96-B078-FCB4AF60905B}"/>
    <cellStyle name="Normal 12 2 2 2 3 6" xfId="9726" xr:uid="{546F936A-010E-4A9B-A809-0370DDE5DF88}"/>
    <cellStyle name="Normal 12 2 2 2 4" xfId="1600" xr:uid="{00000000-0005-0000-0000-0000D80D0000}"/>
    <cellStyle name="Normal 12 2 2 2 4 2" xfId="3830" xr:uid="{00000000-0005-0000-0000-0000D90D0000}"/>
    <cellStyle name="Normal 12 2 2 2 4 2 2" xfId="8052" xr:uid="{00000000-0005-0000-0000-0000DA0D0000}"/>
    <cellStyle name="Normal 12 2 2 2 4 2 2 2" xfId="33384" xr:uid="{2D5EF6B9-7BB5-4DDC-AD3C-F7A5D54F91B2}"/>
    <cellStyle name="Normal 12 2 2 2 4 2 2 3" xfId="24943" xr:uid="{4A28BDC1-B603-4A0D-80F3-CB6465EC6803}"/>
    <cellStyle name="Normal 12 2 2 2 4 2 2 4" xfId="16502" xr:uid="{E1FA9488-0FEB-4F39-A65A-02574B75A2E7}"/>
    <cellStyle name="Normal 12 2 2 2 4 2 3" xfId="29166" xr:uid="{4F994787-6E15-429F-867D-AF486918EEF4}"/>
    <cellStyle name="Normal 12 2 2 2 4 2 4" xfId="20725" xr:uid="{58DE8210-1E3A-4214-9F69-DCF2B7DA9A0C}"/>
    <cellStyle name="Normal 12 2 2 2 4 2 5" xfId="12284" xr:uid="{DA4F4909-09E7-4DE0-B9B6-5E29E8CF49BC}"/>
    <cellStyle name="Normal 12 2 2 2 4 3" xfId="5907" xr:uid="{00000000-0005-0000-0000-0000DB0D0000}"/>
    <cellStyle name="Normal 12 2 2 2 4 3 2" xfId="31239" xr:uid="{4FDDB130-CF87-4441-B9B3-758075B893BC}"/>
    <cellStyle name="Normal 12 2 2 2 4 3 3" xfId="22798" xr:uid="{43E006DF-53D9-4EE5-92DB-53EC97430DC1}"/>
    <cellStyle name="Normal 12 2 2 2 4 3 4" xfId="14357" xr:uid="{4BF2325F-F49A-4E67-8108-C71CA8E83409}"/>
    <cellStyle name="Normal 12 2 2 2 4 4" xfId="27021" xr:uid="{353FC33E-0290-4477-BA8E-26659722040F}"/>
    <cellStyle name="Normal 12 2 2 2 4 5" xfId="18580" xr:uid="{97A97E82-1D0B-4C72-B17E-27FEC5E90789}"/>
    <cellStyle name="Normal 12 2 2 2 4 6" xfId="10139" xr:uid="{F07E3562-FF37-4E40-895E-4949D8E1C8BC}"/>
    <cellStyle name="Normal 12 2 2 2 5" xfId="2014" xr:uid="{00000000-0005-0000-0000-0000DC0D0000}"/>
    <cellStyle name="Normal 12 2 2 2 5 2" xfId="4243" xr:uid="{00000000-0005-0000-0000-0000DD0D0000}"/>
    <cellStyle name="Normal 12 2 2 2 5 2 2" xfId="8465" xr:uid="{00000000-0005-0000-0000-0000DE0D0000}"/>
    <cellStyle name="Normal 12 2 2 2 5 2 2 2" xfId="33797" xr:uid="{5C0E98C4-1CDC-4789-B8CC-41507AB9720B}"/>
    <cellStyle name="Normal 12 2 2 2 5 2 2 3" xfId="25356" xr:uid="{C0BEDC2D-71AA-400F-AD7B-2B7D7CF5E984}"/>
    <cellStyle name="Normal 12 2 2 2 5 2 2 4" xfId="16915" xr:uid="{1722BFEB-960E-46EC-80C5-1EB7AEE752C1}"/>
    <cellStyle name="Normal 12 2 2 2 5 2 3" xfId="29579" xr:uid="{BB12C61D-A84A-4927-9865-7BEF5C9FA741}"/>
    <cellStyle name="Normal 12 2 2 2 5 2 4" xfId="21138" xr:uid="{ABF3AC17-1D3D-42F9-BD70-64EBE4492B46}"/>
    <cellStyle name="Normal 12 2 2 2 5 2 5" xfId="12697" xr:uid="{6FF133B7-3C0D-4810-B5C2-B5781944D432}"/>
    <cellStyle name="Normal 12 2 2 2 5 3" xfId="6320" xr:uid="{00000000-0005-0000-0000-0000DF0D0000}"/>
    <cellStyle name="Normal 12 2 2 2 5 3 2" xfId="31652" xr:uid="{C2C4377C-9227-451C-A359-91B62CF9FCD7}"/>
    <cellStyle name="Normal 12 2 2 2 5 3 3" xfId="23211" xr:uid="{76278523-61FE-4EDC-BCE4-284593BC1FF4}"/>
    <cellStyle name="Normal 12 2 2 2 5 3 4" xfId="14770" xr:uid="{2E5EA30F-40F2-4C94-9E9C-E2FF0026896A}"/>
    <cellStyle name="Normal 12 2 2 2 5 4" xfId="27434" xr:uid="{E36C3ACB-D31E-4C31-AC05-E8372D107A32}"/>
    <cellStyle name="Normal 12 2 2 2 5 5" xfId="18993" xr:uid="{12F58F08-7AB5-48E6-AA4E-B0709F71E8AC}"/>
    <cellStyle name="Normal 12 2 2 2 5 6" xfId="10552" xr:uid="{25056CBF-B761-418B-AE64-A63F858B44BB}"/>
    <cellStyle name="Normal 12 2 2 2 6" xfId="2450" xr:uid="{00000000-0005-0000-0000-0000E00D0000}"/>
    <cellStyle name="Normal 12 2 2 2 6 2" xfId="6733" xr:uid="{00000000-0005-0000-0000-0000E10D0000}"/>
    <cellStyle name="Normal 12 2 2 2 6 2 2" xfId="32065" xr:uid="{80B1EE5E-4622-4AF8-A77D-92DD9E4F3175}"/>
    <cellStyle name="Normal 12 2 2 2 6 2 3" xfId="23624" xr:uid="{32DC09B6-0DC9-42B9-A393-C567CA8E7E36}"/>
    <cellStyle name="Normal 12 2 2 2 6 2 4" xfId="15183" xr:uid="{4F729AC1-4CF8-4B03-8604-8171D7BF6688}"/>
    <cellStyle name="Normal 12 2 2 2 6 3" xfId="27847" xr:uid="{A987BEEE-9994-4464-A278-7169928601D6}"/>
    <cellStyle name="Normal 12 2 2 2 6 4" xfId="19406" xr:uid="{D42405CD-8F17-4740-BBEE-CF8CEC361BC7}"/>
    <cellStyle name="Normal 12 2 2 2 6 5" xfId="10965" xr:uid="{BDAB51FB-55EB-4178-B9DA-D5449215DB86}"/>
    <cellStyle name="Normal 12 2 2 2 7" xfId="4667" xr:uid="{00000000-0005-0000-0000-0000E20D0000}"/>
    <cellStyle name="Normal 12 2 2 2 7 2" xfId="29999" xr:uid="{7788F69A-F8F7-47A0-A3DA-F4CB85231469}"/>
    <cellStyle name="Normal 12 2 2 2 7 3" xfId="21558" xr:uid="{C6EC3AB9-6073-467A-9EDA-78A27D728096}"/>
    <cellStyle name="Normal 12 2 2 2 7 4" xfId="13117" xr:uid="{36876D0E-AE06-4C02-89EB-990AE7D2EC62}"/>
    <cellStyle name="Normal 12 2 2 2 8" xfId="25781" xr:uid="{4672EA94-D137-45C1-ABBE-DE5D4F728A47}"/>
    <cellStyle name="Normal 12 2 2 2 9" xfId="17340" xr:uid="{0C06E46C-308D-446B-98CA-C6074D560FE9}"/>
    <cellStyle name="Normal 12 2 2 3" xfId="762" xr:uid="{00000000-0005-0000-0000-0000E30D0000}"/>
    <cellStyle name="Normal 12 2 2 3 2" xfId="3003" xr:uid="{00000000-0005-0000-0000-0000E40D0000}"/>
    <cellStyle name="Normal 12 2 2 3 2 2" xfId="7225" xr:uid="{00000000-0005-0000-0000-0000E50D0000}"/>
    <cellStyle name="Normal 12 2 2 3 2 2 2" xfId="32557" xr:uid="{200259DD-D90D-4B69-A1FD-103E2D135890}"/>
    <cellStyle name="Normal 12 2 2 3 2 2 3" xfId="24116" xr:uid="{F45EC758-832B-4F12-AB52-77F709283837}"/>
    <cellStyle name="Normal 12 2 2 3 2 2 4" xfId="15675" xr:uid="{8FE37FB6-7BD8-41F1-A2F9-D71CBA88D2E8}"/>
    <cellStyle name="Normal 12 2 2 3 2 3" xfId="28339" xr:uid="{2B3089BB-7148-45E6-8F99-E4416764D2EB}"/>
    <cellStyle name="Normal 12 2 2 3 2 4" xfId="19898" xr:uid="{02FB077A-AB41-41B9-8658-FBBCE28C2FF9}"/>
    <cellStyle name="Normal 12 2 2 3 2 5" xfId="11457" xr:uid="{4188556B-68F1-45B7-B478-6E590B871086}"/>
    <cellStyle name="Normal 12 2 2 3 3" xfId="5080" xr:uid="{00000000-0005-0000-0000-0000E60D0000}"/>
    <cellStyle name="Normal 12 2 2 3 3 2" xfId="30412" xr:uid="{07DEC8AE-F428-4892-9E24-A4BC1E77D3E6}"/>
    <cellStyle name="Normal 12 2 2 3 3 3" xfId="21971" xr:uid="{B4D2077D-E375-4BB0-8B6A-B9E6CC0F6917}"/>
    <cellStyle name="Normal 12 2 2 3 3 4" xfId="13530" xr:uid="{E1EA0BA2-BA72-446B-AC77-DA25EE9F5E88}"/>
    <cellStyle name="Normal 12 2 2 3 4" xfId="26194" xr:uid="{081EE603-4990-419E-AD3F-63A39C15DA5D}"/>
    <cellStyle name="Normal 12 2 2 3 5" xfId="17753" xr:uid="{71786406-A5EB-413A-BD9F-730034B56472}"/>
    <cellStyle name="Normal 12 2 2 3 6" xfId="9312" xr:uid="{CAF8A573-52C7-4778-B6DF-B4C4D285096A}"/>
    <cellStyle name="Normal 12 2 2 4" xfId="1185" xr:uid="{00000000-0005-0000-0000-0000E70D0000}"/>
    <cellStyle name="Normal 12 2 2 4 2" xfId="3416" xr:uid="{00000000-0005-0000-0000-0000E80D0000}"/>
    <cellStyle name="Normal 12 2 2 4 2 2" xfId="7638" xr:uid="{00000000-0005-0000-0000-0000E90D0000}"/>
    <cellStyle name="Normal 12 2 2 4 2 2 2" xfId="32970" xr:uid="{E7F644DB-E047-4C2F-B56E-3B1F7A0D2A29}"/>
    <cellStyle name="Normal 12 2 2 4 2 2 3" xfId="24529" xr:uid="{84B1F216-8130-4797-BB9C-A8DC74516BD1}"/>
    <cellStyle name="Normal 12 2 2 4 2 2 4" xfId="16088" xr:uid="{AD6E00BF-048A-4068-B892-3CD428467635}"/>
    <cellStyle name="Normal 12 2 2 4 2 3" xfId="28752" xr:uid="{4A4C5732-EB13-45B1-964F-0C9A0F0D1566}"/>
    <cellStyle name="Normal 12 2 2 4 2 4" xfId="20311" xr:uid="{CCFC2CF9-690D-48C6-ADE3-D65AA0FA2B11}"/>
    <cellStyle name="Normal 12 2 2 4 2 5" xfId="11870" xr:uid="{93DE6C97-C4B7-468B-B1C2-0B4FCE85C92D}"/>
    <cellStyle name="Normal 12 2 2 4 3" xfId="5493" xr:uid="{00000000-0005-0000-0000-0000EA0D0000}"/>
    <cellStyle name="Normal 12 2 2 4 3 2" xfId="30825" xr:uid="{90D56F8A-9021-413A-8AB7-A3A660EBDDBA}"/>
    <cellStyle name="Normal 12 2 2 4 3 3" xfId="22384" xr:uid="{76E8F8DB-6CE1-4349-B61B-7983F721033F}"/>
    <cellStyle name="Normal 12 2 2 4 3 4" xfId="13943" xr:uid="{293CAD5F-B061-409C-8656-95A62C646EAD}"/>
    <cellStyle name="Normal 12 2 2 4 4" xfId="26607" xr:uid="{BDC729AD-8DC6-4304-BDBD-D8366B72CB1A}"/>
    <cellStyle name="Normal 12 2 2 4 5" xfId="18166" xr:uid="{1DBC75C5-6A49-4160-8FDB-981F688D7904}"/>
    <cellStyle name="Normal 12 2 2 4 6" xfId="9725" xr:uid="{F1145D79-691D-4877-A6D4-C275C0B66681}"/>
    <cellStyle name="Normal 12 2 2 5" xfId="1599" xr:uid="{00000000-0005-0000-0000-0000EB0D0000}"/>
    <cellStyle name="Normal 12 2 2 5 2" xfId="3829" xr:uid="{00000000-0005-0000-0000-0000EC0D0000}"/>
    <cellStyle name="Normal 12 2 2 5 2 2" xfId="8051" xr:uid="{00000000-0005-0000-0000-0000ED0D0000}"/>
    <cellStyle name="Normal 12 2 2 5 2 2 2" xfId="33383" xr:uid="{EFA7C998-2730-4A2B-B85E-3E5F34EED3DC}"/>
    <cellStyle name="Normal 12 2 2 5 2 2 3" xfId="24942" xr:uid="{53EA029A-FEDB-455D-847D-8B0F7129B56D}"/>
    <cellStyle name="Normal 12 2 2 5 2 2 4" xfId="16501" xr:uid="{3B2655F9-96B1-455E-BE04-9F91B44A73EE}"/>
    <cellStyle name="Normal 12 2 2 5 2 3" xfId="29165" xr:uid="{EF956903-71F0-4214-8775-5C250A6FBC65}"/>
    <cellStyle name="Normal 12 2 2 5 2 4" xfId="20724" xr:uid="{F9252042-177C-4C23-BD6D-80678105D035}"/>
    <cellStyle name="Normal 12 2 2 5 2 5" xfId="12283" xr:uid="{85E13D01-C5C8-4051-AFFD-299D862AB1FB}"/>
    <cellStyle name="Normal 12 2 2 5 3" xfId="5906" xr:uid="{00000000-0005-0000-0000-0000EE0D0000}"/>
    <cellStyle name="Normal 12 2 2 5 3 2" xfId="31238" xr:uid="{5BCA5332-F5F6-4919-8DFD-15725AFAED7C}"/>
    <cellStyle name="Normal 12 2 2 5 3 3" xfId="22797" xr:uid="{DA19D5F4-7083-4D14-A778-A5C272EDFA4A}"/>
    <cellStyle name="Normal 12 2 2 5 3 4" xfId="14356" xr:uid="{48C54FBD-9C5F-449D-8DAD-56F21424A6F6}"/>
    <cellStyle name="Normal 12 2 2 5 4" xfId="27020" xr:uid="{51E78E61-ED3A-4F85-B3D2-A0326B75E30B}"/>
    <cellStyle name="Normal 12 2 2 5 5" xfId="18579" xr:uid="{348D0213-5D2F-4978-9608-1A6730567648}"/>
    <cellStyle name="Normal 12 2 2 5 6" xfId="10138" xr:uid="{B2D03A2D-6F28-45CF-BA3A-22B61D30D65B}"/>
    <cellStyle name="Normal 12 2 2 6" xfId="2013" xr:uid="{00000000-0005-0000-0000-0000EF0D0000}"/>
    <cellStyle name="Normal 12 2 2 6 2" xfId="4242" xr:uid="{00000000-0005-0000-0000-0000F00D0000}"/>
    <cellStyle name="Normal 12 2 2 6 2 2" xfId="8464" xr:uid="{00000000-0005-0000-0000-0000F10D0000}"/>
    <cellStyle name="Normal 12 2 2 6 2 2 2" xfId="33796" xr:uid="{30E11B07-1702-443B-8503-86370FA8D0A7}"/>
    <cellStyle name="Normal 12 2 2 6 2 2 3" xfId="25355" xr:uid="{2A926A49-F7D1-4E7D-A3C7-254906EBBCD2}"/>
    <cellStyle name="Normal 12 2 2 6 2 2 4" xfId="16914" xr:uid="{AE252B0E-90BA-4834-BE8D-C029D9FD1A2D}"/>
    <cellStyle name="Normal 12 2 2 6 2 3" xfId="29578" xr:uid="{B27EE405-546F-4B9C-AA12-004284DC26D4}"/>
    <cellStyle name="Normal 12 2 2 6 2 4" xfId="21137" xr:uid="{267E6BB7-5B7C-408A-B16B-1B4A340420D1}"/>
    <cellStyle name="Normal 12 2 2 6 2 5" xfId="12696" xr:uid="{59B94DFF-4633-4D9F-B321-E48AAA7F0AC2}"/>
    <cellStyle name="Normal 12 2 2 6 3" xfId="6319" xr:uid="{00000000-0005-0000-0000-0000F20D0000}"/>
    <cellStyle name="Normal 12 2 2 6 3 2" xfId="31651" xr:uid="{0F9FDBD1-2C51-421C-A7C6-70D8E6FF5FA4}"/>
    <cellStyle name="Normal 12 2 2 6 3 3" xfId="23210" xr:uid="{2A833144-26BF-45CB-BF0E-25CB757AC45E}"/>
    <cellStyle name="Normal 12 2 2 6 3 4" xfId="14769" xr:uid="{407B995E-6EE4-42F6-9469-0E9E65F28A4E}"/>
    <cellStyle name="Normal 12 2 2 6 4" xfId="27433" xr:uid="{66CFF6CB-1274-437B-92E2-520CA2E17D3B}"/>
    <cellStyle name="Normal 12 2 2 6 5" xfId="18992" xr:uid="{F3584145-0F71-404B-BFDD-AC3BCB155A6A}"/>
    <cellStyle name="Normal 12 2 2 6 6" xfId="10551" xr:uid="{13C9C6CD-9A89-48D6-A274-66FFFE4AD86A}"/>
    <cellStyle name="Normal 12 2 2 7" xfId="2449" xr:uid="{00000000-0005-0000-0000-0000F30D0000}"/>
    <cellStyle name="Normal 12 2 2 7 2" xfId="6732" xr:uid="{00000000-0005-0000-0000-0000F40D0000}"/>
    <cellStyle name="Normal 12 2 2 7 2 2" xfId="32064" xr:uid="{A7708270-E283-4A15-A802-7F69BB64710C}"/>
    <cellStyle name="Normal 12 2 2 7 2 3" xfId="23623" xr:uid="{EBCD05A8-9CBC-491D-9B52-BD6227B538BA}"/>
    <cellStyle name="Normal 12 2 2 7 2 4" xfId="15182" xr:uid="{10D967B5-B42B-4C25-9448-359922EFB876}"/>
    <cellStyle name="Normal 12 2 2 7 3" xfId="27846" xr:uid="{578C5023-A7D8-4E0F-A624-55231CA79EC7}"/>
    <cellStyle name="Normal 12 2 2 7 4" xfId="19405" xr:uid="{4F1E958C-8343-4B0F-9139-086C4DC91776}"/>
    <cellStyle name="Normal 12 2 2 7 5" xfId="10964" xr:uid="{1B4B9F78-3308-4D27-852B-B77B2F85FB1F}"/>
    <cellStyle name="Normal 12 2 2 8" xfId="4666" xr:uid="{00000000-0005-0000-0000-0000F50D0000}"/>
    <cellStyle name="Normal 12 2 2 8 2" xfId="29998" xr:uid="{B16480FB-7962-4476-941B-8206EC560E35}"/>
    <cellStyle name="Normal 12 2 2 8 3" xfId="21557" xr:uid="{C127256A-4A75-41A3-8E00-939C7A52A2EB}"/>
    <cellStyle name="Normal 12 2 2 8 4" xfId="13116" xr:uid="{AA6F3619-34F5-4137-9A99-3597D9113760}"/>
    <cellStyle name="Normal 12 2 2 9" xfId="25780" xr:uid="{B51AF237-627D-474A-85CE-DBB79D2979D5}"/>
    <cellStyle name="Normal 12 2 3" xfId="263" xr:uid="{00000000-0005-0000-0000-0000F60D0000}"/>
    <cellStyle name="Normal 12 2 3 10" xfId="8900" xr:uid="{F81E813B-E67C-4316-AB0E-F4318706A25D}"/>
    <cellStyle name="Normal 12 2 3 2" xfId="764" xr:uid="{00000000-0005-0000-0000-0000F70D0000}"/>
    <cellStyle name="Normal 12 2 3 2 2" xfId="3005" xr:uid="{00000000-0005-0000-0000-0000F80D0000}"/>
    <cellStyle name="Normal 12 2 3 2 2 2" xfId="7227" xr:uid="{00000000-0005-0000-0000-0000F90D0000}"/>
    <cellStyle name="Normal 12 2 3 2 2 2 2" xfId="32559" xr:uid="{DCD83503-9B08-4B96-85EF-A110C9F09803}"/>
    <cellStyle name="Normal 12 2 3 2 2 2 3" xfId="24118" xr:uid="{2586849F-584C-47B7-AE06-912EC78E4D7B}"/>
    <cellStyle name="Normal 12 2 3 2 2 2 4" xfId="15677" xr:uid="{9F1EB68E-9269-4BC6-B33C-0797A4C3A2EB}"/>
    <cellStyle name="Normal 12 2 3 2 2 3" xfId="28341" xr:uid="{7535183D-2ADC-4AF4-990B-CFF3FB6289A9}"/>
    <cellStyle name="Normal 12 2 3 2 2 4" xfId="19900" xr:uid="{30F6EC51-CEEF-41BF-931D-BB125DD6476D}"/>
    <cellStyle name="Normal 12 2 3 2 2 5" xfId="11459" xr:uid="{4E6ECF2B-2573-4F83-9CA5-6C9EFA2ADB31}"/>
    <cellStyle name="Normal 12 2 3 2 3" xfId="5082" xr:uid="{00000000-0005-0000-0000-0000FA0D0000}"/>
    <cellStyle name="Normal 12 2 3 2 3 2" xfId="30414" xr:uid="{4138A3C5-17E6-459B-8822-2FA86619DB53}"/>
    <cellStyle name="Normal 12 2 3 2 3 3" xfId="21973" xr:uid="{7BEC2681-EEB9-45E4-B405-C51788E3F56C}"/>
    <cellStyle name="Normal 12 2 3 2 3 4" xfId="13532" xr:uid="{A7A3BF35-A97C-420A-80D3-4454B46C5390}"/>
    <cellStyle name="Normal 12 2 3 2 4" xfId="26196" xr:uid="{844986A1-EF0D-4191-9B1F-1F808057C8CE}"/>
    <cellStyle name="Normal 12 2 3 2 5" xfId="17755" xr:uid="{EFF8AE1C-1CFF-41EE-B02C-46CA5AA7F2A6}"/>
    <cellStyle name="Normal 12 2 3 2 6" xfId="9314" xr:uid="{3A0BB5F8-CCF7-4930-923C-9BB831217645}"/>
    <cellStyle name="Normal 12 2 3 3" xfId="1187" xr:uid="{00000000-0005-0000-0000-0000FB0D0000}"/>
    <cellStyle name="Normal 12 2 3 3 2" xfId="3418" xr:uid="{00000000-0005-0000-0000-0000FC0D0000}"/>
    <cellStyle name="Normal 12 2 3 3 2 2" xfId="7640" xr:uid="{00000000-0005-0000-0000-0000FD0D0000}"/>
    <cellStyle name="Normal 12 2 3 3 2 2 2" xfId="32972" xr:uid="{4633C925-17CD-49C6-BFE5-08BD282FC1B3}"/>
    <cellStyle name="Normal 12 2 3 3 2 2 3" xfId="24531" xr:uid="{82995C74-67AC-4E84-A9DC-8AA37E9A80E7}"/>
    <cellStyle name="Normal 12 2 3 3 2 2 4" xfId="16090" xr:uid="{A1E99522-59EE-48A9-B335-290CB4164316}"/>
    <cellStyle name="Normal 12 2 3 3 2 3" xfId="28754" xr:uid="{898999EB-3DCE-482E-B446-5840ECB9F883}"/>
    <cellStyle name="Normal 12 2 3 3 2 4" xfId="20313" xr:uid="{2520BA2C-3568-4722-8A44-ACA8AF0EFAA7}"/>
    <cellStyle name="Normal 12 2 3 3 2 5" xfId="11872" xr:uid="{B546A294-458B-4032-8E4A-A37DD4A636C0}"/>
    <cellStyle name="Normal 12 2 3 3 3" xfId="5495" xr:uid="{00000000-0005-0000-0000-0000FE0D0000}"/>
    <cellStyle name="Normal 12 2 3 3 3 2" xfId="30827" xr:uid="{63E0D833-7B70-4AF2-BC3E-F40B8A5DCE39}"/>
    <cellStyle name="Normal 12 2 3 3 3 3" xfId="22386" xr:uid="{AD12FFE5-74EC-42EB-A2FB-0D48A0D4DB21}"/>
    <cellStyle name="Normal 12 2 3 3 3 4" xfId="13945" xr:uid="{6864BA3F-A660-4370-B952-BD8536BA1CE1}"/>
    <cellStyle name="Normal 12 2 3 3 4" xfId="26609" xr:uid="{167D5084-6372-40C6-AFB9-7D76F0EFFB90}"/>
    <cellStyle name="Normal 12 2 3 3 5" xfId="18168" xr:uid="{CF409394-4072-4D1A-A907-6046F35FF9B5}"/>
    <cellStyle name="Normal 12 2 3 3 6" xfId="9727" xr:uid="{610C1038-EF52-411B-9A4E-687032A74D48}"/>
    <cellStyle name="Normal 12 2 3 4" xfId="1601" xr:uid="{00000000-0005-0000-0000-0000FF0D0000}"/>
    <cellStyle name="Normal 12 2 3 4 2" xfId="3831" xr:uid="{00000000-0005-0000-0000-0000000E0000}"/>
    <cellStyle name="Normal 12 2 3 4 2 2" xfId="8053" xr:uid="{00000000-0005-0000-0000-0000010E0000}"/>
    <cellStyle name="Normal 12 2 3 4 2 2 2" xfId="33385" xr:uid="{E106BF11-4446-4472-93CB-C36F062B0968}"/>
    <cellStyle name="Normal 12 2 3 4 2 2 3" xfId="24944" xr:uid="{BC1EC630-22FB-4898-93CB-7B1AA6585B86}"/>
    <cellStyle name="Normal 12 2 3 4 2 2 4" xfId="16503" xr:uid="{634CF18D-BCAD-4033-9074-6815967D2854}"/>
    <cellStyle name="Normal 12 2 3 4 2 3" xfId="29167" xr:uid="{25514A08-D6FB-4AEE-BA37-9FD68921ABF1}"/>
    <cellStyle name="Normal 12 2 3 4 2 4" xfId="20726" xr:uid="{5DC632F8-FDBF-4C5D-A5D8-D51231475184}"/>
    <cellStyle name="Normal 12 2 3 4 2 5" xfId="12285" xr:uid="{919D03D5-3A36-4A70-BB67-29609A30346B}"/>
    <cellStyle name="Normal 12 2 3 4 3" xfId="5908" xr:uid="{00000000-0005-0000-0000-0000020E0000}"/>
    <cellStyle name="Normal 12 2 3 4 3 2" xfId="31240" xr:uid="{582D2D07-A677-49CB-9D90-D5865047B7DC}"/>
    <cellStyle name="Normal 12 2 3 4 3 3" xfId="22799" xr:uid="{B484F2C3-990E-46F5-834E-5EBB82FC57B1}"/>
    <cellStyle name="Normal 12 2 3 4 3 4" xfId="14358" xr:uid="{A337E94A-794B-41D3-A045-CF00BD9C65B7}"/>
    <cellStyle name="Normal 12 2 3 4 4" xfId="27022" xr:uid="{8907F5D4-849D-443B-8E9E-4BE4D09A66DB}"/>
    <cellStyle name="Normal 12 2 3 4 5" xfId="18581" xr:uid="{E9BC79E7-ABFD-4241-B151-E21C1DD696E9}"/>
    <cellStyle name="Normal 12 2 3 4 6" xfId="10140" xr:uid="{0D8ADF29-26CC-4CEF-80A8-021C3A0E1F54}"/>
    <cellStyle name="Normal 12 2 3 5" xfId="2015" xr:uid="{00000000-0005-0000-0000-0000030E0000}"/>
    <cellStyle name="Normal 12 2 3 5 2" xfId="4244" xr:uid="{00000000-0005-0000-0000-0000040E0000}"/>
    <cellStyle name="Normal 12 2 3 5 2 2" xfId="8466" xr:uid="{00000000-0005-0000-0000-0000050E0000}"/>
    <cellStyle name="Normal 12 2 3 5 2 2 2" xfId="33798" xr:uid="{EB2C91F6-9A2E-4053-9F89-8FF9C433D365}"/>
    <cellStyle name="Normal 12 2 3 5 2 2 3" xfId="25357" xr:uid="{91AA28EC-BD8F-4EE7-92F2-4F659A240C18}"/>
    <cellStyle name="Normal 12 2 3 5 2 2 4" xfId="16916" xr:uid="{669E9FC4-09B5-40C3-9EAF-968810056609}"/>
    <cellStyle name="Normal 12 2 3 5 2 3" xfId="29580" xr:uid="{9EDD6D7D-2CF6-42F9-A292-1E40A5F6C785}"/>
    <cellStyle name="Normal 12 2 3 5 2 4" xfId="21139" xr:uid="{56203F98-F01A-43BA-8488-E8E9A38E59F3}"/>
    <cellStyle name="Normal 12 2 3 5 2 5" xfId="12698" xr:uid="{FAB4BE89-FE25-4CF9-B611-BB8D52188DF7}"/>
    <cellStyle name="Normal 12 2 3 5 3" xfId="6321" xr:uid="{00000000-0005-0000-0000-0000060E0000}"/>
    <cellStyle name="Normal 12 2 3 5 3 2" xfId="31653" xr:uid="{4A3DF9E1-3DB9-4564-B7D1-CC880372D93D}"/>
    <cellStyle name="Normal 12 2 3 5 3 3" xfId="23212" xr:uid="{09FAB40C-0441-44F3-9472-50C9E83606C9}"/>
    <cellStyle name="Normal 12 2 3 5 3 4" xfId="14771" xr:uid="{A3C6D16A-14D7-47C7-92BC-F2D05277116F}"/>
    <cellStyle name="Normal 12 2 3 5 4" xfId="27435" xr:uid="{D9D62538-2293-4FC3-AF86-5CE003993174}"/>
    <cellStyle name="Normal 12 2 3 5 5" xfId="18994" xr:uid="{029DEAB9-6386-4D4C-ADAE-22B9DAF6E22E}"/>
    <cellStyle name="Normal 12 2 3 5 6" xfId="10553" xr:uid="{7BA233DF-C7D7-426E-BAAD-4F475BC1A1CD}"/>
    <cellStyle name="Normal 12 2 3 6" xfId="2451" xr:uid="{00000000-0005-0000-0000-0000070E0000}"/>
    <cellStyle name="Normal 12 2 3 6 2" xfId="6734" xr:uid="{00000000-0005-0000-0000-0000080E0000}"/>
    <cellStyle name="Normal 12 2 3 6 2 2" xfId="32066" xr:uid="{D09DD9A6-D1AD-4952-8B2D-66AC2F18DA71}"/>
    <cellStyle name="Normal 12 2 3 6 2 3" xfId="23625" xr:uid="{30CCBF48-149A-4FC4-91E7-A43427243726}"/>
    <cellStyle name="Normal 12 2 3 6 2 4" xfId="15184" xr:uid="{47B56300-97DE-4568-AEFF-9FB4575A8C24}"/>
    <cellStyle name="Normal 12 2 3 6 3" xfId="27848" xr:uid="{5CC8F843-3E87-4F4F-8F3A-A0CF12ACB055}"/>
    <cellStyle name="Normal 12 2 3 6 4" xfId="19407" xr:uid="{4C556ED6-DE07-471D-9FE9-CAC1FC8D171F}"/>
    <cellStyle name="Normal 12 2 3 6 5" xfId="10966" xr:uid="{021DA463-E4B1-4E29-8F1B-26A57799C193}"/>
    <cellStyle name="Normal 12 2 3 7" xfId="4668" xr:uid="{00000000-0005-0000-0000-0000090E0000}"/>
    <cellStyle name="Normal 12 2 3 7 2" xfId="30000" xr:uid="{66805834-2D07-4013-867F-4278D70552D9}"/>
    <cellStyle name="Normal 12 2 3 7 3" xfId="21559" xr:uid="{69FBF85A-7A59-4F23-84E7-AD09643F3EC5}"/>
    <cellStyle name="Normal 12 2 3 7 4" xfId="13118" xr:uid="{40022A59-5F07-491D-8879-4AED4D25B5C7}"/>
    <cellStyle name="Normal 12 2 3 8" xfId="25782" xr:uid="{BBB515FB-2DAD-46F0-974E-F2D975CE738B}"/>
    <cellStyle name="Normal 12 2 3 9" xfId="17341" xr:uid="{12857575-3895-4FC1-8C7C-7F2FD3972CFB}"/>
    <cellStyle name="Normal 12 2 4" xfId="761" xr:uid="{00000000-0005-0000-0000-00000A0E0000}"/>
    <cellStyle name="Normal 12 2 4 2" xfId="3002" xr:uid="{00000000-0005-0000-0000-00000B0E0000}"/>
    <cellStyle name="Normal 12 2 4 2 2" xfId="7224" xr:uid="{00000000-0005-0000-0000-00000C0E0000}"/>
    <cellStyle name="Normal 12 2 4 2 2 2" xfId="32556" xr:uid="{7A2ECFD0-6DBF-47A1-B66C-43D52B8008F7}"/>
    <cellStyle name="Normal 12 2 4 2 2 3" xfId="24115" xr:uid="{25490202-3855-423B-B704-8035D8C2B1AF}"/>
    <cellStyle name="Normal 12 2 4 2 2 4" xfId="15674" xr:uid="{58291884-469C-4E82-831F-8A45DF4D7B72}"/>
    <cellStyle name="Normal 12 2 4 2 3" xfId="28338" xr:uid="{17ABB165-15B6-4851-BBDF-9ADB15C99696}"/>
    <cellStyle name="Normal 12 2 4 2 4" xfId="19897" xr:uid="{75C39F06-BEC4-41E0-AFEE-81444B158F7E}"/>
    <cellStyle name="Normal 12 2 4 2 5" xfId="11456" xr:uid="{F34EA84A-8B95-4109-9D14-796117404D2A}"/>
    <cellStyle name="Normal 12 2 4 3" xfId="5079" xr:uid="{00000000-0005-0000-0000-00000D0E0000}"/>
    <cellStyle name="Normal 12 2 4 3 2" xfId="30411" xr:uid="{22631750-9644-41A5-93FF-0D5EA5D3DFD6}"/>
    <cellStyle name="Normal 12 2 4 3 3" xfId="21970" xr:uid="{53406817-33BA-40A3-9B28-BC178E8AECDA}"/>
    <cellStyle name="Normal 12 2 4 3 4" xfId="13529" xr:uid="{CE7C9246-DA49-49EC-A5B2-CAB4D1A0A92D}"/>
    <cellStyle name="Normal 12 2 4 4" xfId="26193" xr:uid="{249224CA-834C-4A99-A279-D6AD1EB2CF62}"/>
    <cellStyle name="Normal 12 2 4 5" xfId="17752" xr:uid="{462ADB01-6F12-47B6-9481-B1E155D4712C}"/>
    <cellStyle name="Normal 12 2 4 6" xfId="9311" xr:uid="{06A3BB2A-ADB3-4C98-A511-1237C0868A02}"/>
    <cellStyle name="Normal 12 2 5" xfId="1184" xr:uid="{00000000-0005-0000-0000-00000E0E0000}"/>
    <cellStyle name="Normal 12 2 5 2" xfId="3415" xr:uid="{00000000-0005-0000-0000-00000F0E0000}"/>
    <cellStyle name="Normal 12 2 5 2 2" xfId="7637" xr:uid="{00000000-0005-0000-0000-0000100E0000}"/>
    <cellStyle name="Normal 12 2 5 2 2 2" xfId="32969" xr:uid="{C1BCC21E-F6D9-4845-BFCB-4921DC05B344}"/>
    <cellStyle name="Normal 12 2 5 2 2 3" xfId="24528" xr:uid="{8A0C2C59-F460-48FF-80E1-EF399DF4612C}"/>
    <cellStyle name="Normal 12 2 5 2 2 4" xfId="16087" xr:uid="{A3ACC447-B5CE-48E7-A98A-C9FAE8851185}"/>
    <cellStyle name="Normal 12 2 5 2 3" xfId="28751" xr:uid="{23347745-0D14-43E6-BC83-B2F6B5E8CD5F}"/>
    <cellStyle name="Normal 12 2 5 2 4" xfId="20310" xr:uid="{A5A145DA-1FC7-44A5-8786-1FE18C1BBCFB}"/>
    <cellStyle name="Normal 12 2 5 2 5" xfId="11869" xr:uid="{5CF43464-0335-461F-8ED8-52014638DBAC}"/>
    <cellStyle name="Normal 12 2 5 3" xfId="5492" xr:uid="{00000000-0005-0000-0000-0000110E0000}"/>
    <cellStyle name="Normal 12 2 5 3 2" xfId="30824" xr:uid="{72333836-CE2E-4305-9109-41794C29E040}"/>
    <cellStyle name="Normal 12 2 5 3 3" xfId="22383" xr:uid="{FBB72C88-2E42-43AE-A0ED-F3BDD36E9822}"/>
    <cellStyle name="Normal 12 2 5 3 4" xfId="13942" xr:uid="{E4D72A5F-B118-4258-B13A-9387620D3A3C}"/>
    <cellStyle name="Normal 12 2 5 4" xfId="26606" xr:uid="{7FF80DA4-66EF-4535-8D91-9397AEDF7E71}"/>
    <cellStyle name="Normal 12 2 5 5" xfId="18165" xr:uid="{568D86ED-392A-4B7F-B2D4-15D4E08BF60C}"/>
    <cellStyle name="Normal 12 2 5 6" xfId="9724" xr:uid="{B4F025E7-A207-4B48-8697-EEFA69670DB0}"/>
    <cellStyle name="Normal 12 2 6" xfId="1598" xr:uid="{00000000-0005-0000-0000-0000120E0000}"/>
    <cellStyle name="Normal 12 2 6 2" xfId="3828" xr:uid="{00000000-0005-0000-0000-0000130E0000}"/>
    <cellStyle name="Normal 12 2 6 2 2" xfId="8050" xr:uid="{00000000-0005-0000-0000-0000140E0000}"/>
    <cellStyle name="Normal 12 2 6 2 2 2" xfId="33382" xr:uid="{364F9530-BBC5-48E0-8A5A-8D652D177296}"/>
    <cellStyle name="Normal 12 2 6 2 2 3" xfId="24941" xr:uid="{E4530AEB-1EDF-49E3-BEE1-2DC02C2A49D6}"/>
    <cellStyle name="Normal 12 2 6 2 2 4" xfId="16500" xr:uid="{18A27F66-7948-4DB3-8E50-5F89CE6C14AA}"/>
    <cellStyle name="Normal 12 2 6 2 3" xfId="29164" xr:uid="{CBD44069-C2B5-473F-8E5A-15FBA27414FE}"/>
    <cellStyle name="Normal 12 2 6 2 4" xfId="20723" xr:uid="{43DF8A55-5684-4B57-B856-5C08CC4A7AAB}"/>
    <cellStyle name="Normal 12 2 6 2 5" xfId="12282" xr:uid="{313CA348-2144-482A-818D-55F252995A39}"/>
    <cellStyle name="Normal 12 2 6 3" xfId="5905" xr:uid="{00000000-0005-0000-0000-0000150E0000}"/>
    <cellStyle name="Normal 12 2 6 3 2" xfId="31237" xr:uid="{0925D6FD-17B2-4172-8927-9F60C6079428}"/>
    <cellStyle name="Normal 12 2 6 3 3" xfId="22796" xr:uid="{FEF7D2A1-FCE9-4970-8E67-AE5471E97BE0}"/>
    <cellStyle name="Normal 12 2 6 3 4" xfId="14355" xr:uid="{068D938A-5ACD-4EC4-BA09-5CD4EDDB7584}"/>
    <cellStyle name="Normal 12 2 6 4" xfId="27019" xr:uid="{9BBA796E-2713-442C-98AB-B25AF01879F9}"/>
    <cellStyle name="Normal 12 2 6 5" xfId="18578" xr:uid="{69D8FDB0-1790-49F7-82C4-EAF17C457415}"/>
    <cellStyle name="Normal 12 2 6 6" xfId="10137" xr:uid="{3F24BBB7-90E2-4E0F-99C5-10665BF65337}"/>
    <cellStyle name="Normal 12 2 7" xfId="2012" xr:uid="{00000000-0005-0000-0000-0000160E0000}"/>
    <cellStyle name="Normal 12 2 7 2" xfId="4241" xr:uid="{00000000-0005-0000-0000-0000170E0000}"/>
    <cellStyle name="Normal 12 2 7 2 2" xfId="8463" xr:uid="{00000000-0005-0000-0000-0000180E0000}"/>
    <cellStyle name="Normal 12 2 7 2 2 2" xfId="33795" xr:uid="{1B8CB9A7-23B1-4951-B368-A916FE6DDC67}"/>
    <cellStyle name="Normal 12 2 7 2 2 3" xfId="25354" xr:uid="{F5F4CFE4-4CC6-403E-8C71-25DA9209FEE9}"/>
    <cellStyle name="Normal 12 2 7 2 2 4" xfId="16913" xr:uid="{B39A54EF-95C0-43A0-9561-AA84E1E2EB1C}"/>
    <cellStyle name="Normal 12 2 7 2 3" xfId="29577" xr:uid="{922E1238-4033-4515-A2D5-B6E6627FDC57}"/>
    <cellStyle name="Normal 12 2 7 2 4" xfId="21136" xr:uid="{AA5CDFF6-ED94-496C-A80C-0AB7D1442343}"/>
    <cellStyle name="Normal 12 2 7 2 5" xfId="12695" xr:uid="{9AFC6DF9-D064-4FA0-A774-ACD4247B440A}"/>
    <cellStyle name="Normal 12 2 7 3" xfId="6318" xr:uid="{00000000-0005-0000-0000-0000190E0000}"/>
    <cellStyle name="Normal 12 2 7 3 2" xfId="31650" xr:uid="{52966AC3-FEC3-4210-8884-7E2AD8539CE3}"/>
    <cellStyle name="Normal 12 2 7 3 3" xfId="23209" xr:uid="{D75A773B-7AF9-4AF5-9B79-9F3C33AB4BF8}"/>
    <cellStyle name="Normal 12 2 7 3 4" xfId="14768" xr:uid="{0A04D3CF-3EFE-4F54-996D-2893A8C4CABA}"/>
    <cellStyle name="Normal 12 2 7 4" xfId="27432" xr:uid="{C21B9D42-C7FF-435E-8E20-3A7CFE89AD6A}"/>
    <cellStyle name="Normal 12 2 7 5" xfId="18991" xr:uid="{25269468-7B5B-4A76-BB17-B7A095B0B52E}"/>
    <cellStyle name="Normal 12 2 7 6" xfId="10550" xr:uid="{CA893BC0-9D4D-4F8F-907C-384ED8752C1A}"/>
    <cellStyle name="Normal 12 2 8" xfId="2448" xr:uid="{00000000-0005-0000-0000-00001A0E0000}"/>
    <cellStyle name="Normal 12 2 8 2" xfId="6731" xr:uid="{00000000-0005-0000-0000-00001B0E0000}"/>
    <cellStyle name="Normal 12 2 8 2 2" xfId="32063" xr:uid="{9584D13C-29A1-4557-A991-E3B376BF8883}"/>
    <cellStyle name="Normal 12 2 8 2 3" xfId="23622" xr:uid="{174EB304-898E-4AB8-8834-BC6412512631}"/>
    <cellStyle name="Normal 12 2 8 2 4" xfId="15181" xr:uid="{9A3EBA75-74A7-4E4A-8207-3171DB4A323F}"/>
    <cellStyle name="Normal 12 2 8 3" xfId="27845" xr:uid="{03DE4073-CB24-4730-AFD2-EF9DCC5DC205}"/>
    <cellStyle name="Normal 12 2 8 4" xfId="19404" xr:uid="{44E247F1-F40A-4FBD-BA0B-12577DD3A673}"/>
    <cellStyle name="Normal 12 2 8 5" xfId="10963" xr:uid="{780802B4-E432-48BE-B6E8-A17C00CB71CF}"/>
    <cellStyle name="Normal 12 2 9" xfId="4665" xr:uid="{00000000-0005-0000-0000-00001C0E0000}"/>
    <cellStyle name="Normal 12 2 9 2" xfId="29997" xr:uid="{F8804CCC-7D8A-4107-8A46-588FE6EBB47D}"/>
    <cellStyle name="Normal 12 2 9 3" xfId="21556" xr:uid="{03ED2B0F-EDD4-4C6C-AB2B-25F50C99DE97}"/>
    <cellStyle name="Normal 12 2 9 4" xfId="13115" xr:uid="{9585497F-63A6-4B88-AA05-05551A205625}"/>
    <cellStyle name="Normal 12 3" xfId="264" xr:uid="{00000000-0005-0000-0000-00001D0E0000}"/>
    <cellStyle name="Normal 12 3 10" xfId="17342" xr:uid="{9B66F9BF-B692-4C79-9D74-FF937364FF79}"/>
    <cellStyle name="Normal 12 3 11" xfId="8901" xr:uid="{D80E37CC-305A-4051-B0DC-E21831F2956B}"/>
    <cellStyle name="Normal 12 3 2" xfId="265" xr:uid="{00000000-0005-0000-0000-00001E0E0000}"/>
    <cellStyle name="Normal 12 3 2 10" xfId="8902" xr:uid="{6083411C-9401-4C22-9BDF-0565E6EB599D}"/>
    <cellStyle name="Normal 12 3 2 2" xfId="766" xr:uid="{00000000-0005-0000-0000-00001F0E0000}"/>
    <cellStyle name="Normal 12 3 2 2 2" xfId="3007" xr:uid="{00000000-0005-0000-0000-0000200E0000}"/>
    <cellStyle name="Normal 12 3 2 2 2 2" xfId="7229" xr:uid="{00000000-0005-0000-0000-0000210E0000}"/>
    <cellStyle name="Normal 12 3 2 2 2 2 2" xfId="32561" xr:uid="{F47CF8B9-744F-4F1C-A1E7-3FC7593A2E8A}"/>
    <cellStyle name="Normal 12 3 2 2 2 2 3" xfId="24120" xr:uid="{D30C5B71-944F-4C50-9516-E2E14ECB5CAD}"/>
    <cellStyle name="Normal 12 3 2 2 2 2 4" xfId="15679" xr:uid="{51CADB76-0F5D-4426-A590-F2E55BB814F0}"/>
    <cellStyle name="Normal 12 3 2 2 2 3" xfId="28343" xr:uid="{3C1F1A13-C1E7-4652-BDA9-E5F2C1F3A982}"/>
    <cellStyle name="Normal 12 3 2 2 2 4" xfId="19902" xr:uid="{D6DEF13E-758A-4622-BF61-8F6F73B4527B}"/>
    <cellStyle name="Normal 12 3 2 2 2 5" xfId="11461" xr:uid="{39536E05-0485-48F9-8E9A-660818ED901E}"/>
    <cellStyle name="Normal 12 3 2 2 3" xfId="5084" xr:uid="{00000000-0005-0000-0000-0000220E0000}"/>
    <cellStyle name="Normal 12 3 2 2 3 2" xfId="30416" xr:uid="{05CDCD9D-1295-405A-B4B3-42E42FC60AA1}"/>
    <cellStyle name="Normal 12 3 2 2 3 3" xfId="21975" xr:uid="{BBAC5FC5-0A1B-4213-9A51-EA221ED81D22}"/>
    <cellStyle name="Normal 12 3 2 2 3 4" xfId="13534" xr:uid="{A393F16E-96D0-4191-8454-5ADF2E40F05E}"/>
    <cellStyle name="Normal 12 3 2 2 4" xfId="26198" xr:uid="{4FC93AE2-ABD0-4E67-BD2B-CF462BF91606}"/>
    <cellStyle name="Normal 12 3 2 2 5" xfId="17757" xr:uid="{ED221295-936F-478F-87A6-F20ADB11C6E3}"/>
    <cellStyle name="Normal 12 3 2 2 6" xfId="9316" xr:uid="{E089DCA0-48AF-42BD-8D74-6B5784C8A720}"/>
    <cellStyle name="Normal 12 3 2 3" xfId="1189" xr:uid="{00000000-0005-0000-0000-0000230E0000}"/>
    <cellStyle name="Normal 12 3 2 3 2" xfId="3420" xr:uid="{00000000-0005-0000-0000-0000240E0000}"/>
    <cellStyle name="Normal 12 3 2 3 2 2" xfId="7642" xr:uid="{00000000-0005-0000-0000-0000250E0000}"/>
    <cellStyle name="Normal 12 3 2 3 2 2 2" xfId="32974" xr:uid="{DBBAA20B-A4B0-4E1D-8C4D-210667A6B281}"/>
    <cellStyle name="Normal 12 3 2 3 2 2 3" xfId="24533" xr:uid="{55C6DAAA-AE02-4B08-BB42-7369A14C5371}"/>
    <cellStyle name="Normal 12 3 2 3 2 2 4" xfId="16092" xr:uid="{B5910BAD-6376-4E43-A4FA-ABACD98D1E40}"/>
    <cellStyle name="Normal 12 3 2 3 2 3" xfId="28756" xr:uid="{AEF30D24-D413-4B54-B379-79530540A161}"/>
    <cellStyle name="Normal 12 3 2 3 2 4" xfId="20315" xr:uid="{B54F083C-5056-433B-92E9-D54A3FFC7519}"/>
    <cellStyle name="Normal 12 3 2 3 2 5" xfId="11874" xr:uid="{ED01A07A-6E05-4839-B050-45E22BA9E17B}"/>
    <cellStyle name="Normal 12 3 2 3 3" xfId="5497" xr:uid="{00000000-0005-0000-0000-0000260E0000}"/>
    <cellStyle name="Normal 12 3 2 3 3 2" xfId="30829" xr:uid="{6A7BCBB6-69EC-495C-802E-95BE4B398715}"/>
    <cellStyle name="Normal 12 3 2 3 3 3" xfId="22388" xr:uid="{FD9CAFF3-F1EA-49C5-8053-2D3EAD9A8E9D}"/>
    <cellStyle name="Normal 12 3 2 3 3 4" xfId="13947" xr:uid="{5764C015-8490-4050-881B-39DE84C6E1AA}"/>
    <cellStyle name="Normal 12 3 2 3 4" xfId="26611" xr:uid="{B7B10EC0-9301-4ABC-A883-089A865F5909}"/>
    <cellStyle name="Normal 12 3 2 3 5" xfId="18170" xr:uid="{9F169E04-29C2-4D20-A1C1-09FF9ECDB2A6}"/>
    <cellStyle name="Normal 12 3 2 3 6" xfId="9729" xr:uid="{1AB852FC-81ED-4A98-9BC5-32FB108C8393}"/>
    <cellStyle name="Normal 12 3 2 4" xfId="1603" xr:uid="{00000000-0005-0000-0000-0000270E0000}"/>
    <cellStyle name="Normal 12 3 2 4 2" xfId="3833" xr:uid="{00000000-0005-0000-0000-0000280E0000}"/>
    <cellStyle name="Normal 12 3 2 4 2 2" xfId="8055" xr:uid="{00000000-0005-0000-0000-0000290E0000}"/>
    <cellStyle name="Normal 12 3 2 4 2 2 2" xfId="33387" xr:uid="{4BBFB74F-969F-4E2A-BDE7-CE891CEFCDA8}"/>
    <cellStyle name="Normal 12 3 2 4 2 2 3" xfId="24946" xr:uid="{955E8DF7-C81D-4458-AD96-8FC71C77D4DA}"/>
    <cellStyle name="Normal 12 3 2 4 2 2 4" xfId="16505" xr:uid="{5BBDCE70-C875-4CB7-8EEA-A9B8BC84C4DF}"/>
    <cellStyle name="Normal 12 3 2 4 2 3" xfId="29169" xr:uid="{BB8C7AF6-C8AC-4F8A-BCB8-B366E0363408}"/>
    <cellStyle name="Normal 12 3 2 4 2 4" xfId="20728" xr:uid="{D26A8C2F-5B0E-4993-8CC9-ED9D3023A8F9}"/>
    <cellStyle name="Normal 12 3 2 4 2 5" xfId="12287" xr:uid="{C85A3EBE-EE7F-43CA-845E-6661E0265610}"/>
    <cellStyle name="Normal 12 3 2 4 3" xfId="5910" xr:uid="{00000000-0005-0000-0000-00002A0E0000}"/>
    <cellStyle name="Normal 12 3 2 4 3 2" xfId="31242" xr:uid="{6E354776-4EE0-4936-941F-C655915035F6}"/>
    <cellStyle name="Normal 12 3 2 4 3 3" xfId="22801" xr:uid="{5F38C775-5184-40C3-A313-19F7CDF06320}"/>
    <cellStyle name="Normal 12 3 2 4 3 4" xfId="14360" xr:uid="{B31D01AD-8ADE-4DFA-963C-0C51CCB7B689}"/>
    <cellStyle name="Normal 12 3 2 4 4" xfId="27024" xr:uid="{C05CDF18-A5D0-47A6-88EC-4D3364C163D9}"/>
    <cellStyle name="Normal 12 3 2 4 5" xfId="18583" xr:uid="{92CE8A89-4D40-4111-B3E0-DDD2F56BDC37}"/>
    <cellStyle name="Normal 12 3 2 4 6" xfId="10142" xr:uid="{62846861-7E05-4664-9D21-F9F7281CCC99}"/>
    <cellStyle name="Normal 12 3 2 5" xfId="2017" xr:uid="{00000000-0005-0000-0000-00002B0E0000}"/>
    <cellStyle name="Normal 12 3 2 5 2" xfId="4246" xr:uid="{00000000-0005-0000-0000-00002C0E0000}"/>
    <cellStyle name="Normal 12 3 2 5 2 2" xfId="8468" xr:uid="{00000000-0005-0000-0000-00002D0E0000}"/>
    <cellStyle name="Normal 12 3 2 5 2 2 2" xfId="33800" xr:uid="{E54BC3D8-2E77-4A98-81F2-0AE71FD62FA9}"/>
    <cellStyle name="Normal 12 3 2 5 2 2 3" xfId="25359" xr:uid="{91807771-C541-4447-A524-72C71774AA89}"/>
    <cellStyle name="Normal 12 3 2 5 2 2 4" xfId="16918" xr:uid="{0D48B18C-4D5F-4C0C-9EB7-63D2E0F877CA}"/>
    <cellStyle name="Normal 12 3 2 5 2 3" xfId="29582" xr:uid="{D7935630-753B-4BBC-86BE-FBBC863D2234}"/>
    <cellStyle name="Normal 12 3 2 5 2 4" xfId="21141" xr:uid="{C4464566-4A68-4AB3-9C75-6545A8C2F71A}"/>
    <cellStyle name="Normal 12 3 2 5 2 5" xfId="12700" xr:uid="{F7FA0AB2-945C-4675-A63C-6D4FD4E6D0F9}"/>
    <cellStyle name="Normal 12 3 2 5 3" xfId="6323" xr:uid="{00000000-0005-0000-0000-00002E0E0000}"/>
    <cellStyle name="Normal 12 3 2 5 3 2" xfId="31655" xr:uid="{EA2E6D87-B35A-48C6-914A-EA7459FD54BE}"/>
    <cellStyle name="Normal 12 3 2 5 3 3" xfId="23214" xr:uid="{FBB1F49B-9C97-4AAC-9943-8B3C2891A3A2}"/>
    <cellStyle name="Normal 12 3 2 5 3 4" xfId="14773" xr:uid="{7C0FD690-259B-4E42-ABCE-DF63495274D6}"/>
    <cellStyle name="Normal 12 3 2 5 4" xfId="27437" xr:uid="{19CE3130-8464-42A0-9BE4-C37B34DF266F}"/>
    <cellStyle name="Normal 12 3 2 5 5" xfId="18996" xr:uid="{04127A9F-DD0B-4748-8835-1657F3A1ECF9}"/>
    <cellStyle name="Normal 12 3 2 5 6" xfId="10555" xr:uid="{8558D710-3815-4C16-BC4F-A141A1EB7C49}"/>
    <cellStyle name="Normal 12 3 2 6" xfId="2453" xr:uid="{00000000-0005-0000-0000-00002F0E0000}"/>
    <cellStyle name="Normal 12 3 2 6 2" xfId="6736" xr:uid="{00000000-0005-0000-0000-0000300E0000}"/>
    <cellStyle name="Normal 12 3 2 6 2 2" xfId="32068" xr:uid="{C7E9CC87-B147-4006-97FA-83E5FEA455B9}"/>
    <cellStyle name="Normal 12 3 2 6 2 3" xfId="23627" xr:uid="{FC125B9B-1BD5-47AC-99B0-4D6A66292A35}"/>
    <cellStyle name="Normal 12 3 2 6 2 4" xfId="15186" xr:uid="{B2100616-CD4D-4562-9D9C-39CD5A4A98CE}"/>
    <cellStyle name="Normal 12 3 2 6 3" xfId="27850" xr:uid="{84CC5B9B-A990-445B-931C-8882F374B778}"/>
    <cellStyle name="Normal 12 3 2 6 4" xfId="19409" xr:uid="{DC1DB6D8-4C4A-45C5-A113-16D646AAAC71}"/>
    <cellStyle name="Normal 12 3 2 6 5" xfId="10968" xr:uid="{7B18E917-B4B7-4F52-ADA1-5EE6732D31BB}"/>
    <cellStyle name="Normal 12 3 2 7" xfId="4670" xr:uid="{00000000-0005-0000-0000-0000310E0000}"/>
    <cellStyle name="Normal 12 3 2 7 2" xfId="30002" xr:uid="{13187CDB-B521-459C-8670-A50BA64EC7C3}"/>
    <cellStyle name="Normal 12 3 2 7 3" xfId="21561" xr:uid="{EB20406F-1938-434C-A23D-030CD0FD8A53}"/>
    <cellStyle name="Normal 12 3 2 7 4" xfId="13120" xr:uid="{0946A7F0-0EC1-4835-882C-815452EAE9AD}"/>
    <cellStyle name="Normal 12 3 2 8" xfId="25784" xr:uid="{4D9A92A0-FBF2-423B-B6E6-2B81619344BF}"/>
    <cellStyle name="Normal 12 3 2 9" xfId="17343" xr:uid="{C353A164-80C6-48E4-AAA9-8C42F519DE0A}"/>
    <cellStyle name="Normal 12 3 3" xfId="765" xr:uid="{00000000-0005-0000-0000-0000320E0000}"/>
    <cellStyle name="Normal 12 3 3 2" xfId="3006" xr:uid="{00000000-0005-0000-0000-0000330E0000}"/>
    <cellStyle name="Normal 12 3 3 2 2" xfId="7228" xr:uid="{00000000-0005-0000-0000-0000340E0000}"/>
    <cellStyle name="Normal 12 3 3 2 2 2" xfId="32560" xr:uid="{2C8B1976-286F-4D23-A23E-EDC16B02F2CD}"/>
    <cellStyle name="Normal 12 3 3 2 2 3" xfId="24119" xr:uid="{235ED695-8C6E-40B7-A056-42A38231B545}"/>
    <cellStyle name="Normal 12 3 3 2 2 4" xfId="15678" xr:uid="{38ABC973-7BBE-4390-B91A-DCEE61B3193A}"/>
    <cellStyle name="Normal 12 3 3 2 3" xfId="28342" xr:uid="{E5D828F1-63E0-4A9C-B6CA-DCB87BECC8D4}"/>
    <cellStyle name="Normal 12 3 3 2 4" xfId="19901" xr:uid="{F25723AE-4B84-498D-87EB-ACB3544E8022}"/>
    <cellStyle name="Normal 12 3 3 2 5" xfId="11460" xr:uid="{038F5B47-A618-4515-85EF-DB97B614054A}"/>
    <cellStyle name="Normal 12 3 3 3" xfId="5083" xr:uid="{00000000-0005-0000-0000-0000350E0000}"/>
    <cellStyle name="Normal 12 3 3 3 2" xfId="30415" xr:uid="{26618C3B-4D5D-49A2-9879-47FC870C7BB0}"/>
    <cellStyle name="Normal 12 3 3 3 3" xfId="21974" xr:uid="{55A22FA4-7A69-4C11-9E57-AA6417BD773C}"/>
    <cellStyle name="Normal 12 3 3 3 4" xfId="13533" xr:uid="{25AFB1B7-03BD-4F03-936D-AF67DFC66671}"/>
    <cellStyle name="Normal 12 3 3 4" xfId="26197" xr:uid="{4088D5FF-DE1E-48E4-BF1A-17FC21512785}"/>
    <cellStyle name="Normal 12 3 3 5" xfId="17756" xr:uid="{A492385F-FC1B-4D2D-99BE-753A4118B9C4}"/>
    <cellStyle name="Normal 12 3 3 6" xfId="9315" xr:uid="{F90568CA-DDA7-4380-AB5E-45A903EC965B}"/>
    <cellStyle name="Normal 12 3 4" xfId="1188" xr:uid="{00000000-0005-0000-0000-0000360E0000}"/>
    <cellStyle name="Normal 12 3 4 2" xfId="3419" xr:uid="{00000000-0005-0000-0000-0000370E0000}"/>
    <cellStyle name="Normal 12 3 4 2 2" xfId="7641" xr:uid="{00000000-0005-0000-0000-0000380E0000}"/>
    <cellStyle name="Normal 12 3 4 2 2 2" xfId="32973" xr:uid="{255E6379-75C3-4994-B097-171B40AB5611}"/>
    <cellStyle name="Normal 12 3 4 2 2 3" xfId="24532" xr:uid="{EE447822-2B43-4299-A53D-BA9CAA83D86B}"/>
    <cellStyle name="Normal 12 3 4 2 2 4" xfId="16091" xr:uid="{A0C17028-F1E2-4E1D-A1A4-906E5436D318}"/>
    <cellStyle name="Normal 12 3 4 2 3" xfId="28755" xr:uid="{23300F64-1426-470C-9B3D-187F493097CB}"/>
    <cellStyle name="Normal 12 3 4 2 4" xfId="20314" xr:uid="{9B43F6D1-7609-4F07-AC03-805753F0B659}"/>
    <cellStyle name="Normal 12 3 4 2 5" xfId="11873" xr:uid="{F87623CA-11CD-4E38-AD85-96947780F8C4}"/>
    <cellStyle name="Normal 12 3 4 3" xfId="5496" xr:uid="{00000000-0005-0000-0000-0000390E0000}"/>
    <cellStyle name="Normal 12 3 4 3 2" xfId="30828" xr:uid="{CF477B88-5CD1-4EE6-BC58-346BECF1DABE}"/>
    <cellStyle name="Normal 12 3 4 3 3" xfId="22387" xr:uid="{01C060D1-15C8-4BA0-9469-71187B8AB7D0}"/>
    <cellStyle name="Normal 12 3 4 3 4" xfId="13946" xr:uid="{2839D864-51F5-40BB-91F7-02A34DE0D26F}"/>
    <cellStyle name="Normal 12 3 4 4" xfId="26610" xr:uid="{7935FA66-5D41-471F-AF63-A3CBDA138EC4}"/>
    <cellStyle name="Normal 12 3 4 5" xfId="18169" xr:uid="{F6C20FD7-FDEA-43BA-AF85-8375C0543E32}"/>
    <cellStyle name="Normal 12 3 4 6" xfId="9728" xr:uid="{505CB0F7-F4E5-4AFC-899E-180BEB48C34C}"/>
    <cellStyle name="Normal 12 3 5" xfId="1602" xr:uid="{00000000-0005-0000-0000-00003A0E0000}"/>
    <cellStyle name="Normal 12 3 5 2" xfId="3832" xr:uid="{00000000-0005-0000-0000-00003B0E0000}"/>
    <cellStyle name="Normal 12 3 5 2 2" xfId="8054" xr:uid="{00000000-0005-0000-0000-00003C0E0000}"/>
    <cellStyle name="Normal 12 3 5 2 2 2" xfId="33386" xr:uid="{FB9BA5E0-759F-4C6E-8962-8E922C40A8F7}"/>
    <cellStyle name="Normal 12 3 5 2 2 3" xfId="24945" xr:uid="{BE87DB67-4844-4B76-B9DE-1CCF9EDCA5FC}"/>
    <cellStyle name="Normal 12 3 5 2 2 4" xfId="16504" xr:uid="{12D495A9-4756-4823-9907-65DA44FFA4C2}"/>
    <cellStyle name="Normal 12 3 5 2 3" xfId="29168" xr:uid="{10514512-882B-4C8B-9D2F-BEEF60912E3F}"/>
    <cellStyle name="Normal 12 3 5 2 4" xfId="20727" xr:uid="{CF4509CD-D469-432D-96F5-9605AAB1A3AE}"/>
    <cellStyle name="Normal 12 3 5 2 5" xfId="12286" xr:uid="{6FFB603E-19D1-4BE4-B2E7-03DED822C019}"/>
    <cellStyle name="Normal 12 3 5 3" xfId="5909" xr:uid="{00000000-0005-0000-0000-00003D0E0000}"/>
    <cellStyle name="Normal 12 3 5 3 2" xfId="31241" xr:uid="{76FFB1F1-A458-43AA-AB44-8FA35A809227}"/>
    <cellStyle name="Normal 12 3 5 3 3" xfId="22800" xr:uid="{40A7E767-56A2-4676-BFEF-23CFE1BEF98C}"/>
    <cellStyle name="Normal 12 3 5 3 4" xfId="14359" xr:uid="{674D6441-3453-458D-814B-CF114E0EB83E}"/>
    <cellStyle name="Normal 12 3 5 4" xfId="27023" xr:uid="{75172AA1-6245-4286-8065-FA48BE648DFE}"/>
    <cellStyle name="Normal 12 3 5 5" xfId="18582" xr:uid="{03D6BCBD-548F-4A5B-8E8A-2E6AE31BD9D6}"/>
    <cellStyle name="Normal 12 3 5 6" xfId="10141" xr:uid="{B0EF14AE-F196-4B29-8F5F-2562FFB5CD3F}"/>
    <cellStyle name="Normal 12 3 6" xfId="2016" xr:uid="{00000000-0005-0000-0000-00003E0E0000}"/>
    <cellStyle name="Normal 12 3 6 2" xfId="4245" xr:uid="{00000000-0005-0000-0000-00003F0E0000}"/>
    <cellStyle name="Normal 12 3 6 2 2" xfId="8467" xr:uid="{00000000-0005-0000-0000-0000400E0000}"/>
    <cellStyle name="Normal 12 3 6 2 2 2" xfId="33799" xr:uid="{A5A0A898-038A-4715-A0F1-576BACE862AA}"/>
    <cellStyle name="Normal 12 3 6 2 2 3" xfId="25358" xr:uid="{526E70C8-84C2-4FFA-99D0-3CDF381893A4}"/>
    <cellStyle name="Normal 12 3 6 2 2 4" xfId="16917" xr:uid="{10B3352D-3CEE-4F0A-ABF4-8D294888DE23}"/>
    <cellStyle name="Normal 12 3 6 2 3" xfId="29581" xr:uid="{C5EBDA20-D7A2-4147-9D0D-E7304146D42D}"/>
    <cellStyle name="Normal 12 3 6 2 4" xfId="21140" xr:uid="{A986DBF8-E5FD-41B2-AAEA-CB286617A1EB}"/>
    <cellStyle name="Normal 12 3 6 2 5" xfId="12699" xr:uid="{0F6499E1-E348-4BBA-97A3-B5051F464488}"/>
    <cellStyle name="Normal 12 3 6 3" xfId="6322" xr:uid="{00000000-0005-0000-0000-0000410E0000}"/>
    <cellStyle name="Normal 12 3 6 3 2" xfId="31654" xr:uid="{30D1AEB6-188E-4F34-8797-FF397A525CF7}"/>
    <cellStyle name="Normal 12 3 6 3 3" xfId="23213" xr:uid="{06F80253-CECE-40B8-AD1B-3B138C867EC2}"/>
    <cellStyle name="Normal 12 3 6 3 4" xfId="14772" xr:uid="{9F857BCF-9306-4B71-8541-1F7454FCAD21}"/>
    <cellStyle name="Normal 12 3 6 4" xfId="27436" xr:uid="{1AC789D1-FF88-41EF-932F-4202A866BDD2}"/>
    <cellStyle name="Normal 12 3 6 5" xfId="18995" xr:uid="{E54DE6CB-6EDD-464C-A23F-1B07AA0F775C}"/>
    <cellStyle name="Normal 12 3 6 6" xfId="10554" xr:uid="{1AFF732B-0430-4DFD-8B2A-35821EB9C8B9}"/>
    <cellStyle name="Normal 12 3 7" xfId="2452" xr:uid="{00000000-0005-0000-0000-0000420E0000}"/>
    <cellStyle name="Normal 12 3 7 2" xfId="6735" xr:uid="{00000000-0005-0000-0000-0000430E0000}"/>
    <cellStyle name="Normal 12 3 7 2 2" xfId="32067" xr:uid="{1D47BEE3-7A83-4286-B942-2615690F17D7}"/>
    <cellStyle name="Normal 12 3 7 2 3" xfId="23626" xr:uid="{91CB4729-E7A3-4818-8128-32C828181319}"/>
    <cellStyle name="Normal 12 3 7 2 4" xfId="15185" xr:uid="{AF65F625-FCFF-449C-A794-8E6A4742D4F1}"/>
    <cellStyle name="Normal 12 3 7 3" xfId="27849" xr:uid="{FB2E1C6E-DAF8-4961-BDAC-11EC7916045E}"/>
    <cellStyle name="Normal 12 3 7 4" xfId="19408" xr:uid="{426127FD-A6B8-4FD8-8314-44BB068C7317}"/>
    <cellStyle name="Normal 12 3 7 5" xfId="10967" xr:uid="{6DD99549-6816-476B-AA90-45A95412CC97}"/>
    <cellStyle name="Normal 12 3 8" xfId="4669" xr:uid="{00000000-0005-0000-0000-0000440E0000}"/>
    <cellStyle name="Normal 12 3 8 2" xfId="30001" xr:uid="{9C8725FC-55B1-454E-92DE-E4F8C0A74414}"/>
    <cellStyle name="Normal 12 3 8 3" xfId="21560" xr:uid="{CF2D6A65-511C-4C5D-B5EB-2ADEAF8640D2}"/>
    <cellStyle name="Normal 12 3 8 4" xfId="13119" xr:uid="{2E19E121-8094-4D01-B981-B0A6FCFE5B01}"/>
    <cellStyle name="Normal 12 3 9" xfId="25783" xr:uid="{789329BF-0E28-4168-BBE5-218EEAB32F30}"/>
    <cellStyle name="Normal 12 4" xfId="266" xr:uid="{00000000-0005-0000-0000-0000450E0000}"/>
    <cellStyle name="Normal 12 4 10" xfId="8903" xr:uid="{58D1C5B1-284F-4417-A149-21407C79E09E}"/>
    <cellStyle name="Normal 12 4 2" xfId="767" xr:uid="{00000000-0005-0000-0000-0000460E0000}"/>
    <cellStyle name="Normal 12 4 2 2" xfId="3008" xr:uid="{00000000-0005-0000-0000-0000470E0000}"/>
    <cellStyle name="Normal 12 4 2 2 2" xfId="7230" xr:uid="{00000000-0005-0000-0000-0000480E0000}"/>
    <cellStyle name="Normal 12 4 2 2 2 2" xfId="32562" xr:uid="{F429156A-D01E-443B-9B74-3F0FF87F48BE}"/>
    <cellStyle name="Normal 12 4 2 2 2 3" xfId="24121" xr:uid="{0E45BBFA-6C30-4C8F-BA92-549ED90415E1}"/>
    <cellStyle name="Normal 12 4 2 2 2 4" xfId="15680" xr:uid="{A5E78500-1C5D-4F0E-9B2D-E0E5E7F0F955}"/>
    <cellStyle name="Normal 12 4 2 2 3" xfId="28344" xr:uid="{1E17E7FD-EEBB-4474-A90F-4547FA34B3F1}"/>
    <cellStyle name="Normal 12 4 2 2 4" xfId="19903" xr:uid="{1D2CA592-62AE-45BE-810B-F75F53A98E35}"/>
    <cellStyle name="Normal 12 4 2 2 5" xfId="11462" xr:uid="{3593D212-E35B-4CB8-BC27-F6A364D1E5B0}"/>
    <cellStyle name="Normal 12 4 2 3" xfId="5085" xr:uid="{00000000-0005-0000-0000-0000490E0000}"/>
    <cellStyle name="Normal 12 4 2 3 2" xfId="30417" xr:uid="{D85BB605-0B1F-490D-9AC6-FC8D848DAB10}"/>
    <cellStyle name="Normal 12 4 2 3 3" xfId="21976" xr:uid="{34F46AB6-4035-4A29-9B52-703AB732CDA6}"/>
    <cellStyle name="Normal 12 4 2 3 4" xfId="13535" xr:uid="{FA7EA679-9894-4B10-B926-88F890BA097D}"/>
    <cellStyle name="Normal 12 4 2 4" xfId="26199" xr:uid="{A70F898D-D686-4A9A-8D80-27F3C0567182}"/>
    <cellStyle name="Normal 12 4 2 5" xfId="17758" xr:uid="{D38D2822-DDE5-4FAE-BE03-2292359F03BA}"/>
    <cellStyle name="Normal 12 4 2 6" xfId="9317" xr:uid="{B824A713-CE22-4B70-A987-F18E7363E5FF}"/>
    <cellStyle name="Normal 12 4 3" xfId="1190" xr:uid="{00000000-0005-0000-0000-00004A0E0000}"/>
    <cellStyle name="Normal 12 4 3 2" xfId="3421" xr:uid="{00000000-0005-0000-0000-00004B0E0000}"/>
    <cellStyle name="Normal 12 4 3 2 2" xfId="7643" xr:uid="{00000000-0005-0000-0000-00004C0E0000}"/>
    <cellStyle name="Normal 12 4 3 2 2 2" xfId="32975" xr:uid="{0942B9C2-CF8B-4ADF-AE3C-F5CBA9312108}"/>
    <cellStyle name="Normal 12 4 3 2 2 3" xfId="24534" xr:uid="{1A1BC585-D900-4177-86F6-1DC540365A5C}"/>
    <cellStyle name="Normal 12 4 3 2 2 4" xfId="16093" xr:uid="{2F197B7A-9D4B-4F9B-8A04-2878A77C7729}"/>
    <cellStyle name="Normal 12 4 3 2 3" xfId="28757" xr:uid="{9977D690-CE45-4207-9670-EEB018210BE2}"/>
    <cellStyle name="Normal 12 4 3 2 4" xfId="20316" xr:uid="{50E72CA7-BA19-41D7-8E08-85F3D21A3EE7}"/>
    <cellStyle name="Normal 12 4 3 2 5" xfId="11875" xr:uid="{D3D26AAD-BD51-43B8-9629-3FC65EF8779E}"/>
    <cellStyle name="Normal 12 4 3 3" xfId="5498" xr:uid="{00000000-0005-0000-0000-00004D0E0000}"/>
    <cellStyle name="Normal 12 4 3 3 2" xfId="30830" xr:uid="{1307A4D4-40B5-45E1-BE36-7CA8C071125C}"/>
    <cellStyle name="Normal 12 4 3 3 3" xfId="22389" xr:uid="{B7C9D40A-D9FD-4973-B7EE-FA32AE7F5CA2}"/>
    <cellStyle name="Normal 12 4 3 3 4" xfId="13948" xr:uid="{9BD1530E-037B-4E69-92DF-0AB7209D7C54}"/>
    <cellStyle name="Normal 12 4 3 4" xfId="26612" xr:uid="{5160C43E-DE50-4D84-B362-CC3A82124ED5}"/>
    <cellStyle name="Normal 12 4 3 5" xfId="18171" xr:uid="{DE203698-250E-4669-B1E8-7CE40FE94CBA}"/>
    <cellStyle name="Normal 12 4 3 6" xfId="9730" xr:uid="{59880B1E-C49A-412F-B851-C56013E72CE9}"/>
    <cellStyle name="Normal 12 4 4" xfId="1604" xr:uid="{00000000-0005-0000-0000-00004E0E0000}"/>
    <cellStyle name="Normal 12 4 4 2" xfId="3834" xr:uid="{00000000-0005-0000-0000-00004F0E0000}"/>
    <cellStyle name="Normal 12 4 4 2 2" xfId="8056" xr:uid="{00000000-0005-0000-0000-0000500E0000}"/>
    <cellStyle name="Normal 12 4 4 2 2 2" xfId="33388" xr:uid="{32F2DE28-64CE-43EE-A84D-33EC4B92CBC6}"/>
    <cellStyle name="Normal 12 4 4 2 2 3" xfId="24947" xr:uid="{F04D81A0-B9B6-4A4B-B83C-C653B41D466E}"/>
    <cellStyle name="Normal 12 4 4 2 2 4" xfId="16506" xr:uid="{65C9B124-8BDC-478E-A84C-F6D522BB8503}"/>
    <cellStyle name="Normal 12 4 4 2 3" xfId="29170" xr:uid="{E02B204A-676B-4F6C-AAFE-76CD3641F20B}"/>
    <cellStyle name="Normal 12 4 4 2 4" xfId="20729" xr:uid="{7E0F091E-EE1F-4D35-A13B-BA4EA801E775}"/>
    <cellStyle name="Normal 12 4 4 2 5" xfId="12288" xr:uid="{4B9A1658-0545-41B1-8AFD-C6E1F20E45C4}"/>
    <cellStyle name="Normal 12 4 4 3" xfId="5911" xr:uid="{00000000-0005-0000-0000-0000510E0000}"/>
    <cellStyle name="Normal 12 4 4 3 2" xfId="31243" xr:uid="{3DBA4AD5-0B52-4E55-8487-AFDDD65B80EF}"/>
    <cellStyle name="Normal 12 4 4 3 3" xfId="22802" xr:uid="{24F8A528-4463-42CC-BA4F-2ACA510AA32A}"/>
    <cellStyle name="Normal 12 4 4 3 4" xfId="14361" xr:uid="{95EC300B-20BA-4B71-99D3-12A16F8E18EB}"/>
    <cellStyle name="Normal 12 4 4 4" xfId="27025" xr:uid="{4C2F1D17-F85C-4F2D-A1B8-CDD06C6D0F94}"/>
    <cellStyle name="Normal 12 4 4 5" xfId="18584" xr:uid="{608C7C63-E4AC-4BAD-9463-2CD7CAE56B0B}"/>
    <cellStyle name="Normal 12 4 4 6" xfId="10143" xr:uid="{2F4006D1-3404-4337-921B-54C0492E1928}"/>
    <cellStyle name="Normal 12 4 5" xfId="2018" xr:uid="{00000000-0005-0000-0000-0000520E0000}"/>
    <cellStyle name="Normal 12 4 5 2" xfId="4247" xr:uid="{00000000-0005-0000-0000-0000530E0000}"/>
    <cellStyle name="Normal 12 4 5 2 2" xfId="8469" xr:uid="{00000000-0005-0000-0000-0000540E0000}"/>
    <cellStyle name="Normal 12 4 5 2 2 2" xfId="33801" xr:uid="{E9BB069B-86A9-4567-A3E4-9B789CA2AE86}"/>
    <cellStyle name="Normal 12 4 5 2 2 3" xfId="25360" xr:uid="{C8C7051F-51D3-479D-8036-BC50F83588A7}"/>
    <cellStyle name="Normal 12 4 5 2 2 4" xfId="16919" xr:uid="{D7D95159-74B6-4EB6-BEC2-F60FAB0D3642}"/>
    <cellStyle name="Normal 12 4 5 2 3" xfId="29583" xr:uid="{450C3DF5-EC8D-4D07-9DBA-102F03A88D47}"/>
    <cellStyle name="Normal 12 4 5 2 4" xfId="21142" xr:uid="{5C307C90-D75D-4D52-8B2D-351AD8C5DB61}"/>
    <cellStyle name="Normal 12 4 5 2 5" xfId="12701" xr:uid="{DC04E56E-4067-4A10-9655-921676741899}"/>
    <cellStyle name="Normal 12 4 5 3" xfId="6324" xr:uid="{00000000-0005-0000-0000-0000550E0000}"/>
    <cellStyle name="Normal 12 4 5 3 2" xfId="31656" xr:uid="{D6DEC1D0-ABAA-4024-8FCA-1CB7AE47B9C1}"/>
    <cellStyle name="Normal 12 4 5 3 3" xfId="23215" xr:uid="{8A09BFAA-9F66-4863-9AB8-3F5555B71A56}"/>
    <cellStyle name="Normal 12 4 5 3 4" xfId="14774" xr:uid="{E8DAC4C3-5B86-4859-8BBF-F2669076CEA8}"/>
    <cellStyle name="Normal 12 4 5 4" xfId="27438" xr:uid="{2F75FCEC-FF4C-4D49-B83B-018D1804F5F1}"/>
    <cellStyle name="Normal 12 4 5 5" xfId="18997" xr:uid="{1E242617-7066-4562-9489-7BB38D1184B8}"/>
    <cellStyle name="Normal 12 4 5 6" xfId="10556" xr:uid="{F7584E2F-152F-4379-B676-51A136049403}"/>
    <cellStyle name="Normal 12 4 6" xfId="2454" xr:uid="{00000000-0005-0000-0000-0000560E0000}"/>
    <cellStyle name="Normal 12 4 6 2" xfId="6737" xr:uid="{00000000-0005-0000-0000-0000570E0000}"/>
    <cellStyle name="Normal 12 4 6 2 2" xfId="32069" xr:uid="{68E68BCD-8ABA-4696-BE1B-C5A30E4AC050}"/>
    <cellStyle name="Normal 12 4 6 2 3" xfId="23628" xr:uid="{5D182116-EA25-4775-A737-0AECC6C4D43C}"/>
    <cellStyle name="Normal 12 4 6 2 4" xfId="15187" xr:uid="{7CB02C94-10F9-4ECD-B92A-3655B44DB250}"/>
    <cellStyle name="Normal 12 4 6 3" xfId="27851" xr:uid="{AE70EABE-D51B-4BC0-9EB0-D8CE1868FC36}"/>
    <cellStyle name="Normal 12 4 6 4" xfId="19410" xr:uid="{F38F13C4-EF61-4A70-9EBF-A8FFC7C2A036}"/>
    <cellStyle name="Normal 12 4 6 5" xfId="10969" xr:uid="{C9D91547-3B6B-4657-B64F-830C521B1ED0}"/>
    <cellStyle name="Normal 12 4 7" xfId="4671" xr:uid="{00000000-0005-0000-0000-0000580E0000}"/>
    <cellStyle name="Normal 12 4 7 2" xfId="30003" xr:uid="{3E75ECBD-9704-4988-BCCC-36A121F22234}"/>
    <cellStyle name="Normal 12 4 7 3" xfId="21562" xr:uid="{AF1E858A-AAF6-4EFB-AA51-A6237D0D7899}"/>
    <cellStyle name="Normal 12 4 7 4" xfId="13121" xr:uid="{D9FB9E4F-7272-4ADA-9A32-928B36B17D54}"/>
    <cellStyle name="Normal 12 4 8" xfId="25785" xr:uid="{AA199C42-01CD-4CBE-8361-D89FABAF3953}"/>
    <cellStyle name="Normal 12 4 9" xfId="17344" xr:uid="{93503FF8-CFE2-4E4F-B9FE-881D5BB2DFFB}"/>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2 2 2" xfId="32555" xr:uid="{0912E9E6-2F5E-4B6B-B441-11443824E341}"/>
    <cellStyle name="Normal 12 6 2 2 3" xfId="24114" xr:uid="{6082DA15-81DB-4635-8C7F-92E56394ECE2}"/>
    <cellStyle name="Normal 12 6 2 2 4" xfId="15673" xr:uid="{9E678E39-A864-498A-BE7C-18495CF1F7DC}"/>
    <cellStyle name="Normal 12 6 2 3" xfId="28337" xr:uid="{E39B8896-CF2F-4E12-ABFD-123A9D1541FB}"/>
    <cellStyle name="Normal 12 6 2 4" xfId="19896" xr:uid="{E002F849-C58C-4D16-8B89-F13870181B6F}"/>
    <cellStyle name="Normal 12 6 2 5" xfId="11455" xr:uid="{CAC7064D-041E-49DE-82E8-EC906BDC4158}"/>
    <cellStyle name="Normal 12 6 3" xfId="5078" xr:uid="{00000000-0005-0000-0000-00005D0E0000}"/>
    <cellStyle name="Normal 12 6 3 2" xfId="30410" xr:uid="{E91BE458-5B58-4C5F-9122-C71558CD507C}"/>
    <cellStyle name="Normal 12 6 3 3" xfId="21969" xr:uid="{D6B6D755-B4FA-4EF8-B3B5-11A6853845F8}"/>
    <cellStyle name="Normal 12 6 3 4" xfId="13528" xr:uid="{5CACD6A0-59CE-44DF-8438-99099C9A9401}"/>
    <cellStyle name="Normal 12 6 4" xfId="26192" xr:uid="{69666E7A-6AD7-4DEC-8FEA-607E1A52438E}"/>
    <cellStyle name="Normal 12 6 5" xfId="17751" xr:uid="{A6270927-83A1-49DC-9257-3E41F45ED3E8}"/>
    <cellStyle name="Normal 12 6 6" xfId="9310" xr:uid="{0E63D664-08C0-4586-A897-A74A672687F7}"/>
    <cellStyle name="Normal 12 7" xfId="1183" xr:uid="{00000000-0005-0000-0000-00005E0E0000}"/>
    <cellStyle name="Normal 12 7 2" xfId="3414" xr:uid="{00000000-0005-0000-0000-00005F0E0000}"/>
    <cellStyle name="Normal 12 7 2 2" xfId="7636" xr:uid="{00000000-0005-0000-0000-0000600E0000}"/>
    <cellStyle name="Normal 12 7 2 2 2" xfId="32968" xr:uid="{9C2273B3-0E2C-496A-B0A3-7B43A6D223E8}"/>
    <cellStyle name="Normal 12 7 2 2 3" xfId="24527" xr:uid="{A0806CE0-E2A6-4E7E-94FC-AD0E146EEAD5}"/>
    <cellStyle name="Normal 12 7 2 2 4" xfId="16086" xr:uid="{9429178D-F130-42AC-9F74-831CC52F76B2}"/>
    <cellStyle name="Normal 12 7 2 3" xfId="28750" xr:uid="{CBF720C8-ACA9-44E7-B23E-C24AA4C189D6}"/>
    <cellStyle name="Normal 12 7 2 4" xfId="20309" xr:uid="{91CC033A-B869-49F9-A524-DD3DCFDC88AC}"/>
    <cellStyle name="Normal 12 7 2 5" xfId="11868" xr:uid="{3169EE01-3E86-4767-9B0C-DE2C4E77C4D8}"/>
    <cellStyle name="Normal 12 7 3" xfId="5491" xr:uid="{00000000-0005-0000-0000-0000610E0000}"/>
    <cellStyle name="Normal 12 7 3 2" xfId="30823" xr:uid="{918508E8-668D-42AE-AD2F-EE1D03ADD95D}"/>
    <cellStyle name="Normal 12 7 3 3" xfId="22382" xr:uid="{1A359604-8844-4D57-9EF5-9765A91F1D14}"/>
    <cellStyle name="Normal 12 7 3 4" xfId="13941" xr:uid="{DF82E56C-405F-474B-9E76-93278F4E09F2}"/>
    <cellStyle name="Normal 12 7 4" xfId="26605" xr:uid="{FE7E5847-02A5-4FEA-A327-8F060E63DC33}"/>
    <cellStyle name="Normal 12 7 5" xfId="18164" xr:uid="{1CA3DF4A-F5D1-421A-A5F5-745EA3F2ED87}"/>
    <cellStyle name="Normal 12 7 6" xfId="9723" xr:uid="{47BC0FDD-726B-43A4-9A09-5D61F1B14423}"/>
    <cellStyle name="Normal 12 8" xfId="1597" xr:uid="{00000000-0005-0000-0000-0000620E0000}"/>
    <cellStyle name="Normal 12 8 2" xfId="3827" xr:uid="{00000000-0005-0000-0000-0000630E0000}"/>
    <cellStyle name="Normal 12 8 2 2" xfId="8049" xr:uid="{00000000-0005-0000-0000-0000640E0000}"/>
    <cellStyle name="Normal 12 8 2 2 2" xfId="33381" xr:uid="{42016FBB-C2AA-4CB5-837E-D530A0B1DA42}"/>
    <cellStyle name="Normal 12 8 2 2 3" xfId="24940" xr:uid="{87ECEC35-3674-4C5A-BD57-D06FFEC26BFC}"/>
    <cellStyle name="Normal 12 8 2 2 4" xfId="16499" xr:uid="{E2479F9E-3944-4EEC-9CC8-2DF7976FB2B6}"/>
    <cellStyle name="Normal 12 8 2 3" xfId="29163" xr:uid="{45FEF1F7-1873-400B-B29F-56122650F7D7}"/>
    <cellStyle name="Normal 12 8 2 4" xfId="20722" xr:uid="{1915C571-94D9-4271-B5FE-BAFAACED2B46}"/>
    <cellStyle name="Normal 12 8 2 5" xfId="12281" xr:uid="{35A0926E-8C00-465E-A0A9-3947C10BA2A2}"/>
    <cellStyle name="Normal 12 8 3" xfId="5904" xr:uid="{00000000-0005-0000-0000-0000650E0000}"/>
    <cellStyle name="Normal 12 8 3 2" xfId="31236" xr:uid="{BD8C907C-EAF4-4FF5-A0BB-7149C853C70B}"/>
    <cellStyle name="Normal 12 8 3 3" xfId="22795" xr:uid="{9263B745-E928-4563-BDF6-3B1EEE63863F}"/>
    <cellStyle name="Normal 12 8 3 4" xfId="14354" xr:uid="{AA283E0D-0E24-427F-9C77-9F0089A41A97}"/>
    <cellStyle name="Normal 12 8 4" xfId="27018" xr:uid="{027BC6DE-C913-4771-9F68-DD8E0A0A8962}"/>
    <cellStyle name="Normal 12 8 5" xfId="18577" xr:uid="{1140EE2F-7E3A-4A85-8B74-7CE052094D22}"/>
    <cellStyle name="Normal 12 8 6" xfId="10136" xr:uid="{8409B6EF-7738-42F5-9B50-35CCFC9B5DAF}"/>
    <cellStyle name="Normal 12 9" xfId="2011" xr:uid="{00000000-0005-0000-0000-0000660E0000}"/>
    <cellStyle name="Normal 12 9 2" xfId="4240" xr:uid="{00000000-0005-0000-0000-0000670E0000}"/>
    <cellStyle name="Normal 12 9 2 2" xfId="8462" xr:uid="{00000000-0005-0000-0000-0000680E0000}"/>
    <cellStyle name="Normal 12 9 2 2 2" xfId="33794" xr:uid="{D1C46B1E-2D28-4B3F-A6F1-D9809E89AED9}"/>
    <cellStyle name="Normal 12 9 2 2 3" xfId="25353" xr:uid="{E76B70EB-DAD8-42FC-8437-DD57A7AC0803}"/>
    <cellStyle name="Normal 12 9 2 2 4" xfId="16912" xr:uid="{89CBB8C1-D31B-4812-91AC-E042123CBE80}"/>
    <cellStyle name="Normal 12 9 2 3" xfId="29576" xr:uid="{E90FD27B-4FFC-4BC8-B009-A24A78588495}"/>
    <cellStyle name="Normal 12 9 2 4" xfId="21135" xr:uid="{99F014C3-45A8-412C-B94D-C886316DDFD6}"/>
    <cellStyle name="Normal 12 9 2 5" xfId="12694" xr:uid="{06A6F2D0-4234-4E73-BA2D-797E34B910E2}"/>
    <cellStyle name="Normal 12 9 3" xfId="6317" xr:uid="{00000000-0005-0000-0000-0000690E0000}"/>
    <cellStyle name="Normal 12 9 3 2" xfId="31649" xr:uid="{971DE51A-C6A3-4171-89B0-7BEC130B59E7}"/>
    <cellStyle name="Normal 12 9 3 3" xfId="23208" xr:uid="{23C21EDA-CF55-41BD-B1C6-694A40AAE403}"/>
    <cellStyle name="Normal 12 9 3 4" xfId="14767" xr:uid="{9D4EB909-3D0E-45C5-B72D-D54BB774DB76}"/>
    <cellStyle name="Normal 12 9 4" xfId="27431" xr:uid="{5E6F93AF-89E1-40FF-B68C-ED0B9CF513E9}"/>
    <cellStyle name="Normal 12 9 5" xfId="18990" xr:uid="{B5846B58-BE5E-48C4-BDA1-770E215B12AC}"/>
    <cellStyle name="Normal 12 9 6" xfId="10549" xr:uid="{490950AD-7A1B-4D38-9BE8-50C3AE424A16}"/>
    <cellStyle name="Normal 13" xfId="268" xr:uid="{00000000-0005-0000-0000-00006A0E0000}"/>
    <cellStyle name="Normal 13 2" xfId="269" xr:uid="{00000000-0005-0000-0000-00006B0E0000}"/>
    <cellStyle name="Normal 14" xfId="270" xr:uid="{00000000-0005-0000-0000-00006C0E0000}"/>
    <cellStyle name="Normal 14 10" xfId="8904" xr:uid="{90B9FDA8-84AC-4BF6-B1B2-8383C84DDB77}"/>
    <cellStyle name="Normal 14 2" xfId="768" xr:uid="{00000000-0005-0000-0000-00006D0E0000}"/>
    <cellStyle name="Normal 14 2 2" xfId="3009" xr:uid="{00000000-0005-0000-0000-00006E0E0000}"/>
    <cellStyle name="Normal 14 2 2 2" xfId="7231" xr:uid="{00000000-0005-0000-0000-00006F0E0000}"/>
    <cellStyle name="Normal 14 2 2 2 2" xfId="32563" xr:uid="{10082023-AD5E-4A9B-93BF-07D7C3F91E21}"/>
    <cellStyle name="Normal 14 2 2 2 3" xfId="24122" xr:uid="{13DF133E-254F-4185-AFE1-78E7B49AA42C}"/>
    <cellStyle name="Normal 14 2 2 2 4" xfId="15681" xr:uid="{06B8DB8E-E4EF-4CE1-B6CD-8E31785C3C08}"/>
    <cellStyle name="Normal 14 2 2 3" xfId="28345" xr:uid="{B0473922-876D-4154-A122-61C1FA179AA2}"/>
    <cellStyle name="Normal 14 2 2 4" xfId="19904" xr:uid="{449A972F-AA64-4E56-AFB3-6CFEF2F3342D}"/>
    <cellStyle name="Normal 14 2 2 5" xfId="11463" xr:uid="{CB334C4E-35A1-45BD-8FE2-1CC10B4AAAA3}"/>
    <cellStyle name="Normal 14 2 3" xfId="5086" xr:uid="{00000000-0005-0000-0000-0000700E0000}"/>
    <cellStyle name="Normal 14 2 3 2" xfId="30418" xr:uid="{FF4DE7F5-2596-4E25-9F26-25E30F38F02C}"/>
    <cellStyle name="Normal 14 2 3 3" xfId="21977" xr:uid="{093C49B9-22AC-40F9-A8E6-7BED99F0C4A9}"/>
    <cellStyle name="Normal 14 2 3 4" xfId="13536" xr:uid="{CA905105-2BF2-4FCF-9260-CB3607A20426}"/>
    <cellStyle name="Normal 14 2 4" xfId="26200" xr:uid="{EAD74889-C0F6-4EAB-919F-B211FD84C683}"/>
    <cellStyle name="Normal 14 2 5" xfId="17759" xr:uid="{23F6A197-D76B-4E2D-B619-816EE35EA9A5}"/>
    <cellStyle name="Normal 14 2 6" xfId="9318" xr:uid="{D734D361-9DE3-4685-BC5B-A9B13BBBD83D}"/>
    <cellStyle name="Normal 14 3" xfId="1191" xr:uid="{00000000-0005-0000-0000-0000710E0000}"/>
    <cellStyle name="Normal 14 3 2" xfId="3422" xr:uid="{00000000-0005-0000-0000-0000720E0000}"/>
    <cellStyle name="Normal 14 3 2 2" xfId="7644" xr:uid="{00000000-0005-0000-0000-0000730E0000}"/>
    <cellStyle name="Normal 14 3 2 2 2" xfId="32976" xr:uid="{A12DE3D2-910B-42E3-AC0D-A43E9464E1EC}"/>
    <cellStyle name="Normal 14 3 2 2 3" xfId="24535" xr:uid="{2AAD8DD4-63A5-40CE-B601-1B0A9D978C3B}"/>
    <cellStyle name="Normal 14 3 2 2 4" xfId="16094" xr:uid="{E5F376CA-4C07-4F36-A616-F6A4BA6A1353}"/>
    <cellStyle name="Normal 14 3 2 3" xfId="28758" xr:uid="{7246C7DE-B319-4C32-982B-8478D36BDAA5}"/>
    <cellStyle name="Normal 14 3 2 4" xfId="20317" xr:uid="{CE0501D5-CA0E-4584-8C5B-B4122867F533}"/>
    <cellStyle name="Normal 14 3 2 5" xfId="11876" xr:uid="{79483E3C-24B7-4E0C-B691-26935FB01D13}"/>
    <cellStyle name="Normal 14 3 3" xfId="5499" xr:uid="{00000000-0005-0000-0000-0000740E0000}"/>
    <cellStyle name="Normal 14 3 3 2" xfId="30831" xr:uid="{590C70FB-2732-43CF-9862-5AA472EE46BD}"/>
    <cellStyle name="Normal 14 3 3 3" xfId="22390" xr:uid="{9BFD85CE-CFD5-44AE-A89E-7D31F91FCA77}"/>
    <cellStyle name="Normal 14 3 3 4" xfId="13949" xr:uid="{5AFAAD65-223A-4B20-9D4F-B1AA9563EBE4}"/>
    <cellStyle name="Normal 14 3 4" xfId="26613" xr:uid="{981CB259-8843-48BB-A8C3-CD3BBD600B3F}"/>
    <cellStyle name="Normal 14 3 5" xfId="18172" xr:uid="{E47D1B2F-50FE-4616-B38D-0BFD64A26660}"/>
    <cellStyle name="Normal 14 3 6" xfId="9731" xr:uid="{E18D7281-58AE-4982-86A9-5181CC3BC0DA}"/>
    <cellStyle name="Normal 14 4" xfId="1605" xr:uid="{00000000-0005-0000-0000-0000750E0000}"/>
    <cellStyle name="Normal 14 4 2" xfId="3835" xr:uid="{00000000-0005-0000-0000-0000760E0000}"/>
    <cellStyle name="Normal 14 4 2 2" xfId="8057" xr:uid="{00000000-0005-0000-0000-0000770E0000}"/>
    <cellStyle name="Normal 14 4 2 2 2" xfId="33389" xr:uid="{D04AEADE-FBD8-4F06-A8E9-1E206F516EA5}"/>
    <cellStyle name="Normal 14 4 2 2 3" xfId="24948" xr:uid="{64E50910-0E25-4FA5-804C-1F8002E11391}"/>
    <cellStyle name="Normal 14 4 2 2 4" xfId="16507" xr:uid="{1AE531E4-DD66-4F3C-8DCF-5A16FAD1FD16}"/>
    <cellStyle name="Normal 14 4 2 3" xfId="29171" xr:uid="{E6D599BC-BD0E-4DCB-9588-279B56D7C8DE}"/>
    <cellStyle name="Normal 14 4 2 4" xfId="20730" xr:uid="{93BFFCDB-5EAE-4486-8E3C-D726DC82CCF5}"/>
    <cellStyle name="Normal 14 4 2 5" xfId="12289" xr:uid="{B82B5DA1-0FCB-45D5-AFCA-490FA9D20511}"/>
    <cellStyle name="Normal 14 4 3" xfId="5912" xr:uid="{00000000-0005-0000-0000-0000780E0000}"/>
    <cellStyle name="Normal 14 4 3 2" xfId="31244" xr:uid="{63835619-ED57-4744-B054-74558D39AC8D}"/>
    <cellStyle name="Normal 14 4 3 3" xfId="22803" xr:uid="{FC39E5FF-FBB7-416E-8507-C04483E35A55}"/>
    <cellStyle name="Normal 14 4 3 4" xfId="14362" xr:uid="{332F3409-15AB-46DD-894A-A96E608145F2}"/>
    <cellStyle name="Normal 14 4 4" xfId="27026" xr:uid="{E6545FC7-C3F6-4491-BA17-B26087C4C62F}"/>
    <cellStyle name="Normal 14 4 5" xfId="18585" xr:uid="{6A8FEFDA-18EF-4381-9E49-38ECEFAEA747}"/>
    <cellStyle name="Normal 14 4 6" xfId="10144" xr:uid="{DA0FDCB3-03B4-4758-AE80-E836A96C3F6A}"/>
    <cellStyle name="Normal 14 5" xfId="2019" xr:uid="{00000000-0005-0000-0000-0000790E0000}"/>
    <cellStyle name="Normal 14 5 2" xfId="4248" xr:uid="{00000000-0005-0000-0000-00007A0E0000}"/>
    <cellStyle name="Normal 14 5 2 2" xfId="8470" xr:uid="{00000000-0005-0000-0000-00007B0E0000}"/>
    <cellStyle name="Normal 14 5 2 2 2" xfId="33802" xr:uid="{884FF825-8BAB-4A8A-B9A1-2B4642EC0AA6}"/>
    <cellStyle name="Normal 14 5 2 2 3" xfId="25361" xr:uid="{9C734210-2A84-48A3-AE3C-E48D101665CC}"/>
    <cellStyle name="Normal 14 5 2 2 4" xfId="16920" xr:uid="{770D139A-AE44-4CBD-BCB0-5700A9434293}"/>
    <cellStyle name="Normal 14 5 2 3" xfId="29584" xr:uid="{35FC8DAF-9184-46A9-9A3F-8EA6B03C26D0}"/>
    <cellStyle name="Normal 14 5 2 4" xfId="21143" xr:uid="{C726E84C-0C60-42A5-AB52-DF1D4F9A9D04}"/>
    <cellStyle name="Normal 14 5 2 5" xfId="12702" xr:uid="{2EEC6C2D-D86A-4AF0-A9EA-692DE5D6D5D5}"/>
    <cellStyle name="Normal 14 5 3" xfId="6325" xr:uid="{00000000-0005-0000-0000-00007C0E0000}"/>
    <cellStyle name="Normal 14 5 3 2" xfId="31657" xr:uid="{CAEBED62-51ED-4090-849C-C0442C310B43}"/>
    <cellStyle name="Normal 14 5 3 3" xfId="23216" xr:uid="{33C2024E-A211-4531-9660-FAAA734049C6}"/>
    <cellStyle name="Normal 14 5 3 4" xfId="14775" xr:uid="{AC89C8BB-4268-4FA8-BA4D-782FEEFE7A62}"/>
    <cellStyle name="Normal 14 5 4" xfId="27439" xr:uid="{6529E092-8007-40A7-A084-F33E358C1F72}"/>
    <cellStyle name="Normal 14 5 5" xfId="18998" xr:uid="{AD8C77DB-33CA-4CD5-B96A-C11831CFF954}"/>
    <cellStyle name="Normal 14 5 6" xfId="10557" xr:uid="{69D26757-191F-46D0-949C-AD43C55F61FC}"/>
    <cellStyle name="Normal 14 6" xfId="2455" xr:uid="{00000000-0005-0000-0000-00007D0E0000}"/>
    <cellStyle name="Normal 14 6 2" xfId="6738" xr:uid="{00000000-0005-0000-0000-00007E0E0000}"/>
    <cellStyle name="Normal 14 6 2 2" xfId="32070" xr:uid="{D6086155-E69E-453B-93CF-D3FEA6989AA5}"/>
    <cellStyle name="Normal 14 6 2 3" xfId="23629" xr:uid="{ED1F3AFF-9D17-4A3D-B764-29052E85E513}"/>
    <cellStyle name="Normal 14 6 2 4" xfId="15188" xr:uid="{DCE8A5AA-9563-4935-A7D0-F0BDAAFAAD2A}"/>
    <cellStyle name="Normal 14 6 3" xfId="27852" xr:uid="{677B83EC-00A6-4565-9A41-1D356BF2F394}"/>
    <cellStyle name="Normal 14 6 4" xfId="19411" xr:uid="{63AD91FC-871D-46AB-885C-BC01EC65DC6E}"/>
    <cellStyle name="Normal 14 6 5" xfId="10970" xr:uid="{98E0472F-8DD3-4345-8A8A-D0793FF3E2C6}"/>
    <cellStyle name="Normal 14 7" xfId="4672" xr:uid="{00000000-0005-0000-0000-00007F0E0000}"/>
    <cellStyle name="Normal 14 7 2" xfId="30004" xr:uid="{677D2AF9-61BE-44BD-B824-093DFFA3561C}"/>
    <cellStyle name="Normal 14 7 3" xfId="21563" xr:uid="{DC2A2A8B-F4C8-4BE4-9299-D6687C23AF25}"/>
    <cellStyle name="Normal 14 7 4" xfId="13122" xr:uid="{3847165E-CB1D-404D-BB43-29A79E29B558}"/>
    <cellStyle name="Normal 14 8" xfId="25786" xr:uid="{B41669C4-8F05-4524-BF0D-9722D357CC44}"/>
    <cellStyle name="Normal 14 9" xfId="17345" xr:uid="{CA83D319-126A-423B-ABBD-37D1BD516A26}"/>
    <cellStyle name="Normal 15" xfId="4496" xr:uid="{00000000-0005-0000-0000-0000800E0000}"/>
    <cellStyle name="Normal 15 2" xfId="29830" xr:uid="{7517C990-AD78-43FB-ACA8-19E10742FE8E}"/>
    <cellStyle name="Normal 15 3" xfId="21389" xr:uid="{0E1BACF2-6944-45C6-BA64-28280A4517F9}"/>
    <cellStyle name="Normal 15 4" xfId="12948" xr:uid="{F922EBB6-47A6-4C7F-B4A8-7BCED71F8B0D}"/>
    <cellStyle name="Normal 16" xfId="4500" xr:uid="{00000000-0005-0000-0000-0000810E0000}"/>
    <cellStyle name="Normal 16 2" xfId="8715" xr:uid="{00000000-0005-0000-0000-0000820E0000}"/>
    <cellStyle name="Normal 16 2 2" xfId="34047" xr:uid="{BEF854E4-683B-48C9-9BE8-3BED2CCBF3DD}"/>
    <cellStyle name="Normal 16 2 3" xfId="25606" xr:uid="{EE4B5738-216A-4EAD-9412-B4E24B42B2A0}"/>
    <cellStyle name="Normal 16 2 4" xfId="17165" xr:uid="{92536253-EFC0-4D86-A459-EFCF2AA7E06A}"/>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3" xfId="34056" xr:uid="{CC0B6070-CC59-4591-88F5-17FA3F7FE4F0}"/>
    <cellStyle name="Normal 16 3 2 2 3" xfId="25615" xr:uid="{5E620074-CD57-49DB-B97E-6BD38D5DDC1A}"/>
    <cellStyle name="Normal 16 3 2 2 4" xfId="17174" xr:uid="{677EAF20-3441-4F8A-A48A-790160294703}"/>
    <cellStyle name="Normal 16 3 2 3" xfId="34053" xr:uid="{F6C68119-CA64-485F-A427-F66A6A5BDCEB}"/>
    <cellStyle name="Normal 16 3 2 4" xfId="25612" xr:uid="{457BCC96-A51A-4914-A443-3B06EE6CF69F}"/>
    <cellStyle name="Normal 16 3 2 5" xfId="17171" xr:uid="{28E2F982-AEB4-45E3-A20C-1F0B8094041E}"/>
    <cellStyle name="Normal 16 3 3" xfId="34050" xr:uid="{91259814-95C0-4772-95D0-7230673ECBD4}"/>
    <cellStyle name="Normal 16 3 4" xfId="25609" xr:uid="{8F95C0D2-CC57-44B4-BEE2-07EC7020D293}"/>
    <cellStyle name="Normal 16 3 5" xfId="17168" xr:uid="{12CD3A43-03AB-4E04-A85B-4A6F4B451BE3}"/>
    <cellStyle name="Normal 16 4" xfId="29833" xr:uid="{BE484A47-4F98-4473-8034-0A603B1D05EA}"/>
    <cellStyle name="Normal 16 5" xfId="21392" xr:uid="{C2673DF0-57D7-47F8-8434-D5A006BD4A01}"/>
    <cellStyle name="Normal 16 6" xfId="12951" xr:uid="{87FB5F7D-15F6-4F11-814F-129C88046A24}"/>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2 2 2" xfId="33803" xr:uid="{2509D1F7-4004-4959-A010-DB6A4181823F}"/>
    <cellStyle name="Normal 2 4 2 10 2 2 3" xfId="25362" xr:uid="{798A4AA4-C0E1-4FC1-BBF5-46D96CC80DD8}"/>
    <cellStyle name="Normal 2 4 2 10 2 2 4" xfId="16921" xr:uid="{CA8BE2DB-14A7-4193-B4FF-D4112D1715F0}"/>
    <cellStyle name="Normal 2 4 2 10 2 3" xfId="29585" xr:uid="{8F35E7A5-04DB-49FD-A5DF-FAE3CDCC1DDA}"/>
    <cellStyle name="Normal 2 4 2 10 2 4" xfId="21144" xr:uid="{E20EADC9-195F-4653-B0EF-BE7D4390A452}"/>
    <cellStyle name="Normal 2 4 2 10 2 5" xfId="12703" xr:uid="{7738520F-C5ED-425D-A008-5B6A2F8122CF}"/>
    <cellStyle name="Normal 2 4 2 10 3" xfId="6326" xr:uid="{00000000-0005-0000-0000-0000910E0000}"/>
    <cellStyle name="Normal 2 4 2 10 3 2" xfId="31658" xr:uid="{04EBFA45-7EA9-4AFA-BB5E-87A1C9BDCE27}"/>
    <cellStyle name="Normal 2 4 2 10 3 3" xfId="23217" xr:uid="{7FFD3499-448C-42DE-BFC6-3A1B4C227A3D}"/>
    <cellStyle name="Normal 2 4 2 10 3 4" xfId="14776" xr:uid="{4CEC4380-344B-495A-B51D-FF8332F8638B}"/>
    <cellStyle name="Normal 2 4 2 10 4" xfId="27440" xr:uid="{34BE7F24-F384-460C-8D35-A7F715C0C2F0}"/>
    <cellStyle name="Normal 2 4 2 10 5" xfId="18999" xr:uid="{F8DC5E8B-DBEB-4EF7-A11B-B8848412450C}"/>
    <cellStyle name="Normal 2 4 2 10 6" xfId="10558" xr:uid="{F3FD3E33-078C-4756-8F81-2A2972D5634A}"/>
    <cellStyle name="Normal 2 4 2 11" xfId="2456" xr:uid="{00000000-0005-0000-0000-0000920E0000}"/>
    <cellStyle name="Normal 2 4 2 11 2" xfId="6739" xr:uid="{00000000-0005-0000-0000-0000930E0000}"/>
    <cellStyle name="Normal 2 4 2 11 2 2" xfId="32071" xr:uid="{BF07B2E6-14DC-4AFB-8253-C8EC27458378}"/>
    <cellStyle name="Normal 2 4 2 11 2 3" xfId="23630" xr:uid="{A9FBC188-4A45-49A8-B974-1B2165D56DB2}"/>
    <cellStyle name="Normal 2 4 2 11 2 4" xfId="15189" xr:uid="{9D2CAEF7-6390-4B9B-9E4E-B410890BB1DD}"/>
    <cellStyle name="Normal 2 4 2 11 3" xfId="27853" xr:uid="{2FF62243-3FD2-4F2B-8E8C-06BD341DF439}"/>
    <cellStyle name="Normal 2 4 2 11 4" xfId="19412" xr:uid="{91085481-F958-4E1E-A434-477D54660AED}"/>
    <cellStyle name="Normal 2 4 2 11 5" xfId="10971" xr:uid="{E942B233-A861-443A-8169-0D7CF383EAD2}"/>
    <cellStyle name="Normal 2 4 2 12" xfId="4673" xr:uid="{00000000-0005-0000-0000-0000940E0000}"/>
    <cellStyle name="Normal 2 4 2 12 2" xfId="30005" xr:uid="{CFEF0C8E-A222-41BC-ADED-D4E68E6F437C}"/>
    <cellStyle name="Normal 2 4 2 12 3" xfId="21564" xr:uid="{EF506402-0DF5-42ED-9C12-6B4C9C1686EE}"/>
    <cellStyle name="Normal 2 4 2 12 4" xfId="13123" xr:uid="{48633683-092F-42F5-BB19-718E18DC49DE}"/>
    <cellStyle name="Normal 2 4 2 13" xfId="25787" xr:uid="{0325D866-0638-45F3-932C-CD405F3A11DA}"/>
    <cellStyle name="Normal 2 4 2 14" xfId="17346" xr:uid="{4E505493-9B67-4A6B-85D1-02CCF899BCA6}"/>
    <cellStyle name="Normal 2 4 2 15" xfId="8905" xr:uid="{29CE6B3B-BE65-42D9-82E4-7BD6B5F636F2}"/>
    <cellStyle name="Normal 2 4 2 2" xfId="280" xr:uid="{00000000-0005-0000-0000-0000950E0000}"/>
    <cellStyle name="Normal 2 4 2 3" xfId="281" xr:uid="{00000000-0005-0000-0000-0000960E0000}"/>
    <cellStyle name="Normal 2 4 2 3 10" xfId="4674" xr:uid="{00000000-0005-0000-0000-0000970E0000}"/>
    <cellStyle name="Normal 2 4 2 3 10 2" xfId="30006" xr:uid="{B67BCD3B-764E-4311-B283-78EA17DE451A}"/>
    <cellStyle name="Normal 2 4 2 3 10 3" xfId="21565" xr:uid="{4188D633-90D7-4116-8EDF-684EF251CE97}"/>
    <cellStyle name="Normal 2 4 2 3 10 4" xfId="13124" xr:uid="{CAFB7592-1AE5-4E6E-AE14-D6F12DF8F2E2}"/>
    <cellStyle name="Normal 2 4 2 3 11" xfId="25788" xr:uid="{16DD4817-9C5E-4239-9CF1-49F6C4A29827}"/>
    <cellStyle name="Normal 2 4 2 3 12" xfId="17347" xr:uid="{C16E7A12-E000-4A84-9D7E-B5B1A031A64B}"/>
    <cellStyle name="Normal 2 4 2 3 13" xfId="8906" xr:uid="{82F7867C-EE86-4027-90B0-80174774D713}"/>
    <cellStyle name="Normal 2 4 2 3 2" xfId="282" xr:uid="{00000000-0005-0000-0000-0000980E0000}"/>
    <cellStyle name="Normal 2 4 2 3 2 10" xfId="25789" xr:uid="{7B0CE187-78C5-4D00-AF90-567ED0540990}"/>
    <cellStyle name="Normal 2 4 2 3 2 11" xfId="17348" xr:uid="{579B9586-8644-41FD-ADEF-1E5879281115}"/>
    <cellStyle name="Normal 2 4 2 3 2 12" xfId="8907" xr:uid="{06FF2A87-3150-4940-A6AB-F6DC91B4A756}"/>
    <cellStyle name="Normal 2 4 2 3 2 2" xfId="283" xr:uid="{00000000-0005-0000-0000-0000990E0000}"/>
    <cellStyle name="Normal 2 4 2 3 2 2 10" xfId="17349" xr:uid="{CE4D3849-CE9D-4857-BCBC-2FFBFE670F9D}"/>
    <cellStyle name="Normal 2 4 2 3 2 2 11" xfId="8908" xr:uid="{75977CA9-AE20-4AF3-9FE0-8BECF4469C86}"/>
    <cellStyle name="Normal 2 4 2 3 2 2 2" xfId="284" xr:uid="{00000000-0005-0000-0000-00009A0E0000}"/>
    <cellStyle name="Normal 2 4 2 3 2 2 2 10" xfId="8909" xr:uid="{43279F92-A156-4383-8A51-E60530E550B6}"/>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2 2 2" xfId="32568" xr:uid="{96A29B72-EB62-44AE-AE21-87EFE75A1FB0}"/>
    <cellStyle name="Normal 2 4 2 3 2 2 2 2 2 2 3" xfId="24127" xr:uid="{B001A8C7-1ABB-4151-8A30-73D32EA38B36}"/>
    <cellStyle name="Normal 2 4 2 3 2 2 2 2 2 2 4" xfId="15686" xr:uid="{6707D2D6-1A67-441F-A819-B2F5127B98B5}"/>
    <cellStyle name="Normal 2 4 2 3 2 2 2 2 2 3" xfId="28350" xr:uid="{A290F8DB-0723-4A06-8BBB-429860C70BD3}"/>
    <cellStyle name="Normal 2 4 2 3 2 2 2 2 2 4" xfId="19909" xr:uid="{5F888FE5-6641-476B-8E85-DCC34DBE57FE}"/>
    <cellStyle name="Normal 2 4 2 3 2 2 2 2 2 5" xfId="11468" xr:uid="{36A0FEC9-01B0-48AC-AC96-0CFE0A495808}"/>
    <cellStyle name="Normal 2 4 2 3 2 2 2 2 3" xfId="5091" xr:uid="{00000000-0005-0000-0000-00009E0E0000}"/>
    <cellStyle name="Normal 2 4 2 3 2 2 2 2 3 2" xfId="30423" xr:uid="{648DF03B-1B33-457A-9008-69E9DCDF1639}"/>
    <cellStyle name="Normal 2 4 2 3 2 2 2 2 3 3" xfId="21982" xr:uid="{4FF7E0D0-83F8-442B-A99D-C409D71B87DC}"/>
    <cellStyle name="Normal 2 4 2 3 2 2 2 2 3 4" xfId="13541" xr:uid="{653893F7-BEAF-47F1-A9F8-6377E26BA8E4}"/>
    <cellStyle name="Normal 2 4 2 3 2 2 2 2 4" xfId="26205" xr:uid="{93C9AE9E-F32A-4EDE-A221-AA080287C344}"/>
    <cellStyle name="Normal 2 4 2 3 2 2 2 2 5" xfId="17764" xr:uid="{43D004F1-D6DD-4EC4-8FBD-150D1466DF3D}"/>
    <cellStyle name="Normal 2 4 2 3 2 2 2 2 6" xfId="9323" xr:uid="{B6C5C692-157B-42D0-8199-93864A5C8423}"/>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2 2 2" xfId="32981" xr:uid="{A925AF4D-8CE8-4697-9A69-99707B753143}"/>
    <cellStyle name="Normal 2 4 2 3 2 2 2 3 2 2 3" xfId="24540" xr:uid="{AC06152B-4BE5-4710-A90B-6C64C930F5B6}"/>
    <cellStyle name="Normal 2 4 2 3 2 2 2 3 2 2 4" xfId="16099" xr:uid="{87E8DF63-AF52-4563-8444-90FE64870D27}"/>
    <cellStyle name="Normal 2 4 2 3 2 2 2 3 2 3" xfId="28763" xr:uid="{15E3A25E-6812-40B8-9E25-F9EF199F30FA}"/>
    <cellStyle name="Normal 2 4 2 3 2 2 2 3 2 4" xfId="20322" xr:uid="{AB612749-149D-475D-B3DA-906C6E744A0E}"/>
    <cellStyle name="Normal 2 4 2 3 2 2 2 3 2 5" xfId="11881" xr:uid="{BD7A8CBE-8007-41C7-9872-8A7F6E7212D6}"/>
    <cellStyle name="Normal 2 4 2 3 2 2 2 3 3" xfId="5504" xr:uid="{00000000-0005-0000-0000-0000A20E0000}"/>
    <cellStyle name="Normal 2 4 2 3 2 2 2 3 3 2" xfId="30836" xr:uid="{E6B0301C-69B4-410D-A544-61FA202EB046}"/>
    <cellStyle name="Normal 2 4 2 3 2 2 2 3 3 3" xfId="22395" xr:uid="{5FE63247-DC47-48EB-9C3A-036DC9F9C294}"/>
    <cellStyle name="Normal 2 4 2 3 2 2 2 3 3 4" xfId="13954" xr:uid="{0DA39083-4C14-4B07-8556-F0243028230E}"/>
    <cellStyle name="Normal 2 4 2 3 2 2 2 3 4" xfId="26618" xr:uid="{FFD39C74-156B-4B77-B280-B4DF5C4CD41D}"/>
    <cellStyle name="Normal 2 4 2 3 2 2 2 3 5" xfId="18177" xr:uid="{A3AEB569-30B6-42F3-B906-4A03EEA09134}"/>
    <cellStyle name="Normal 2 4 2 3 2 2 2 3 6" xfId="9736" xr:uid="{A71BAF7F-0DE2-415E-A278-094A6E94879B}"/>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2 2 2" xfId="33394" xr:uid="{50F929DE-1C2E-4128-9055-14966FC20EDC}"/>
    <cellStyle name="Normal 2 4 2 3 2 2 2 4 2 2 3" xfId="24953" xr:uid="{DCA15DE2-A90E-48EC-9AF2-0E4AEB416556}"/>
    <cellStyle name="Normal 2 4 2 3 2 2 2 4 2 2 4" xfId="16512" xr:uid="{2C8547CB-073F-4A76-B3D4-B802D865BB67}"/>
    <cellStyle name="Normal 2 4 2 3 2 2 2 4 2 3" xfId="29176" xr:uid="{5CBD075C-FA7D-42FA-AAEF-FD359AF4232F}"/>
    <cellStyle name="Normal 2 4 2 3 2 2 2 4 2 4" xfId="20735" xr:uid="{2303BBEC-6AA7-4875-96A3-07AD4B430F5A}"/>
    <cellStyle name="Normal 2 4 2 3 2 2 2 4 2 5" xfId="12294" xr:uid="{501E01DE-EFB1-4074-9057-28EF7C0468D0}"/>
    <cellStyle name="Normal 2 4 2 3 2 2 2 4 3" xfId="5917" xr:uid="{00000000-0005-0000-0000-0000A60E0000}"/>
    <cellStyle name="Normal 2 4 2 3 2 2 2 4 3 2" xfId="31249" xr:uid="{0B9FD0B4-C60E-4FDA-8CB4-46DE47AE3758}"/>
    <cellStyle name="Normal 2 4 2 3 2 2 2 4 3 3" xfId="22808" xr:uid="{F2206EBE-1113-447E-B302-939C8D333A02}"/>
    <cellStyle name="Normal 2 4 2 3 2 2 2 4 3 4" xfId="14367" xr:uid="{2B9BC4D4-E078-4540-8534-B26EB8C032C4}"/>
    <cellStyle name="Normal 2 4 2 3 2 2 2 4 4" xfId="27031" xr:uid="{FC7EC001-ED7E-4E3C-A61C-690D85F02EA3}"/>
    <cellStyle name="Normal 2 4 2 3 2 2 2 4 5" xfId="18590" xr:uid="{597D9222-04CA-43E6-9E10-90B55269B19E}"/>
    <cellStyle name="Normal 2 4 2 3 2 2 2 4 6" xfId="10149" xr:uid="{80938463-2674-4D64-A529-3A1A275A3EC2}"/>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2 2 2" xfId="33807" xr:uid="{6A83301D-F75A-41DE-8BED-38393F5BA9B0}"/>
    <cellStyle name="Normal 2 4 2 3 2 2 2 5 2 2 3" xfId="25366" xr:uid="{827EA986-4CC0-4514-BC17-C45F01DAF8CD}"/>
    <cellStyle name="Normal 2 4 2 3 2 2 2 5 2 2 4" xfId="16925" xr:uid="{25BD2E1C-6150-40FC-BC4D-8F8358E7E951}"/>
    <cellStyle name="Normal 2 4 2 3 2 2 2 5 2 3" xfId="29589" xr:uid="{8EBCF76C-112F-4AB0-A650-35F437D96826}"/>
    <cellStyle name="Normal 2 4 2 3 2 2 2 5 2 4" xfId="21148" xr:uid="{C9430715-96CD-4F91-9A20-9D9DC257BBA6}"/>
    <cellStyle name="Normal 2 4 2 3 2 2 2 5 2 5" xfId="12707" xr:uid="{A3CDE33A-1D82-4DF0-95E1-531C29DA1CF9}"/>
    <cellStyle name="Normal 2 4 2 3 2 2 2 5 3" xfId="6330" xr:uid="{00000000-0005-0000-0000-0000AA0E0000}"/>
    <cellStyle name="Normal 2 4 2 3 2 2 2 5 3 2" xfId="31662" xr:uid="{7527C619-EFD0-4DF2-A565-CAE545768E45}"/>
    <cellStyle name="Normal 2 4 2 3 2 2 2 5 3 3" xfId="23221" xr:uid="{006D698B-2885-4DB7-A90F-0728B67EF4CC}"/>
    <cellStyle name="Normal 2 4 2 3 2 2 2 5 3 4" xfId="14780" xr:uid="{DFED57FF-E830-44BB-ACCC-00D7C782344C}"/>
    <cellStyle name="Normal 2 4 2 3 2 2 2 5 4" xfId="27444" xr:uid="{EA3E02AF-326C-4DA4-B410-DAE04D333DF5}"/>
    <cellStyle name="Normal 2 4 2 3 2 2 2 5 5" xfId="19003" xr:uid="{C56AC1ED-803D-4FA1-9441-82339FFDC055}"/>
    <cellStyle name="Normal 2 4 2 3 2 2 2 5 6" xfId="10562" xr:uid="{04B673D6-2F0F-4572-B8C2-93EEFEBB0E11}"/>
    <cellStyle name="Normal 2 4 2 3 2 2 2 6" xfId="2460" xr:uid="{00000000-0005-0000-0000-0000AB0E0000}"/>
    <cellStyle name="Normal 2 4 2 3 2 2 2 6 2" xfId="6743" xr:uid="{00000000-0005-0000-0000-0000AC0E0000}"/>
    <cellStyle name="Normal 2 4 2 3 2 2 2 6 2 2" xfId="32075" xr:uid="{31061100-3505-4C08-AF01-775D2E1092F1}"/>
    <cellStyle name="Normal 2 4 2 3 2 2 2 6 2 3" xfId="23634" xr:uid="{A1079E48-DD40-4397-8D59-4891013B38CD}"/>
    <cellStyle name="Normal 2 4 2 3 2 2 2 6 2 4" xfId="15193" xr:uid="{5811C9DC-06F0-4A4D-A5D5-86A847811B81}"/>
    <cellStyle name="Normal 2 4 2 3 2 2 2 6 3" xfId="27857" xr:uid="{DF060D59-6B41-405E-A5DF-7484B690EED8}"/>
    <cellStyle name="Normal 2 4 2 3 2 2 2 6 4" xfId="19416" xr:uid="{0CC06DBB-B03B-43DF-B9A9-A68B8725478F}"/>
    <cellStyle name="Normal 2 4 2 3 2 2 2 6 5" xfId="10975" xr:uid="{1361610C-5776-423B-BE1F-D845EEF2A3AB}"/>
    <cellStyle name="Normal 2 4 2 3 2 2 2 7" xfId="4677" xr:uid="{00000000-0005-0000-0000-0000AD0E0000}"/>
    <cellStyle name="Normal 2 4 2 3 2 2 2 7 2" xfId="30009" xr:uid="{C01F77AD-23C1-45AC-8B44-70EE788C164B}"/>
    <cellStyle name="Normal 2 4 2 3 2 2 2 7 3" xfId="21568" xr:uid="{B75DED29-6095-4205-AD68-55189CC72310}"/>
    <cellStyle name="Normal 2 4 2 3 2 2 2 7 4" xfId="13127" xr:uid="{BB14F4D8-731E-4E6A-88F9-A88911A4FB47}"/>
    <cellStyle name="Normal 2 4 2 3 2 2 2 8" xfId="25791" xr:uid="{295F1869-C349-4304-B166-7C80FCEF5FC0}"/>
    <cellStyle name="Normal 2 4 2 3 2 2 2 9" xfId="17350" xr:uid="{F33E1C0B-869C-4B70-924C-640A9095FBD7}"/>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2 2 2" xfId="32567" xr:uid="{808FEA5D-1FB0-4EF4-A94F-BD99B49E4E44}"/>
    <cellStyle name="Normal 2 4 2 3 2 2 3 2 2 3" xfId="24126" xr:uid="{7D58B397-3EF3-4F5E-B906-C59CB0FE48D6}"/>
    <cellStyle name="Normal 2 4 2 3 2 2 3 2 2 4" xfId="15685" xr:uid="{488A8453-D03F-4D73-94A3-28A74CADC4A3}"/>
    <cellStyle name="Normal 2 4 2 3 2 2 3 2 3" xfId="28349" xr:uid="{5E60EAE7-BD06-4281-89FA-F70CC1391842}"/>
    <cellStyle name="Normal 2 4 2 3 2 2 3 2 4" xfId="19908" xr:uid="{D2D66A0B-BC48-43DC-9D06-4437BA8A3C06}"/>
    <cellStyle name="Normal 2 4 2 3 2 2 3 2 5" xfId="11467" xr:uid="{B41F6833-E32D-4555-AB9E-4925CED1B9A5}"/>
    <cellStyle name="Normal 2 4 2 3 2 2 3 3" xfId="5090" xr:uid="{00000000-0005-0000-0000-0000B10E0000}"/>
    <cellStyle name="Normal 2 4 2 3 2 2 3 3 2" xfId="30422" xr:uid="{2515504A-53A2-4F7A-9BAE-C1D7785C54FD}"/>
    <cellStyle name="Normal 2 4 2 3 2 2 3 3 3" xfId="21981" xr:uid="{56BA002D-1813-48EF-9A85-BA467D3D9F25}"/>
    <cellStyle name="Normal 2 4 2 3 2 2 3 3 4" xfId="13540" xr:uid="{7999A24A-5774-4BF1-BE37-5685DA22D67C}"/>
    <cellStyle name="Normal 2 4 2 3 2 2 3 4" xfId="26204" xr:uid="{72CBD749-9546-4ECA-8BAB-C2BE5557FD4E}"/>
    <cellStyle name="Normal 2 4 2 3 2 2 3 5" xfId="17763" xr:uid="{D02A85F1-DF47-4928-947C-B0FAAA95F462}"/>
    <cellStyle name="Normal 2 4 2 3 2 2 3 6" xfId="9322" xr:uid="{4754946F-3461-44AB-A825-0CDDFD2AED3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2 2 2" xfId="32980" xr:uid="{1919496D-9E73-43F3-8B36-3BB9C56CC8CD}"/>
    <cellStyle name="Normal 2 4 2 3 2 2 4 2 2 3" xfId="24539" xr:uid="{AEFB0BF4-F259-468E-9E6C-7482F4BC45D8}"/>
    <cellStyle name="Normal 2 4 2 3 2 2 4 2 2 4" xfId="16098" xr:uid="{4E4508C2-9623-433E-A09F-BB167239CE7A}"/>
    <cellStyle name="Normal 2 4 2 3 2 2 4 2 3" xfId="28762" xr:uid="{9F2531E4-08A8-473B-97BF-451881F1E1D7}"/>
    <cellStyle name="Normal 2 4 2 3 2 2 4 2 4" xfId="20321" xr:uid="{25D9286C-EE58-4339-A527-F8FC436CF207}"/>
    <cellStyle name="Normal 2 4 2 3 2 2 4 2 5" xfId="11880" xr:uid="{941431FF-6EA0-4083-A3AB-A04F47289F49}"/>
    <cellStyle name="Normal 2 4 2 3 2 2 4 3" xfId="5503" xr:uid="{00000000-0005-0000-0000-0000B50E0000}"/>
    <cellStyle name="Normal 2 4 2 3 2 2 4 3 2" xfId="30835" xr:uid="{5B5D017F-6439-4A49-AB0C-D771D66E1208}"/>
    <cellStyle name="Normal 2 4 2 3 2 2 4 3 3" xfId="22394" xr:uid="{2F721FBF-2ADB-4507-A4A5-ACE0EE7081FC}"/>
    <cellStyle name="Normal 2 4 2 3 2 2 4 3 4" xfId="13953" xr:uid="{1FFE9E7A-A346-432C-8E79-DDD94ED75C07}"/>
    <cellStyle name="Normal 2 4 2 3 2 2 4 4" xfId="26617" xr:uid="{22CCD889-7625-45A3-88A2-1F69F2A9C9BD}"/>
    <cellStyle name="Normal 2 4 2 3 2 2 4 5" xfId="18176" xr:uid="{C8EA6839-1A29-46A5-AD38-BEA9048E6FBC}"/>
    <cellStyle name="Normal 2 4 2 3 2 2 4 6" xfId="9735" xr:uid="{3053991F-A2F3-46A9-A993-1AA426C6D147}"/>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2 2 2" xfId="33393" xr:uid="{74753D44-F562-4A44-9BA0-2FB5AD1A0F4B}"/>
    <cellStyle name="Normal 2 4 2 3 2 2 5 2 2 3" xfId="24952" xr:uid="{839ED531-9F64-4096-B8BA-2FB571F774E1}"/>
    <cellStyle name="Normal 2 4 2 3 2 2 5 2 2 4" xfId="16511" xr:uid="{6348E86F-A906-41C4-A561-506514C32D62}"/>
    <cellStyle name="Normal 2 4 2 3 2 2 5 2 3" xfId="29175" xr:uid="{CF6A0092-1E44-41CC-9BB6-9614A72B5C38}"/>
    <cellStyle name="Normal 2 4 2 3 2 2 5 2 4" xfId="20734" xr:uid="{049F6978-8966-45DD-ACD4-B6CC42A2B899}"/>
    <cellStyle name="Normal 2 4 2 3 2 2 5 2 5" xfId="12293" xr:uid="{C288F7C9-A78C-486F-8B1D-B1C834DA80F1}"/>
    <cellStyle name="Normal 2 4 2 3 2 2 5 3" xfId="5916" xr:uid="{00000000-0005-0000-0000-0000B90E0000}"/>
    <cellStyle name="Normal 2 4 2 3 2 2 5 3 2" xfId="31248" xr:uid="{DA129CA5-D6E0-4C15-989C-CBB4A0D7E133}"/>
    <cellStyle name="Normal 2 4 2 3 2 2 5 3 3" xfId="22807" xr:uid="{7FCD9D05-1357-4C91-B3F4-361DE2456D98}"/>
    <cellStyle name="Normal 2 4 2 3 2 2 5 3 4" xfId="14366" xr:uid="{8A007E11-0431-4B5F-B965-C16839E9C019}"/>
    <cellStyle name="Normal 2 4 2 3 2 2 5 4" xfId="27030" xr:uid="{A9D5D656-A363-4CDD-9C2A-E5FEB0455DF5}"/>
    <cellStyle name="Normal 2 4 2 3 2 2 5 5" xfId="18589" xr:uid="{53D32BD8-C0E9-4630-8A96-89BA39D8472C}"/>
    <cellStyle name="Normal 2 4 2 3 2 2 5 6" xfId="10148" xr:uid="{5C196E1F-DCD8-463C-AE09-78F3BE3F7173}"/>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2 2 2" xfId="33806" xr:uid="{7156F5E3-7AF2-47D9-8F2B-112E67EB6A79}"/>
    <cellStyle name="Normal 2 4 2 3 2 2 6 2 2 3" xfId="25365" xr:uid="{E5FC620B-E60F-4854-A8A1-79840ABB6338}"/>
    <cellStyle name="Normal 2 4 2 3 2 2 6 2 2 4" xfId="16924" xr:uid="{386AF627-222F-414E-B181-3BDF031D6760}"/>
    <cellStyle name="Normal 2 4 2 3 2 2 6 2 3" xfId="29588" xr:uid="{444F24A0-1633-4515-82A3-3D05D032BD10}"/>
    <cellStyle name="Normal 2 4 2 3 2 2 6 2 4" xfId="21147" xr:uid="{A5CE35FC-52F6-4C57-858C-D53AEA232CA6}"/>
    <cellStyle name="Normal 2 4 2 3 2 2 6 2 5" xfId="12706" xr:uid="{5B4CD92E-4349-44F7-B520-83E8B3435A05}"/>
    <cellStyle name="Normal 2 4 2 3 2 2 6 3" xfId="6329" xr:uid="{00000000-0005-0000-0000-0000BD0E0000}"/>
    <cellStyle name="Normal 2 4 2 3 2 2 6 3 2" xfId="31661" xr:uid="{B795EC22-C28B-46C1-9935-FB41AD896187}"/>
    <cellStyle name="Normal 2 4 2 3 2 2 6 3 3" xfId="23220" xr:uid="{151567D0-0692-4D36-A819-DC9BD481CC72}"/>
    <cellStyle name="Normal 2 4 2 3 2 2 6 3 4" xfId="14779" xr:uid="{A52407B5-7709-47DF-80DA-DA18D7C3A26E}"/>
    <cellStyle name="Normal 2 4 2 3 2 2 6 4" xfId="27443" xr:uid="{7011BAB6-4357-4605-8CC1-7528FE648704}"/>
    <cellStyle name="Normal 2 4 2 3 2 2 6 5" xfId="19002" xr:uid="{58C934A3-E174-48AD-846A-83AF1DA356B4}"/>
    <cellStyle name="Normal 2 4 2 3 2 2 6 6" xfId="10561" xr:uid="{C2EDF786-C827-4712-BE95-F725AC7E6F3D}"/>
    <cellStyle name="Normal 2 4 2 3 2 2 7" xfId="2459" xr:uid="{00000000-0005-0000-0000-0000BE0E0000}"/>
    <cellStyle name="Normal 2 4 2 3 2 2 7 2" xfId="6742" xr:uid="{00000000-0005-0000-0000-0000BF0E0000}"/>
    <cellStyle name="Normal 2 4 2 3 2 2 7 2 2" xfId="32074" xr:uid="{9CD66AD2-9856-4A61-BF14-24576AF8BDE8}"/>
    <cellStyle name="Normal 2 4 2 3 2 2 7 2 3" xfId="23633" xr:uid="{DB427B9A-37AE-407B-B2AB-A1B2EB66B953}"/>
    <cellStyle name="Normal 2 4 2 3 2 2 7 2 4" xfId="15192" xr:uid="{DF30351D-5A47-411D-AFC9-09DD342B6BEF}"/>
    <cellStyle name="Normal 2 4 2 3 2 2 7 3" xfId="27856" xr:uid="{9F313766-81AE-4172-80CC-1EE02C698C3E}"/>
    <cellStyle name="Normal 2 4 2 3 2 2 7 4" xfId="19415" xr:uid="{9215512D-4D17-4D86-A34B-483DFC20BF4B}"/>
    <cellStyle name="Normal 2 4 2 3 2 2 7 5" xfId="10974" xr:uid="{1CE455BA-1B4F-4C7C-851B-982038942DCB}"/>
    <cellStyle name="Normal 2 4 2 3 2 2 8" xfId="4676" xr:uid="{00000000-0005-0000-0000-0000C00E0000}"/>
    <cellStyle name="Normal 2 4 2 3 2 2 8 2" xfId="30008" xr:uid="{28552D04-A34A-42B5-8A49-ABFA62247BB6}"/>
    <cellStyle name="Normal 2 4 2 3 2 2 8 3" xfId="21567" xr:uid="{4D8FC87B-0F95-4312-8FC8-DE1560A3A433}"/>
    <cellStyle name="Normal 2 4 2 3 2 2 8 4" xfId="13126" xr:uid="{4EAFDB96-268A-4FD1-A85E-9377D017B8CF}"/>
    <cellStyle name="Normal 2 4 2 3 2 2 9" xfId="25790" xr:uid="{9844EE29-2608-4F91-A598-623F8E9FBC12}"/>
    <cellStyle name="Normal 2 4 2 3 2 3" xfId="285" xr:uid="{00000000-0005-0000-0000-0000C10E0000}"/>
    <cellStyle name="Normal 2 4 2 3 2 3 10" xfId="8910" xr:uid="{46198F11-9FD7-44C8-A592-CFC33F9C89AD}"/>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2 2 2" xfId="32569" xr:uid="{1FA7780A-743D-45A1-874A-ACE97B484BCF}"/>
    <cellStyle name="Normal 2 4 2 3 2 3 2 2 2 3" xfId="24128" xr:uid="{C4394EDB-7CE7-471C-BC6B-24E61A2F3694}"/>
    <cellStyle name="Normal 2 4 2 3 2 3 2 2 2 4" xfId="15687" xr:uid="{930A22CE-8AA3-4310-83DC-F12A6ADB2126}"/>
    <cellStyle name="Normal 2 4 2 3 2 3 2 2 3" xfId="28351" xr:uid="{4242C3B2-3B5F-4A73-85CB-801631E2A518}"/>
    <cellStyle name="Normal 2 4 2 3 2 3 2 2 4" xfId="19910" xr:uid="{443230C6-06AE-4892-AA74-FD4301D7C3A8}"/>
    <cellStyle name="Normal 2 4 2 3 2 3 2 2 5" xfId="11469" xr:uid="{2AECF507-9D74-40EE-A042-A92286564326}"/>
    <cellStyle name="Normal 2 4 2 3 2 3 2 3" xfId="5092" xr:uid="{00000000-0005-0000-0000-0000C50E0000}"/>
    <cellStyle name="Normal 2 4 2 3 2 3 2 3 2" xfId="30424" xr:uid="{CC0AB813-4A61-4E0D-B207-A16F8DBA51B2}"/>
    <cellStyle name="Normal 2 4 2 3 2 3 2 3 3" xfId="21983" xr:uid="{09BDFD46-368D-4374-9AF9-E40A11F752EE}"/>
    <cellStyle name="Normal 2 4 2 3 2 3 2 3 4" xfId="13542" xr:uid="{27FC5F89-4219-4BF0-8F10-E8F324E48E80}"/>
    <cellStyle name="Normal 2 4 2 3 2 3 2 4" xfId="26206" xr:uid="{9CC86E33-2D5F-4BE4-A15E-EC922FE8A84F}"/>
    <cellStyle name="Normal 2 4 2 3 2 3 2 5" xfId="17765" xr:uid="{A4F9EE55-04B8-425B-919D-0C822C90FB21}"/>
    <cellStyle name="Normal 2 4 2 3 2 3 2 6" xfId="9324" xr:uid="{8151F395-2DF6-4A4C-86C9-41EE8A47843B}"/>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2 2 2" xfId="32982" xr:uid="{22B2C406-FF9A-4437-9E8A-E2FE43283046}"/>
    <cellStyle name="Normal 2 4 2 3 2 3 3 2 2 3" xfId="24541" xr:uid="{50BA249B-DB57-481B-B293-82E5D42DED66}"/>
    <cellStyle name="Normal 2 4 2 3 2 3 3 2 2 4" xfId="16100" xr:uid="{CECEBD7A-DE0D-41E3-A083-4911DF1ABEBF}"/>
    <cellStyle name="Normal 2 4 2 3 2 3 3 2 3" xfId="28764" xr:uid="{4B8632EB-E809-4013-AD27-DCD819AB1C5E}"/>
    <cellStyle name="Normal 2 4 2 3 2 3 3 2 4" xfId="20323" xr:uid="{775857AC-DE25-4E03-8D23-532657AFC6FD}"/>
    <cellStyle name="Normal 2 4 2 3 2 3 3 2 5" xfId="11882" xr:uid="{4A8F9D5E-D6BF-4FB8-81E0-D6D4D5E0FF75}"/>
    <cellStyle name="Normal 2 4 2 3 2 3 3 3" xfId="5505" xr:uid="{00000000-0005-0000-0000-0000C90E0000}"/>
    <cellStyle name="Normal 2 4 2 3 2 3 3 3 2" xfId="30837" xr:uid="{7A94116C-07DE-4689-8051-F86C1120DFD6}"/>
    <cellStyle name="Normal 2 4 2 3 2 3 3 3 3" xfId="22396" xr:uid="{E0797C67-2033-4A48-9651-1301AA26060E}"/>
    <cellStyle name="Normal 2 4 2 3 2 3 3 3 4" xfId="13955" xr:uid="{A145B0F8-A378-4481-B03A-14143E931F51}"/>
    <cellStyle name="Normal 2 4 2 3 2 3 3 4" xfId="26619" xr:uid="{7407E97C-DE0F-4918-AD44-A35A476BFFED}"/>
    <cellStyle name="Normal 2 4 2 3 2 3 3 5" xfId="18178" xr:uid="{FCDF1A34-EE9A-47D3-8932-DD4BDE5A78C7}"/>
    <cellStyle name="Normal 2 4 2 3 2 3 3 6" xfId="9737" xr:uid="{C9DC20B6-684A-4391-8AA0-22E8F1A4508B}"/>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2 2 2" xfId="33395" xr:uid="{80685096-6EC5-4A81-8B00-252825FCE124}"/>
    <cellStyle name="Normal 2 4 2 3 2 3 4 2 2 3" xfId="24954" xr:uid="{9F9A32BF-3FCC-40B8-A2F9-58035B4248B2}"/>
    <cellStyle name="Normal 2 4 2 3 2 3 4 2 2 4" xfId="16513" xr:uid="{AEAC143A-E058-40F4-A3DA-635CEA8744CF}"/>
    <cellStyle name="Normal 2 4 2 3 2 3 4 2 3" xfId="29177" xr:uid="{1E6C7AFA-ADC7-47C9-9695-952030393B92}"/>
    <cellStyle name="Normal 2 4 2 3 2 3 4 2 4" xfId="20736" xr:uid="{20667CA3-C839-4EA0-89CB-438990DAAC87}"/>
    <cellStyle name="Normal 2 4 2 3 2 3 4 2 5" xfId="12295" xr:uid="{D7B007E0-7650-4815-8273-8AC7C46BD512}"/>
    <cellStyle name="Normal 2 4 2 3 2 3 4 3" xfId="5918" xr:uid="{00000000-0005-0000-0000-0000CD0E0000}"/>
    <cellStyle name="Normal 2 4 2 3 2 3 4 3 2" xfId="31250" xr:uid="{DE9560E7-8F05-4B96-9B66-4F8D2CF0E509}"/>
    <cellStyle name="Normal 2 4 2 3 2 3 4 3 3" xfId="22809" xr:uid="{2E0FA82C-779C-455F-88F0-AC1080BBDFAA}"/>
    <cellStyle name="Normal 2 4 2 3 2 3 4 3 4" xfId="14368" xr:uid="{F794610E-F1ED-4CE2-93DB-5DB7615D5A30}"/>
    <cellStyle name="Normal 2 4 2 3 2 3 4 4" xfId="27032" xr:uid="{5EF55D2D-A720-4DD3-B63B-EEA8901F1722}"/>
    <cellStyle name="Normal 2 4 2 3 2 3 4 5" xfId="18591" xr:uid="{1A3E3132-811B-4243-A0D8-A9D1FD62ABA9}"/>
    <cellStyle name="Normal 2 4 2 3 2 3 4 6" xfId="10150" xr:uid="{83A80E60-752C-4F1C-9DBC-F4C4ED3F7C7E}"/>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2 2 2" xfId="33808" xr:uid="{F7148590-8CE4-4BE3-ADAC-FC0E77850277}"/>
    <cellStyle name="Normal 2 4 2 3 2 3 5 2 2 3" xfId="25367" xr:uid="{A524AFD8-A843-4970-BDCC-39DF8D3182DC}"/>
    <cellStyle name="Normal 2 4 2 3 2 3 5 2 2 4" xfId="16926" xr:uid="{B741E945-1E92-4DB0-8DCB-8AE908887B05}"/>
    <cellStyle name="Normal 2 4 2 3 2 3 5 2 3" xfId="29590" xr:uid="{4FBAF87B-548E-4CAB-9343-03BAF50E4735}"/>
    <cellStyle name="Normal 2 4 2 3 2 3 5 2 4" xfId="21149" xr:uid="{F0C96507-8283-44D7-86EF-403FE78B3010}"/>
    <cellStyle name="Normal 2 4 2 3 2 3 5 2 5" xfId="12708" xr:uid="{8E59097A-0467-4230-80D3-B030C0A7846A}"/>
    <cellStyle name="Normal 2 4 2 3 2 3 5 3" xfId="6331" xr:uid="{00000000-0005-0000-0000-0000D10E0000}"/>
    <cellStyle name="Normal 2 4 2 3 2 3 5 3 2" xfId="31663" xr:uid="{CFBBA848-6A85-4D06-B9E4-FF37E3F5236D}"/>
    <cellStyle name="Normal 2 4 2 3 2 3 5 3 3" xfId="23222" xr:uid="{AE68DBBE-0E6C-4991-9228-C9C8B73A5377}"/>
    <cellStyle name="Normal 2 4 2 3 2 3 5 3 4" xfId="14781" xr:uid="{B82DAD80-00FA-4632-BF7C-668148BE0FB9}"/>
    <cellStyle name="Normal 2 4 2 3 2 3 5 4" xfId="27445" xr:uid="{AF9E8D52-02F0-4D12-8B8B-9599C96F5B88}"/>
    <cellStyle name="Normal 2 4 2 3 2 3 5 5" xfId="19004" xr:uid="{58AEEF61-B101-43AA-94F7-410F9C871187}"/>
    <cellStyle name="Normal 2 4 2 3 2 3 5 6" xfId="10563" xr:uid="{0CC207A8-88CC-4025-B4BA-C34FCB330F05}"/>
    <cellStyle name="Normal 2 4 2 3 2 3 6" xfId="2461" xr:uid="{00000000-0005-0000-0000-0000D20E0000}"/>
    <cellStyle name="Normal 2 4 2 3 2 3 6 2" xfId="6744" xr:uid="{00000000-0005-0000-0000-0000D30E0000}"/>
    <cellStyle name="Normal 2 4 2 3 2 3 6 2 2" xfId="32076" xr:uid="{F9709543-D318-4509-B09F-0BB3E6654A9D}"/>
    <cellStyle name="Normal 2 4 2 3 2 3 6 2 3" xfId="23635" xr:uid="{5CA0194A-113E-4A43-B4B8-6B5FB79FB0F1}"/>
    <cellStyle name="Normal 2 4 2 3 2 3 6 2 4" xfId="15194" xr:uid="{A3F04BBF-B403-49C7-9EE1-3972F38BA0F9}"/>
    <cellStyle name="Normal 2 4 2 3 2 3 6 3" xfId="27858" xr:uid="{5440A685-4717-42DA-9302-4D4B6A8E153D}"/>
    <cellStyle name="Normal 2 4 2 3 2 3 6 4" xfId="19417" xr:uid="{1409986A-8064-4364-9D3F-C7BCA89AF8B1}"/>
    <cellStyle name="Normal 2 4 2 3 2 3 6 5" xfId="10976" xr:uid="{5BD86380-1379-4D75-BB1D-8427C54A55DB}"/>
    <cellStyle name="Normal 2 4 2 3 2 3 7" xfId="4678" xr:uid="{00000000-0005-0000-0000-0000D40E0000}"/>
    <cellStyle name="Normal 2 4 2 3 2 3 7 2" xfId="30010" xr:uid="{23D9306A-B796-4D8F-800F-94EC4F344BFC}"/>
    <cellStyle name="Normal 2 4 2 3 2 3 7 3" xfId="21569" xr:uid="{DF641C9F-6BA3-4A13-B6E9-702E56D4381F}"/>
    <cellStyle name="Normal 2 4 2 3 2 3 7 4" xfId="13128" xr:uid="{07E4D429-0F94-4163-BE7E-48C356CCBDA9}"/>
    <cellStyle name="Normal 2 4 2 3 2 3 8" xfId="25792" xr:uid="{A09A93C8-9AE1-44CA-80EC-FF7DC2D29904}"/>
    <cellStyle name="Normal 2 4 2 3 2 3 9" xfId="17351" xr:uid="{2B7B8665-1D9A-46EF-A610-4C56A1C135F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2 2 2" xfId="32566" xr:uid="{E896840B-A5E6-46C1-84E4-F146883910AB}"/>
    <cellStyle name="Normal 2 4 2 3 2 4 2 2 3" xfId="24125" xr:uid="{9653D48E-D342-4C6F-AD10-73576299D146}"/>
    <cellStyle name="Normal 2 4 2 3 2 4 2 2 4" xfId="15684" xr:uid="{EF4E54A8-38E9-4D13-810F-98A8ACFE21FA}"/>
    <cellStyle name="Normal 2 4 2 3 2 4 2 3" xfId="28348" xr:uid="{F6226739-9DC6-4A07-BEED-724A2FD8B745}"/>
    <cellStyle name="Normal 2 4 2 3 2 4 2 4" xfId="19907" xr:uid="{B6B34994-00B1-4F2A-ACD9-FCADEA4C748F}"/>
    <cellStyle name="Normal 2 4 2 3 2 4 2 5" xfId="11466" xr:uid="{58D41BE9-6AB6-44ED-A8CE-FA0B54408137}"/>
    <cellStyle name="Normal 2 4 2 3 2 4 3" xfId="5089" xr:uid="{00000000-0005-0000-0000-0000D80E0000}"/>
    <cellStyle name="Normal 2 4 2 3 2 4 3 2" xfId="30421" xr:uid="{9060E799-884C-4D99-9A4D-C17C34864F57}"/>
    <cellStyle name="Normal 2 4 2 3 2 4 3 3" xfId="21980" xr:uid="{8CF8E8ED-5CFD-4B97-A1CF-5EF4788F0F39}"/>
    <cellStyle name="Normal 2 4 2 3 2 4 3 4" xfId="13539" xr:uid="{913B3087-ED5D-40D2-852E-E67C1B4B0A98}"/>
    <cellStyle name="Normal 2 4 2 3 2 4 4" xfId="26203" xr:uid="{B2511DF7-DFA7-4D62-9E9E-AECA2E7B7E19}"/>
    <cellStyle name="Normal 2 4 2 3 2 4 5" xfId="17762" xr:uid="{46F12D3D-5DB2-4E41-A8FA-0B05FEA66D6B}"/>
    <cellStyle name="Normal 2 4 2 3 2 4 6" xfId="9321" xr:uid="{2B45DA03-64DD-47D2-8EEC-2E8377698C94}"/>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2 2 2" xfId="32979" xr:uid="{EA784C46-40FA-4D34-8884-D72E4AD41AB0}"/>
    <cellStyle name="Normal 2 4 2 3 2 5 2 2 3" xfId="24538" xr:uid="{0AE11496-8894-4123-8F23-0CD9F9179B1B}"/>
    <cellStyle name="Normal 2 4 2 3 2 5 2 2 4" xfId="16097" xr:uid="{EA2E6E15-1804-470A-9201-B1D4F4CAE643}"/>
    <cellStyle name="Normal 2 4 2 3 2 5 2 3" xfId="28761" xr:uid="{2950FB1D-005B-4FAB-B4C3-C932DA5721D7}"/>
    <cellStyle name="Normal 2 4 2 3 2 5 2 4" xfId="20320" xr:uid="{CE911AAA-A2BA-44AD-B367-E0E800B26506}"/>
    <cellStyle name="Normal 2 4 2 3 2 5 2 5" xfId="11879" xr:uid="{AA9E8EAA-CC4D-4955-A1EC-A93744DF6A3B}"/>
    <cellStyle name="Normal 2 4 2 3 2 5 3" xfId="5502" xr:uid="{00000000-0005-0000-0000-0000DC0E0000}"/>
    <cellStyle name="Normal 2 4 2 3 2 5 3 2" xfId="30834" xr:uid="{3C33AE9D-CF5B-47A6-9E7F-50F4F4CD3993}"/>
    <cellStyle name="Normal 2 4 2 3 2 5 3 3" xfId="22393" xr:uid="{9ED29302-5C67-4BCA-AA85-5C8B755E466E}"/>
    <cellStyle name="Normal 2 4 2 3 2 5 3 4" xfId="13952" xr:uid="{BD655835-8FCD-4C4F-9241-0E794716CE7F}"/>
    <cellStyle name="Normal 2 4 2 3 2 5 4" xfId="26616" xr:uid="{B50EF5BD-00F2-4C23-AD62-01915E1E4884}"/>
    <cellStyle name="Normal 2 4 2 3 2 5 5" xfId="18175" xr:uid="{DBD42D7F-FEA4-4FB0-AF72-41E8BD4A50AD}"/>
    <cellStyle name="Normal 2 4 2 3 2 5 6" xfId="9734" xr:uid="{ABB24FA4-7F50-4C6B-BDB0-EE5A23C87B1D}"/>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2 2 2" xfId="33392" xr:uid="{00ED1022-922D-4E2F-8700-FBE24DA5FDB1}"/>
    <cellStyle name="Normal 2 4 2 3 2 6 2 2 3" xfId="24951" xr:uid="{A2818E4E-D427-4835-8997-573ACF249871}"/>
    <cellStyle name="Normal 2 4 2 3 2 6 2 2 4" xfId="16510" xr:uid="{1A9E894B-01EC-4BAB-BB6F-B2D847800C8C}"/>
    <cellStyle name="Normal 2 4 2 3 2 6 2 3" xfId="29174" xr:uid="{3F24C2F3-DDED-4022-AD5E-33AD1B6CBCB8}"/>
    <cellStyle name="Normal 2 4 2 3 2 6 2 4" xfId="20733" xr:uid="{3308CFAC-EF4B-4B9D-A069-E5DB2242FAC1}"/>
    <cellStyle name="Normal 2 4 2 3 2 6 2 5" xfId="12292" xr:uid="{8F2C58AB-446D-42D6-98D8-88ACD423EB5A}"/>
    <cellStyle name="Normal 2 4 2 3 2 6 3" xfId="5915" xr:uid="{00000000-0005-0000-0000-0000E00E0000}"/>
    <cellStyle name="Normal 2 4 2 3 2 6 3 2" xfId="31247" xr:uid="{A29BFD9F-45F4-4AB5-83C7-5F1D18A78E82}"/>
    <cellStyle name="Normal 2 4 2 3 2 6 3 3" xfId="22806" xr:uid="{A7E1A19B-E00A-4680-AE1D-142783CEBF6C}"/>
    <cellStyle name="Normal 2 4 2 3 2 6 3 4" xfId="14365" xr:uid="{E3A7FBA9-9133-4D43-BED7-CFCFC5A7CAE0}"/>
    <cellStyle name="Normal 2 4 2 3 2 6 4" xfId="27029" xr:uid="{F332F434-F732-4740-A355-8E5033C7A542}"/>
    <cellStyle name="Normal 2 4 2 3 2 6 5" xfId="18588" xr:uid="{5F97FE6C-5559-4466-B046-6A44FFB53803}"/>
    <cellStyle name="Normal 2 4 2 3 2 6 6" xfId="10147" xr:uid="{2CDB7538-B87E-459C-975C-86FFB1AA7524}"/>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2 2 2" xfId="33805" xr:uid="{27B7DD1B-40AD-41B9-A244-393EE7414A26}"/>
    <cellStyle name="Normal 2 4 2 3 2 7 2 2 3" xfId="25364" xr:uid="{0039F461-05A6-475F-BACE-B1C4581B4B93}"/>
    <cellStyle name="Normal 2 4 2 3 2 7 2 2 4" xfId="16923" xr:uid="{B2F09A29-8E38-432D-9BC6-75715049BBCD}"/>
    <cellStyle name="Normal 2 4 2 3 2 7 2 3" xfId="29587" xr:uid="{A4AD9283-1D8A-4F56-A5DF-5416B4D9EC9F}"/>
    <cellStyle name="Normal 2 4 2 3 2 7 2 4" xfId="21146" xr:uid="{6F82279E-2E78-443F-A9F2-1E5CA781C674}"/>
    <cellStyle name="Normal 2 4 2 3 2 7 2 5" xfId="12705" xr:uid="{B56CBF2C-2F89-4BAB-997C-EB19E9948367}"/>
    <cellStyle name="Normal 2 4 2 3 2 7 3" xfId="6328" xr:uid="{00000000-0005-0000-0000-0000E40E0000}"/>
    <cellStyle name="Normal 2 4 2 3 2 7 3 2" xfId="31660" xr:uid="{5BC10ECF-F3B5-43C0-A824-75AF15EE5925}"/>
    <cellStyle name="Normal 2 4 2 3 2 7 3 3" xfId="23219" xr:uid="{F3E3660C-8460-4C5A-9E4B-3FFECC8AE0DE}"/>
    <cellStyle name="Normal 2 4 2 3 2 7 3 4" xfId="14778" xr:uid="{84B8F171-5D4B-461E-AE6B-047B6E85D0DF}"/>
    <cellStyle name="Normal 2 4 2 3 2 7 4" xfId="27442" xr:uid="{670C45BE-6278-4483-8D11-F88EBCBA8550}"/>
    <cellStyle name="Normal 2 4 2 3 2 7 5" xfId="19001" xr:uid="{8CE899E8-9E5F-4C4B-8F2A-C28E6705623F}"/>
    <cellStyle name="Normal 2 4 2 3 2 7 6" xfId="10560" xr:uid="{5BFB6133-FACC-4D79-8789-1F10896490DB}"/>
    <cellStyle name="Normal 2 4 2 3 2 8" xfId="2458" xr:uid="{00000000-0005-0000-0000-0000E50E0000}"/>
    <cellStyle name="Normal 2 4 2 3 2 8 2" xfId="6741" xr:uid="{00000000-0005-0000-0000-0000E60E0000}"/>
    <cellStyle name="Normal 2 4 2 3 2 8 2 2" xfId="32073" xr:uid="{61BD668A-39D3-4003-A49A-AD8419682659}"/>
    <cellStyle name="Normal 2 4 2 3 2 8 2 3" xfId="23632" xr:uid="{9D14F76B-FEED-4C86-A69D-EDB3D487FDA9}"/>
    <cellStyle name="Normal 2 4 2 3 2 8 2 4" xfId="15191" xr:uid="{6D0B9B3B-50F3-4B78-87A4-E0D226F5158E}"/>
    <cellStyle name="Normal 2 4 2 3 2 8 3" xfId="27855" xr:uid="{254DF667-F094-4FE6-8870-7055035641FF}"/>
    <cellStyle name="Normal 2 4 2 3 2 8 4" xfId="19414" xr:uid="{D538153A-2C9F-4416-9976-A1BC5D0EF24E}"/>
    <cellStyle name="Normal 2 4 2 3 2 8 5" xfId="10973" xr:uid="{85BEF3AB-F397-4CA4-BF40-E33494886703}"/>
    <cellStyle name="Normal 2 4 2 3 2 9" xfId="4675" xr:uid="{00000000-0005-0000-0000-0000E70E0000}"/>
    <cellStyle name="Normal 2 4 2 3 2 9 2" xfId="30007" xr:uid="{4F390C81-D389-4BFC-9770-2A8841632AE6}"/>
    <cellStyle name="Normal 2 4 2 3 2 9 3" xfId="21566" xr:uid="{77258356-23BA-46B1-A899-9C6A68B87813}"/>
    <cellStyle name="Normal 2 4 2 3 2 9 4" xfId="13125" xr:uid="{0FB530E2-1FFE-4329-90B3-F2722003A79F}"/>
    <cellStyle name="Normal 2 4 2 3 3" xfId="286" xr:uid="{00000000-0005-0000-0000-0000E80E0000}"/>
    <cellStyle name="Normal 2 4 2 3 3 10" xfId="17352" xr:uid="{119B85A6-4104-4D65-A5EF-66F02EB64404}"/>
    <cellStyle name="Normal 2 4 2 3 3 11" xfId="8911" xr:uid="{6A712E4D-8FB1-4839-ADEA-B098B12C780B}"/>
    <cellStyle name="Normal 2 4 2 3 3 2" xfId="287" xr:uid="{00000000-0005-0000-0000-0000E90E0000}"/>
    <cellStyle name="Normal 2 4 2 3 3 2 10" xfId="8912" xr:uid="{637E0DBF-9465-43A0-9D48-550B6E5C0F4E}"/>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2 2 2" xfId="32571" xr:uid="{5C4160D8-99EF-48B6-ABCC-432C9AC661C8}"/>
    <cellStyle name="Normal 2 4 2 3 3 2 2 2 2 3" xfId="24130" xr:uid="{B4602D87-E44A-4AE4-BD3B-549AC1F2E40A}"/>
    <cellStyle name="Normal 2 4 2 3 3 2 2 2 2 4" xfId="15689" xr:uid="{ED6742D1-E5CE-411C-8001-944270DF3E99}"/>
    <cellStyle name="Normal 2 4 2 3 3 2 2 2 3" xfId="28353" xr:uid="{2C972AEA-EB94-40B5-BC85-4AE9A1299C16}"/>
    <cellStyle name="Normal 2 4 2 3 3 2 2 2 4" xfId="19912" xr:uid="{76ECACFD-16CF-4554-9FFC-18E8435AC4AF}"/>
    <cellStyle name="Normal 2 4 2 3 3 2 2 2 5" xfId="11471" xr:uid="{7E4B7B2A-0F71-48D5-AC76-79D0D5DC1E97}"/>
    <cellStyle name="Normal 2 4 2 3 3 2 2 3" xfId="5094" xr:uid="{00000000-0005-0000-0000-0000ED0E0000}"/>
    <cellStyle name="Normal 2 4 2 3 3 2 2 3 2" xfId="30426" xr:uid="{4969D315-B3E8-410A-B654-54C15343A2DC}"/>
    <cellStyle name="Normal 2 4 2 3 3 2 2 3 3" xfId="21985" xr:uid="{80037AF0-F28D-47A5-AB6E-D2E854AA07F8}"/>
    <cellStyle name="Normal 2 4 2 3 3 2 2 3 4" xfId="13544" xr:uid="{408D39DF-A263-47B7-89E8-36CAE6AB8864}"/>
    <cellStyle name="Normal 2 4 2 3 3 2 2 4" xfId="26208" xr:uid="{354795B3-C529-42CC-A622-9EABBF458F50}"/>
    <cellStyle name="Normal 2 4 2 3 3 2 2 5" xfId="17767" xr:uid="{3E2EFF4E-E872-477E-82DF-154A201EADE8}"/>
    <cellStyle name="Normal 2 4 2 3 3 2 2 6" xfId="9326" xr:uid="{54F863E6-30C1-4EC5-8934-9D4C596C104C}"/>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2 2 2" xfId="32984" xr:uid="{237D53B5-37B7-489B-8685-2A19530390A4}"/>
    <cellStyle name="Normal 2 4 2 3 3 2 3 2 2 3" xfId="24543" xr:uid="{F3586FDC-3C42-4C88-BFBC-3D5E517B740A}"/>
    <cellStyle name="Normal 2 4 2 3 3 2 3 2 2 4" xfId="16102" xr:uid="{6BF49AC5-5705-4C67-BFC3-C3C27DC596E9}"/>
    <cellStyle name="Normal 2 4 2 3 3 2 3 2 3" xfId="28766" xr:uid="{A649CC92-87B9-4288-BD90-EE5F9B823356}"/>
    <cellStyle name="Normal 2 4 2 3 3 2 3 2 4" xfId="20325" xr:uid="{F1661239-5D77-485B-91AB-A4E20BC759EF}"/>
    <cellStyle name="Normal 2 4 2 3 3 2 3 2 5" xfId="11884" xr:uid="{D504A867-980F-4B42-8DA4-74C5B1207086}"/>
    <cellStyle name="Normal 2 4 2 3 3 2 3 3" xfId="5507" xr:uid="{00000000-0005-0000-0000-0000F10E0000}"/>
    <cellStyle name="Normal 2 4 2 3 3 2 3 3 2" xfId="30839" xr:uid="{8F5D6DDC-8730-40EF-B4E0-516F9158094E}"/>
    <cellStyle name="Normal 2 4 2 3 3 2 3 3 3" xfId="22398" xr:uid="{190DDEEE-AE9A-48E0-894A-A942331FAB27}"/>
    <cellStyle name="Normal 2 4 2 3 3 2 3 3 4" xfId="13957" xr:uid="{9CF11FEB-5DE3-4581-AC86-90C915C9D778}"/>
    <cellStyle name="Normal 2 4 2 3 3 2 3 4" xfId="26621" xr:uid="{914DD567-A1AC-4F33-901B-9F4FF5A5F932}"/>
    <cellStyle name="Normal 2 4 2 3 3 2 3 5" xfId="18180" xr:uid="{3C9F0604-7612-45CC-BABC-3A450EC87054}"/>
    <cellStyle name="Normal 2 4 2 3 3 2 3 6" xfId="9739" xr:uid="{4ACF92CB-8104-40EF-963A-96FA435E2E77}"/>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2 2 2" xfId="33397" xr:uid="{C421ED65-B21D-4DE0-96C7-07211A275BBC}"/>
    <cellStyle name="Normal 2 4 2 3 3 2 4 2 2 3" xfId="24956" xr:uid="{B16A986F-9BF4-4DD4-A6DF-1D4D9D03C64F}"/>
    <cellStyle name="Normal 2 4 2 3 3 2 4 2 2 4" xfId="16515" xr:uid="{6567C385-43AF-45A9-9E56-F4612991CE5A}"/>
    <cellStyle name="Normal 2 4 2 3 3 2 4 2 3" xfId="29179" xr:uid="{327B93D2-98C8-4E68-8721-E857FC9F2175}"/>
    <cellStyle name="Normal 2 4 2 3 3 2 4 2 4" xfId="20738" xr:uid="{4D1106F7-9813-478E-B1ED-94469D5BDBFA}"/>
    <cellStyle name="Normal 2 4 2 3 3 2 4 2 5" xfId="12297" xr:uid="{A41DCF71-5DE1-433F-9CFC-80B8726376FD}"/>
    <cellStyle name="Normal 2 4 2 3 3 2 4 3" xfId="5920" xr:uid="{00000000-0005-0000-0000-0000F50E0000}"/>
    <cellStyle name="Normal 2 4 2 3 3 2 4 3 2" xfId="31252" xr:uid="{D997667C-18E8-4440-AB8B-808BA6A4D687}"/>
    <cellStyle name="Normal 2 4 2 3 3 2 4 3 3" xfId="22811" xr:uid="{C3A86E46-3974-4A63-A600-0470590DC735}"/>
    <cellStyle name="Normal 2 4 2 3 3 2 4 3 4" xfId="14370" xr:uid="{C5D09166-32B8-450D-B446-07311A5C99F4}"/>
    <cellStyle name="Normal 2 4 2 3 3 2 4 4" xfId="27034" xr:uid="{A86988A6-7513-42A5-B3A1-74999A4600C6}"/>
    <cellStyle name="Normal 2 4 2 3 3 2 4 5" xfId="18593" xr:uid="{35D9CFA2-3F59-455C-876F-93D808F80BEF}"/>
    <cellStyle name="Normal 2 4 2 3 3 2 4 6" xfId="10152" xr:uid="{7D6C66D4-F043-415D-B2D2-95396069AA4E}"/>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2 2 2" xfId="33810" xr:uid="{E6697135-0D40-4ED0-8A1E-B7ABB8631F84}"/>
    <cellStyle name="Normal 2 4 2 3 3 2 5 2 2 3" xfId="25369" xr:uid="{1593D02E-9414-46CE-AF15-8B3B39C0050E}"/>
    <cellStyle name="Normal 2 4 2 3 3 2 5 2 2 4" xfId="16928" xr:uid="{626EC2BB-DF96-4413-B2CA-03806A46465C}"/>
    <cellStyle name="Normal 2 4 2 3 3 2 5 2 3" xfId="29592" xr:uid="{F18C1528-3CE6-41B1-AD84-BB634BB4C636}"/>
    <cellStyle name="Normal 2 4 2 3 3 2 5 2 4" xfId="21151" xr:uid="{8602A435-781B-4DE7-A525-3AAD0E579D82}"/>
    <cellStyle name="Normal 2 4 2 3 3 2 5 2 5" xfId="12710" xr:uid="{F40B872D-1E31-48C9-B13B-4797B638A85F}"/>
    <cellStyle name="Normal 2 4 2 3 3 2 5 3" xfId="6333" xr:uid="{00000000-0005-0000-0000-0000F90E0000}"/>
    <cellStyle name="Normal 2 4 2 3 3 2 5 3 2" xfId="31665" xr:uid="{18F21A69-85B5-4EC1-B826-539E8F5BBB11}"/>
    <cellStyle name="Normal 2 4 2 3 3 2 5 3 3" xfId="23224" xr:uid="{D7EB24A3-AAC3-4300-AB4F-813A39AB48E7}"/>
    <cellStyle name="Normal 2 4 2 3 3 2 5 3 4" xfId="14783" xr:uid="{81D34D6E-D62A-49D9-B0D2-0A23B113910E}"/>
    <cellStyle name="Normal 2 4 2 3 3 2 5 4" xfId="27447" xr:uid="{EB109754-64A4-4BB5-9BCA-6EB90D79142C}"/>
    <cellStyle name="Normal 2 4 2 3 3 2 5 5" xfId="19006" xr:uid="{821430F8-49B6-496F-8B4D-69CA6D6E1D50}"/>
    <cellStyle name="Normal 2 4 2 3 3 2 5 6" xfId="10565" xr:uid="{196FED3A-DA3D-4B3C-8F50-579CC7548D34}"/>
    <cellStyle name="Normal 2 4 2 3 3 2 6" xfId="2463" xr:uid="{00000000-0005-0000-0000-0000FA0E0000}"/>
    <cellStyle name="Normal 2 4 2 3 3 2 6 2" xfId="6746" xr:uid="{00000000-0005-0000-0000-0000FB0E0000}"/>
    <cellStyle name="Normal 2 4 2 3 3 2 6 2 2" xfId="32078" xr:uid="{56709D4B-BAE6-4F47-81D8-223E123DEB62}"/>
    <cellStyle name="Normal 2 4 2 3 3 2 6 2 3" xfId="23637" xr:uid="{916C1159-7383-423B-A25C-2905E0B6DBAB}"/>
    <cellStyle name="Normal 2 4 2 3 3 2 6 2 4" xfId="15196" xr:uid="{FCFF43B2-F81E-4FCE-9B5D-4D7A8B01201F}"/>
    <cellStyle name="Normal 2 4 2 3 3 2 6 3" xfId="27860" xr:uid="{1083B592-B642-41F7-99A6-71C069B92712}"/>
    <cellStyle name="Normal 2 4 2 3 3 2 6 4" xfId="19419" xr:uid="{5C6E92C6-7DE8-439D-BD14-50C6E54A7B5C}"/>
    <cellStyle name="Normal 2 4 2 3 3 2 6 5" xfId="10978" xr:uid="{66325F40-A3B9-46A8-B20E-08DBBEDE6881}"/>
    <cellStyle name="Normal 2 4 2 3 3 2 7" xfId="4680" xr:uid="{00000000-0005-0000-0000-0000FC0E0000}"/>
    <cellStyle name="Normal 2 4 2 3 3 2 7 2" xfId="30012" xr:uid="{4CB44517-FE7F-4EB0-96C9-1BD410BFCC7D}"/>
    <cellStyle name="Normal 2 4 2 3 3 2 7 3" xfId="21571" xr:uid="{58FF4FD6-59F1-424B-8396-0C6E13127AE6}"/>
    <cellStyle name="Normal 2 4 2 3 3 2 7 4" xfId="13130" xr:uid="{90BF3757-3B84-4099-9123-59ED91E130EB}"/>
    <cellStyle name="Normal 2 4 2 3 3 2 8" xfId="25794" xr:uid="{E263005A-B0B1-428A-9456-2311584027B6}"/>
    <cellStyle name="Normal 2 4 2 3 3 2 9" xfId="17353" xr:uid="{629A3A25-94D6-462D-A7BD-DA4B45B3EBA5}"/>
    <cellStyle name="Normal 2 4 2 3 3 3" xfId="777" xr:uid="{00000000-0005-0000-0000-0000FD0E0000}"/>
    <cellStyle name="Normal 2 4 2 3 3 3 2" xfId="3016" xr:uid="{00000000-0005-0000-0000-0000FE0E0000}"/>
    <cellStyle name="Normal 2 4 2 3 3 3 2 2" xfId="7238" xr:uid="{00000000-0005-0000-0000-0000FF0E0000}"/>
    <cellStyle name="Normal 2 4 2 3 3 3 2 2 2" xfId="32570" xr:uid="{87BE00DE-233B-4DC7-A9C8-7679529F4FDF}"/>
    <cellStyle name="Normal 2 4 2 3 3 3 2 2 3" xfId="24129" xr:uid="{2B438AB8-E380-41B6-9B22-3AA57C742BA4}"/>
    <cellStyle name="Normal 2 4 2 3 3 3 2 2 4" xfId="15688" xr:uid="{6660E80C-415C-4B01-8EDE-33223451C1D9}"/>
    <cellStyle name="Normal 2 4 2 3 3 3 2 3" xfId="28352" xr:uid="{2D95A693-92E0-42CA-8006-B9E399B48DCE}"/>
    <cellStyle name="Normal 2 4 2 3 3 3 2 4" xfId="19911" xr:uid="{513E42AA-B425-476D-BE2C-587D432690A2}"/>
    <cellStyle name="Normal 2 4 2 3 3 3 2 5" xfId="11470" xr:uid="{BA5D1514-8D4A-4324-A4B5-75C79A8FE895}"/>
    <cellStyle name="Normal 2 4 2 3 3 3 3" xfId="5093" xr:uid="{00000000-0005-0000-0000-0000000F0000}"/>
    <cellStyle name="Normal 2 4 2 3 3 3 3 2" xfId="30425" xr:uid="{601A13B5-78AC-484D-B008-6BBD0637D007}"/>
    <cellStyle name="Normal 2 4 2 3 3 3 3 3" xfId="21984" xr:uid="{BA58FECC-7233-4241-B792-842C2595DF58}"/>
    <cellStyle name="Normal 2 4 2 3 3 3 3 4" xfId="13543" xr:uid="{79005A68-9421-4F98-8980-1D43722BB159}"/>
    <cellStyle name="Normal 2 4 2 3 3 3 4" xfId="26207" xr:uid="{816FA696-7822-4025-9654-E1CEC3994383}"/>
    <cellStyle name="Normal 2 4 2 3 3 3 5" xfId="17766" xr:uid="{BEA1E65A-D3F2-4AA5-AF9F-34A3AA916499}"/>
    <cellStyle name="Normal 2 4 2 3 3 3 6" xfId="9325" xr:uid="{0217C307-6C61-4533-8520-1F64D8720A9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2 2 2" xfId="32983" xr:uid="{F679FF22-9925-422C-9866-6929DE930D90}"/>
    <cellStyle name="Normal 2 4 2 3 3 4 2 2 3" xfId="24542" xr:uid="{AA9591FC-262A-4464-BACD-59D49AE670E7}"/>
    <cellStyle name="Normal 2 4 2 3 3 4 2 2 4" xfId="16101" xr:uid="{120C31C5-3192-47A6-AE07-6E1A4A43610A}"/>
    <cellStyle name="Normal 2 4 2 3 3 4 2 3" xfId="28765" xr:uid="{79A6C4FB-A5E9-4532-AEE0-E9E7D9F14C9E}"/>
    <cellStyle name="Normal 2 4 2 3 3 4 2 4" xfId="20324" xr:uid="{E49B6635-72A5-4364-AC51-4DA240D4B580}"/>
    <cellStyle name="Normal 2 4 2 3 3 4 2 5" xfId="11883" xr:uid="{8A28A947-32DC-4BA6-9271-5A3F4F9B1221}"/>
    <cellStyle name="Normal 2 4 2 3 3 4 3" xfId="5506" xr:uid="{00000000-0005-0000-0000-0000040F0000}"/>
    <cellStyle name="Normal 2 4 2 3 3 4 3 2" xfId="30838" xr:uid="{FA01E0A9-D1E7-45F2-A935-2E7D66E8B722}"/>
    <cellStyle name="Normal 2 4 2 3 3 4 3 3" xfId="22397" xr:uid="{6AD91903-D213-4E36-AEC5-B039A41FEA25}"/>
    <cellStyle name="Normal 2 4 2 3 3 4 3 4" xfId="13956" xr:uid="{8F90057C-D41F-403F-AB5C-418C2131FB58}"/>
    <cellStyle name="Normal 2 4 2 3 3 4 4" xfId="26620" xr:uid="{CA82DB4C-51A2-4C90-83ED-981D5B6EF85D}"/>
    <cellStyle name="Normal 2 4 2 3 3 4 5" xfId="18179" xr:uid="{EF526891-91BA-4027-BD6F-DF1A1788C6DD}"/>
    <cellStyle name="Normal 2 4 2 3 3 4 6" xfId="9738" xr:uid="{1285FCF7-DE58-41CB-9FD1-64D3B8B0C96F}"/>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2 2 2" xfId="33396" xr:uid="{760B99B9-C78D-4304-B0BF-156E90F420D9}"/>
    <cellStyle name="Normal 2 4 2 3 3 5 2 2 3" xfId="24955" xr:uid="{DF68778D-527F-46DE-8CD5-3EDB750DFA0F}"/>
    <cellStyle name="Normal 2 4 2 3 3 5 2 2 4" xfId="16514" xr:uid="{8680A141-2A41-4713-9DA2-319CC4AEFA1F}"/>
    <cellStyle name="Normal 2 4 2 3 3 5 2 3" xfId="29178" xr:uid="{9E4B7E4E-117A-45DC-B8AD-46FD0AE046CE}"/>
    <cellStyle name="Normal 2 4 2 3 3 5 2 4" xfId="20737" xr:uid="{A0C8F809-D285-44DE-900A-6716A7142AF2}"/>
    <cellStyle name="Normal 2 4 2 3 3 5 2 5" xfId="12296" xr:uid="{F8F51846-76D3-4402-90DA-6F96351E9423}"/>
    <cellStyle name="Normal 2 4 2 3 3 5 3" xfId="5919" xr:uid="{00000000-0005-0000-0000-0000080F0000}"/>
    <cellStyle name="Normal 2 4 2 3 3 5 3 2" xfId="31251" xr:uid="{E52D7FCC-F504-4D3F-96A2-471CB2B406B0}"/>
    <cellStyle name="Normal 2 4 2 3 3 5 3 3" xfId="22810" xr:uid="{A07FF6B5-295E-4C7C-AEA9-EBD44C008C65}"/>
    <cellStyle name="Normal 2 4 2 3 3 5 3 4" xfId="14369" xr:uid="{64037094-D32A-4630-B0D5-343060470ABE}"/>
    <cellStyle name="Normal 2 4 2 3 3 5 4" xfId="27033" xr:uid="{E06FD22A-BDF3-40CE-B121-7BABDB8FF209}"/>
    <cellStyle name="Normal 2 4 2 3 3 5 5" xfId="18592" xr:uid="{262B1B8C-E1FA-4EEE-8BCC-E910284736FD}"/>
    <cellStyle name="Normal 2 4 2 3 3 5 6" xfId="10151" xr:uid="{2390927D-8214-4953-A35D-75FBB184B8BD}"/>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2 2 2" xfId="33809" xr:uid="{7D97D4E4-CAAF-48F9-A19E-A313F38EFE42}"/>
    <cellStyle name="Normal 2 4 2 3 3 6 2 2 3" xfId="25368" xr:uid="{C2DCF7CD-B912-452F-9FB7-28D5801EEB6F}"/>
    <cellStyle name="Normal 2 4 2 3 3 6 2 2 4" xfId="16927" xr:uid="{E0DCC332-BCB3-4EEB-B748-EA18BD3A890C}"/>
    <cellStyle name="Normal 2 4 2 3 3 6 2 3" xfId="29591" xr:uid="{D88201EA-C504-44F1-8901-994433D1B0FF}"/>
    <cellStyle name="Normal 2 4 2 3 3 6 2 4" xfId="21150" xr:uid="{7B10C664-AEB5-4A98-9CEA-F52BBF5B528C}"/>
    <cellStyle name="Normal 2 4 2 3 3 6 2 5" xfId="12709" xr:uid="{A26DC8ED-E726-43EA-B8DC-5612C558CFCF}"/>
    <cellStyle name="Normal 2 4 2 3 3 6 3" xfId="6332" xr:uid="{00000000-0005-0000-0000-00000C0F0000}"/>
    <cellStyle name="Normal 2 4 2 3 3 6 3 2" xfId="31664" xr:uid="{2BBB908B-BF98-410B-9B64-66B77A54F7E7}"/>
    <cellStyle name="Normal 2 4 2 3 3 6 3 3" xfId="23223" xr:uid="{0994DAD5-A45E-4D29-BBFC-8A67F1B67C3F}"/>
    <cellStyle name="Normal 2 4 2 3 3 6 3 4" xfId="14782" xr:uid="{D38FDB12-ACCA-4A53-B622-8530F80D4164}"/>
    <cellStyle name="Normal 2 4 2 3 3 6 4" xfId="27446" xr:uid="{5BC63DB7-1DA6-4989-BC8B-628E54D5F32B}"/>
    <cellStyle name="Normal 2 4 2 3 3 6 5" xfId="19005" xr:uid="{D671EC36-5621-4ED3-9DB5-D91AAB0882A3}"/>
    <cellStyle name="Normal 2 4 2 3 3 6 6" xfId="10564" xr:uid="{8E75C022-98A4-4A78-B849-3D0228993831}"/>
    <cellStyle name="Normal 2 4 2 3 3 7" xfId="2462" xr:uid="{00000000-0005-0000-0000-00000D0F0000}"/>
    <cellStyle name="Normal 2 4 2 3 3 7 2" xfId="6745" xr:uid="{00000000-0005-0000-0000-00000E0F0000}"/>
    <cellStyle name="Normal 2 4 2 3 3 7 2 2" xfId="32077" xr:uid="{7803F98E-8285-4B73-86DD-FD7838509087}"/>
    <cellStyle name="Normal 2 4 2 3 3 7 2 3" xfId="23636" xr:uid="{1F79B57D-BD24-4C81-8E87-5E744C31B6BC}"/>
    <cellStyle name="Normal 2 4 2 3 3 7 2 4" xfId="15195" xr:uid="{C8380171-3BD0-4F22-96FB-494A265ADEC7}"/>
    <cellStyle name="Normal 2 4 2 3 3 7 3" xfId="27859" xr:uid="{E8CEC668-CC8C-4C17-944E-A060E164526D}"/>
    <cellStyle name="Normal 2 4 2 3 3 7 4" xfId="19418" xr:uid="{DA3899ED-5CE3-48F4-B75E-868195CB43C4}"/>
    <cellStyle name="Normal 2 4 2 3 3 7 5" xfId="10977" xr:uid="{F57423DF-DA60-474B-82C6-3079D1C3F2BD}"/>
    <cellStyle name="Normal 2 4 2 3 3 8" xfId="4679" xr:uid="{00000000-0005-0000-0000-00000F0F0000}"/>
    <cellStyle name="Normal 2 4 2 3 3 8 2" xfId="30011" xr:uid="{68FACF2C-F238-4E1A-9A79-1EBF7D05C3E6}"/>
    <cellStyle name="Normal 2 4 2 3 3 8 3" xfId="21570" xr:uid="{70B9AB9B-71C2-45AF-AEA5-D84339C3E958}"/>
    <cellStyle name="Normal 2 4 2 3 3 8 4" xfId="13129" xr:uid="{306335FB-2C4E-4C1B-BB76-277B237980E5}"/>
    <cellStyle name="Normal 2 4 2 3 3 9" xfId="25793" xr:uid="{52B621A2-CB3D-4648-84D1-03788CDBE13C}"/>
    <cellStyle name="Normal 2 4 2 3 4" xfId="288" xr:uid="{00000000-0005-0000-0000-0000100F0000}"/>
    <cellStyle name="Normal 2 4 2 3 4 10" xfId="8913" xr:uid="{C008C64C-3BA4-41BC-AFC6-5D7EA9D4066E}"/>
    <cellStyle name="Normal 2 4 2 3 4 2" xfId="779" xr:uid="{00000000-0005-0000-0000-0000110F0000}"/>
    <cellStyle name="Normal 2 4 2 3 4 2 2" xfId="3018" xr:uid="{00000000-0005-0000-0000-0000120F0000}"/>
    <cellStyle name="Normal 2 4 2 3 4 2 2 2" xfId="7240" xr:uid="{00000000-0005-0000-0000-0000130F0000}"/>
    <cellStyle name="Normal 2 4 2 3 4 2 2 2 2" xfId="32572" xr:uid="{B2ABC35C-C8A8-43DE-BABC-77C842E2C7C2}"/>
    <cellStyle name="Normal 2 4 2 3 4 2 2 2 3" xfId="24131" xr:uid="{9685CAA5-C87F-4E4F-BFDA-819ACFC2EF65}"/>
    <cellStyle name="Normal 2 4 2 3 4 2 2 2 4" xfId="15690" xr:uid="{71111CC3-049E-407B-AD0B-F03CEABB8A5D}"/>
    <cellStyle name="Normal 2 4 2 3 4 2 2 3" xfId="28354" xr:uid="{08F2C0F8-51AC-49FF-B78F-A2E6CD17E5BB}"/>
    <cellStyle name="Normal 2 4 2 3 4 2 2 4" xfId="19913" xr:uid="{0BB057F0-33C4-4725-B33C-AAF7DA8B9D3F}"/>
    <cellStyle name="Normal 2 4 2 3 4 2 2 5" xfId="11472" xr:uid="{040F4AE7-FA9F-498F-8EA8-A128500A2A13}"/>
    <cellStyle name="Normal 2 4 2 3 4 2 3" xfId="5095" xr:uid="{00000000-0005-0000-0000-0000140F0000}"/>
    <cellStyle name="Normal 2 4 2 3 4 2 3 2" xfId="30427" xr:uid="{4827B767-6652-49C0-A660-4490C36DA2DE}"/>
    <cellStyle name="Normal 2 4 2 3 4 2 3 3" xfId="21986" xr:uid="{7CD81763-BBD1-48F0-88DC-2FAB05367454}"/>
    <cellStyle name="Normal 2 4 2 3 4 2 3 4" xfId="13545" xr:uid="{BD0B689D-0FC8-43AE-A00D-11B39B81DF9D}"/>
    <cellStyle name="Normal 2 4 2 3 4 2 4" xfId="26209" xr:uid="{D02B21DC-7DAD-4E67-ACF8-701B16BECCA2}"/>
    <cellStyle name="Normal 2 4 2 3 4 2 5" xfId="17768" xr:uid="{919F8C04-6015-4731-80EC-82103CFADA95}"/>
    <cellStyle name="Normal 2 4 2 3 4 2 6" xfId="9327" xr:uid="{EA2B552C-56AD-4897-9D65-A14449A80999}"/>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2 2 2" xfId="32985" xr:uid="{1A39E42F-71AC-486D-B055-4604246DC722}"/>
    <cellStyle name="Normal 2 4 2 3 4 3 2 2 3" xfId="24544" xr:uid="{C6904A83-8A25-45F0-94E0-D46D05DA91C0}"/>
    <cellStyle name="Normal 2 4 2 3 4 3 2 2 4" xfId="16103" xr:uid="{A74161EE-4CED-47F3-B86A-7FF1CA3950A3}"/>
    <cellStyle name="Normal 2 4 2 3 4 3 2 3" xfId="28767" xr:uid="{784CC149-CE68-4707-9701-6ED5A7DE13BF}"/>
    <cellStyle name="Normal 2 4 2 3 4 3 2 4" xfId="20326" xr:uid="{50849C9C-A608-4DB5-9188-DF40FD3985B9}"/>
    <cellStyle name="Normal 2 4 2 3 4 3 2 5" xfId="11885" xr:uid="{17FA1909-C320-4E1E-AB77-4BCB48F1DDB6}"/>
    <cellStyle name="Normal 2 4 2 3 4 3 3" xfId="5508" xr:uid="{00000000-0005-0000-0000-0000180F0000}"/>
    <cellStyle name="Normal 2 4 2 3 4 3 3 2" xfId="30840" xr:uid="{409C10D4-5265-495E-95A5-20F5F8D71553}"/>
    <cellStyle name="Normal 2 4 2 3 4 3 3 3" xfId="22399" xr:uid="{A88183FB-6D89-4908-B9AB-97950EF7C65D}"/>
    <cellStyle name="Normal 2 4 2 3 4 3 3 4" xfId="13958" xr:uid="{DA3AB5F2-DF6B-4325-B15E-9BE25DFD97F4}"/>
    <cellStyle name="Normal 2 4 2 3 4 3 4" xfId="26622" xr:uid="{0CA31B48-8159-4429-BD14-EFE6D461DE83}"/>
    <cellStyle name="Normal 2 4 2 3 4 3 5" xfId="18181" xr:uid="{934FD121-81EC-4F76-9363-DA497EB488CA}"/>
    <cellStyle name="Normal 2 4 2 3 4 3 6" xfId="9740" xr:uid="{2579DBDD-6546-426F-8422-3564498D1129}"/>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2 2 2" xfId="33398" xr:uid="{E202C38E-C65D-4EC2-B8DA-4F409EE4A0D0}"/>
    <cellStyle name="Normal 2 4 2 3 4 4 2 2 3" xfId="24957" xr:uid="{0057DE97-3E05-4858-8AE3-2BEF495716C6}"/>
    <cellStyle name="Normal 2 4 2 3 4 4 2 2 4" xfId="16516" xr:uid="{4432266E-27B9-4874-848F-2DDBE3E77EC1}"/>
    <cellStyle name="Normal 2 4 2 3 4 4 2 3" xfId="29180" xr:uid="{7A2552E4-D6E1-4E74-8174-CFD5B640706F}"/>
    <cellStyle name="Normal 2 4 2 3 4 4 2 4" xfId="20739" xr:uid="{54EF70BD-BEB4-44A6-95F9-EE774BB6B06E}"/>
    <cellStyle name="Normal 2 4 2 3 4 4 2 5" xfId="12298" xr:uid="{7981B861-1210-4105-876A-B5030D652E9E}"/>
    <cellStyle name="Normal 2 4 2 3 4 4 3" xfId="5921" xr:uid="{00000000-0005-0000-0000-00001C0F0000}"/>
    <cellStyle name="Normal 2 4 2 3 4 4 3 2" xfId="31253" xr:uid="{F2CD8CBD-0482-4189-B7BA-B2E5616526F3}"/>
    <cellStyle name="Normal 2 4 2 3 4 4 3 3" xfId="22812" xr:uid="{51C871F3-E684-4F8E-9942-EA2BDECA36FF}"/>
    <cellStyle name="Normal 2 4 2 3 4 4 3 4" xfId="14371" xr:uid="{FF60B3EB-3685-43B5-B35C-F7425BF864DF}"/>
    <cellStyle name="Normal 2 4 2 3 4 4 4" xfId="27035" xr:uid="{757050B8-993B-4D1F-9CF9-3E94D7985689}"/>
    <cellStyle name="Normal 2 4 2 3 4 4 5" xfId="18594" xr:uid="{F2B676B2-3F61-41E0-8E32-E6A4F44B5DC0}"/>
    <cellStyle name="Normal 2 4 2 3 4 4 6" xfId="10153" xr:uid="{3158F95C-8366-4300-A0E0-E0904AA751E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2 2 2" xfId="33811" xr:uid="{F5137976-C5C3-4F8C-A11E-58DFA8267ADD}"/>
    <cellStyle name="Normal 2 4 2 3 4 5 2 2 3" xfId="25370" xr:uid="{E5F15C2A-3CC5-4526-B8CF-27FB3CE561D8}"/>
    <cellStyle name="Normal 2 4 2 3 4 5 2 2 4" xfId="16929" xr:uid="{10B07C72-5429-4A23-8CB4-73E359892378}"/>
    <cellStyle name="Normal 2 4 2 3 4 5 2 3" xfId="29593" xr:uid="{2D89E93D-7EF2-4110-A921-A33F4BAE5F9C}"/>
    <cellStyle name="Normal 2 4 2 3 4 5 2 4" xfId="21152" xr:uid="{11970E4B-F491-4D41-B6F8-ACF0E7A8158C}"/>
    <cellStyle name="Normal 2 4 2 3 4 5 2 5" xfId="12711" xr:uid="{9AC74B97-F661-4153-BB6B-E73E0DDC69BC}"/>
    <cellStyle name="Normal 2 4 2 3 4 5 3" xfId="6334" xr:uid="{00000000-0005-0000-0000-0000200F0000}"/>
    <cellStyle name="Normal 2 4 2 3 4 5 3 2" xfId="31666" xr:uid="{D25B348B-FD84-4C47-A581-EC09F5D9F216}"/>
    <cellStyle name="Normal 2 4 2 3 4 5 3 3" xfId="23225" xr:uid="{8634F48D-E230-4677-AB17-745F3B5F420D}"/>
    <cellStyle name="Normal 2 4 2 3 4 5 3 4" xfId="14784" xr:uid="{4A341C3F-5136-4A60-AD2B-04AEE976736B}"/>
    <cellStyle name="Normal 2 4 2 3 4 5 4" xfId="27448" xr:uid="{2D377143-5903-41B6-9B71-BE1ACFD8BAD9}"/>
    <cellStyle name="Normal 2 4 2 3 4 5 5" xfId="19007" xr:uid="{6794D197-31C1-4271-9024-A365DBDA447C}"/>
    <cellStyle name="Normal 2 4 2 3 4 5 6" xfId="10566" xr:uid="{75D1CAA3-EC0B-4CF4-B2D9-1477FB93ADA7}"/>
    <cellStyle name="Normal 2 4 2 3 4 6" xfId="2464" xr:uid="{00000000-0005-0000-0000-0000210F0000}"/>
    <cellStyle name="Normal 2 4 2 3 4 6 2" xfId="6747" xr:uid="{00000000-0005-0000-0000-0000220F0000}"/>
    <cellStyle name="Normal 2 4 2 3 4 6 2 2" xfId="32079" xr:uid="{AA9DEA91-F1E1-45E3-9249-20B648477910}"/>
    <cellStyle name="Normal 2 4 2 3 4 6 2 3" xfId="23638" xr:uid="{10EF36FC-6744-4527-AC6C-9DFFAF8112E3}"/>
    <cellStyle name="Normal 2 4 2 3 4 6 2 4" xfId="15197" xr:uid="{F4D69B09-9BAB-45EE-8BD1-21E083C32336}"/>
    <cellStyle name="Normal 2 4 2 3 4 6 3" xfId="27861" xr:uid="{6ED9079D-822E-429A-A31D-00AC675239E6}"/>
    <cellStyle name="Normal 2 4 2 3 4 6 4" xfId="19420" xr:uid="{ECBAD176-DB31-455C-8619-7CFD92949C79}"/>
    <cellStyle name="Normal 2 4 2 3 4 6 5" xfId="10979" xr:uid="{EE611B49-BF23-4860-A3B2-6BC01EA884F3}"/>
    <cellStyle name="Normal 2 4 2 3 4 7" xfId="4681" xr:uid="{00000000-0005-0000-0000-0000230F0000}"/>
    <cellStyle name="Normal 2 4 2 3 4 7 2" xfId="30013" xr:uid="{F40CD2F0-9F4C-464D-87F2-30FA1892E89D}"/>
    <cellStyle name="Normal 2 4 2 3 4 7 3" xfId="21572" xr:uid="{A4046351-09FF-44AD-97C8-9ACAC864A167}"/>
    <cellStyle name="Normal 2 4 2 3 4 7 4" xfId="13131" xr:uid="{171BA785-45B4-4BD1-AFE4-2BEDC9900DC3}"/>
    <cellStyle name="Normal 2 4 2 3 4 8" xfId="25795" xr:uid="{926E9149-32F1-4DF6-8B0A-68E732442967}"/>
    <cellStyle name="Normal 2 4 2 3 4 9" xfId="17354" xr:uid="{9D410B16-A5E8-4711-A306-7832B25A5A97}"/>
    <cellStyle name="Normal 2 4 2 3 5" xfId="772" xr:uid="{00000000-0005-0000-0000-0000240F0000}"/>
    <cellStyle name="Normal 2 4 2 3 5 2" xfId="3011" xr:uid="{00000000-0005-0000-0000-0000250F0000}"/>
    <cellStyle name="Normal 2 4 2 3 5 2 2" xfId="7233" xr:uid="{00000000-0005-0000-0000-0000260F0000}"/>
    <cellStyle name="Normal 2 4 2 3 5 2 2 2" xfId="32565" xr:uid="{554080E2-F579-400A-8585-9E3073E47E41}"/>
    <cellStyle name="Normal 2 4 2 3 5 2 2 3" xfId="24124" xr:uid="{2865913E-1FB6-4488-9A85-09E3ACDBA42C}"/>
    <cellStyle name="Normal 2 4 2 3 5 2 2 4" xfId="15683" xr:uid="{F685CEE0-956A-4E18-B6C6-6DBAA03BB694}"/>
    <cellStyle name="Normal 2 4 2 3 5 2 3" xfId="28347" xr:uid="{33530626-14AE-403A-B507-75DAFDF2812B}"/>
    <cellStyle name="Normal 2 4 2 3 5 2 4" xfId="19906" xr:uid="{6279FB25-4AD0-4554-9959-B171CFBEE818}"/>
    <cellStyle name="Normal 2 4 2 3 5 2 5" xfId="11465" xr:uid="{FB94898A-90DC-4730-BE5D-882767741321}"/>
    <cellStyle name="Normal 2 4 2 3 5 3" xfId="5088" xr:uid="{00000000-0005-0000-0000-0000270F0000}"/>
    <cellStyle name="Normal 2 4 2 3 5 3 2" xfId="30420" xr:uid="{53149008-E659-462A-8CD6-C6C42B0344AF}"/>
    <cellStyle name="Normal 2 4 2 3 5 3 3" xfId="21979" xr:uid="{192D0EEE-61B7-426B-871A-8BEB095E8716}"/>
    <cellStyle name="Normal 2 4 2 3 5 3 4" xfId="13538" xr:uid="{0A584F13-4DE1-4327-AEBF-CCECED219513}"/>
    <cellStyle name="Normal 2 4 2 3 5 4" xfId="26202" xr:uid="{D2A925FC-73C6-4934-84F0-E4E719DDE3EE}"/>
    <cellStyle name="Normal 2 4 2 3 5 5" xfId="17761" xr:uid="{2D034940-2E13-437D-8F3C-AB0542E78BC7}"/>
    <cellStyle name="Normal 2 4 2 3 5 6" xfId="9320" xr:uid="{C8487F21-3ED6-4BEA-A3E8-D90EC78D77A8}"/>
    <cellStyle name="Normal 2 4 2 3 6" xfId="1194" xr:uid="{00000000-0005-0000-0000-0000280F0000}"/>
    <cellStyle name="Normal 2 4 2 3 6 2" xfId="3424" xr:uid="{00000000-0005-0000-0000-0000290F0000}"/>
    <cellStyle name="Normal 2 4 2 3 6 2 2" xfId="7646" xr:uid="{00000000-0005-0000-0000-00002A0F0000}"/>
    <cellStyle name="Normal 2 4 2 3 6 2 2 2" xfId="32978" xr:uid="{BE082C81-A6C9-4424-91C3-020C5E07E4B7}"/>
    <cellStyle name="Normal 2 4 2 3 6 2 2 3" xfId="24537" xr:uid="{ACA71C60-7B9A-4AD6-9C32-D61C5C2F006B}"/>
    <cellStyle name="Normal 2 4 2 3 6 2 2 4" xfId="16096" xr:uid="{957294FF-ACD9-4BBB-9C40-2856927F0931}"/>
    <cellStyle name="Normal 2 4 2 3 6 2 3" xfId="28760" xr:uid="{B2DA4D3E-0C28-4C43-A110-09AFFF3C8C24}"/>
    <cellStyle name="Normal 2 4 2 3 6 2 4" xfId="20319" xr:uid="{E8F15809-891F-4BD1-A1A7-75DDA8AC3550}"/>
    <cellStyle name="Normal 2 4 2 3 6 2 5" xfId="11878" xr:uid="{5F6DD5F9-0CE1-4835-A0F1-98535E8C689A}"/>
    <cellStyle name="Normal 2 4 2 3 6 3" xfId="5501" xr:uid="{00000000-0005-0000-0000-00002B0F0000}"/>
    <cellStyle name="Normal 2 4 2 3 6 3 2" xfId="30833" xr:uid="{BDA1FF20-C0B5-4A38-8884-FB2B47AFE096}"/>
    <cellStyle name="Normal 2 4 2 3 6 3 3" xfId="22392" xr:uid="{F3A41D81-71F1-41F6-894B-06E8FEBE7429}"/>
    <cellStyle name="Normal 2 4 2 3 6 3 4" xfId="13951" xr:uid="{654EB27A-D257-4675-9EE2-E86CB44EC92E}"/>
    <cellStyle name="Normal 2 4 2 3 6 4" xfId="26615" xr:uid="{D7F392E3-5B93-45AA-AC84-ACAA8858E383}"/>
    <cellStyle name="Normal 2 4 2 3 6 5" xfId="18174" xr:uid="{42B28A3F-9A09-4D2E-A83C-8DBCF96C6722}"/>
    <cellStyle name="Normal 2 4 2 3 6 6" xfId="9733" xr:uid="{534D5766-14C0-41C9-902A-FAFF0B9BC686}"/>
    <cellStyle name="Normal 2 4 2 3 7" xfId="1607" xr:uid="{00000000-0005-0000-0000-00002C0F0000}"/>
    <cellStyle name="Normal 2 4 2 3 7 2" xfId="3837" xr:uid="{00000000-0005-0000-0000-00002D0F0000}"/>
    <cellStyle name="Normal 2 4 2 3 7 2 2" xfId="8059" xr:uid="{00000000-0005-0000-0000-00002E0F0000}"/>
    <cellStyle name="Normal 2 4 2 3 7 2 2 2" xfId="33391" xr:uid="{B8C2F8DD-44A9-400A-8AFA-6EE9AB2AF4E3}"/>
    <cellStyle name="Normal 2 4 2 3 7 2 2 3" xfId="24950" xr:uid="{28BA34F0-B4AB-40BD-9D48-449BCD80B678}"/>
    <cellStyle name="Normal 2 4 2 3 7 2 2 4" xfId="16509" xr:uid="{19193CC5-921B-49BE-BF51-95A6251604BD}"/>
    <cellStyle name="Normal 2 4 2 3 7 2 3" xfId="29173" xr:uid="{4E9241E0-6334-4096-9311-5D28243530CB}"/>
    <cellStyle name="Normal 2 4 2 3 7 2 4" xfId="20732" xr:uid="{5C538353-E8AA-4412-B65E-646BAF1702C7}"/>
    <cellStyle name="Normal 2 4 2 3 7 2 5" xfId="12291" xr:uid="{C257AB28-C195-4F07-885F-384DFC34EB13}"/>
    <cellStyle name="Normal 2 4 2 3 7 3" xfId="5914" xr:uid="{00000000-0005-0000-0000-00002F0F0000}"/>
    <cellStyle name="Normal 2 4 2 3 7 3 2" xfId="31246" xr:uid="{3229A892-7E3B-405A-9167-A411C9DBFD57}"/>
    <cellStyle name="Normal 2 4 2 3 7 3 3" xfId="22805" xr:uid="{8072785D-5C79-4F8F-AF92-F353C4BDB990}"/>
    <cellStyle name="Normal 2 4 2 3 7 3 4" xfId="14364" xr:uid="{34A8BC27-7F32-4F5D-B9B1-B6009AAB9570}"/>
    <cellStyle name="Normal 2 4 2 3 7 4" xfId="27028" xr:uid="{CDB0042D-C9CF-42BD-A357-8B215C36E700}"/>
    <cellStyle name="Normal 2 4 2 3 7 5" xfId="18587" xr:uid="{4C269F1B-A8D2-4368-8B5D-533ADB14A1E5}"/>
    <cellStyle name="Normal 2 4 2 3 7 6" xfId="10146" xr:uid="{1DCC47A7-D65A-4E78-9EC7-839432F4399B}"/>
    <cellStyle name="Normal 2 4 2 3 8" xfId="2021" xr:uid="{00000000-0005-0000-0000-0000300F0000}"/>
    <cellStyle name="Normal 2 4 2 3 8 2" xfId="4250" xr:uid="{00000000-0005-0000-0000-0000310F0000}"/>
    <cellStyle name="Normal 2 4 2 3 8 2 2" xfId="8472" xr:uid="{00000000-0005-0000-0000-0000320F0000}"/>
    <cellStyle name="Normal 2 4 2 3 8 2 2 2" xfId="33804" xr:uid="{274B951C-B702-4AC5-AF0E-CEFF11482092}"/>
    <cellStyle name="Normal 2 4 2 3 8 2 2 3" xfId="25363" xr:uid="{3F4BEED8-E9C1-4944-9078-52921D3E5ABB}"/>
    <cellStyle name="Normal 2 4 2 3 8 2 2 4" xfId="16922" xr:uid="{A0D975BE-8417-45DC-AB03-92468A812D27}"/>
    <cellStyle name="Normal 2 4 2 3 8 2 3" xfId="29586" xr:uid="{DF2D9F97-7EB3-4511-93CF-B9C3F03AFDB6}"/>
    <cellStyle name="Normal 2 4 2 3 8 2 4" xfId="21145" xr:uid="{3FF0D2CD-974B-4188-97F6-38D41720B2A2}"/>
    <cellStyle name="Normal 2 4 2 3 8 2 5" xfId="12704" xr:uid="{8C786B99-F38D-4EA4-B151-58C177279D48}"/>
    <cellStyle name="Normal 2 4 2 3 8 3" xfId="6327" xr:uid="{00000000-0005-0000-0000-0000330F0000}"/>
    <cellStyle name="Normal 2 4 2 3 8 3 2" xfId="31659" xr:uid="{905BEF46-A134-4CD9-A2B5-7ABC6B110F7A}"/>
    <cellStyle name="Normal 2 4 2 3 8 3 3" xfId="23218" xr:uid="{8722EBE6-6622-43FE-8224-90B3721535ED}"/>
    <cellStyle name="Normal 2 4 2 3 8 3 4" xfId="14777" xr:uid="{9432375C-B7B0-4FE5-BDD6-99A8B055D8EF}"/>
    <cellStyle name="Normal 2 4 2 3 8 4" xfId="27441" xr:uid="{815CC61C-0F8F-45F2-8F6A-B4CF15D7E010}"/>
    <cellStyle name="Normal 2 4 2 3 8 5" xfId="19000" xr:uid="{1262FD58-7518-4915-8D45-1D1F2B77FB09}"/>
    <cellStyle name="Normal 2 4 2 3 8 6" xfId="10559" xr:uid="{81C54EB4-747A-4EBE-856E-7C254C949988}"/>
    <cellStyle name="Normal 2 4 2 3 9" xfId="2457" xr:uid="{00000000-0005-0000-0000-0000340F0000}"/>
    <cellStyle name="Normal 2 4 2 3 9 2" xfId="6740" xr:uid="{00000000-0005-0000-0000-0000350F0000}"/>
    <cellStyle name="Normal 2 4 2 3 9 2 2" xfId="32072" xr:uid="{CAF1BFD5-E886-4A50-89CC-7CA301129CEC}"/>
    <cellStyle name="Normal 2 4 2 3 9 2 3" xfId="23631" xr:uid="{BE3F1E7B-B29B-4AE9-8AF6-D0AD8B9D92F9}"/>
    <cellStyle name="Normal 2 4 2 3 9 2 4" xfId="15190" xr:uid="{653A2A07-043A-40B5-8F6C-88CB3B24F18E}"/>
    <cellStyle name="Normal 2 4 2 3 9 3" xfId="27854" xr:uid="{3FE11DC5-1E1F-4697-A73C-313F73BC7B09}"/>
    <cellStyle name="Normal 2 4 2 3 9 4" xfId="19413" xr:uid="{07B1867E-5451-4E4E-A93D-A5D545D5C255}"/>
    <cellStyle name="Normal 2 4 2 3 9 5" xfId="10972" xr:uid="{3B87889F-33DD-40D4-A419-AC9E4D59E8C7}"/>
    <cellStyle name="Normal 2 4 2 4" xfId="289" xr:uid="{00000000-0005-0000-0000-0000360F0000}"/>
    <cellStyle name="Normal 2 4 2 4 10" xfId="25796" xr:uid="{84A895E8-21CA-4241-AEA3-09D8BB1CA1B7}"/>
    <cellStyle name="Normal 2 4 2 4 11" xfId="17355" xr:uid="{D26DF72E-FF66-47B3-8C1F-6F31A650A54E}"/>
    <cellStyle name="Normal 2 4 2 4 12" xfId="8914" xr:uid="{0E8CD6D1-74C7-4A86-A02B-80372B31E2C3}"/>
    <cellStyle name="Normal 2 4 2 4 2" xfId="290" xr:uid="{00000000-0005-0000-0000-0000370F0000}"/>
    <cellStyle name="Normal 2 4 2 4 2 10" xfId="17356" xr:uid="{315F5323-B893-4EE3-8294-43FB58BE0BD6}"/>
    <cellStyle name="Normal 2 4 2 4 2 11" xfId="8915" xr:uid="{31FF54B1-A0AC-4FF2-AB8F-9E29895AD00C}"/>
    <cellStyle name="Normal 2 4 2 4 2 2" xfId="291" xr:uid="{00000000-0005-0000-0000-0000380F0000}"/>
    <cellStyle name="Normal 2 4 2 4 2 2 10" xfId="8916" xr:uid="{D163D483-06CB-4D9B-B495-3BE2A2FC6204}"/>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2 2 2" xfId="32575" xr:uid="{E208442F-C35C-420F-8F8B-11EF5E6EE8BA}"/>
    <cellStyle name="Normal 2 4 2 4 2 2 2 2 2 3" xfId="24134" xr:uid="{549BDC12-5FB4-4578-A1B7-F965E42287AC}"/>
    <cellStyle name="Normal 2 4 2 4 2 2 2 2 2 4" xfId="15693" xr:uid="{D3B5F485-14F8-4996-BCAF-9E5F546DA067}"/>
    <cellStyle name="Normal 2 4 2 4 2 2 2 2 3" xfId="28357" xr:uid="{F21808E0-595B-4499-90EC-E0F27CC48438}"/>
    <cellStyle name="Normal 2 4 2 4 2 2 2 2 4" xfId="19916" xr:uid="{470FF32C-D00C-4F2F-B5EB-798B29900624}"/>
    <cellStyle name="Normal 2 4 2 4 2 2 2 2 5" xfId="11475" xr:uid="{64205EE1-F0C1-45DB-8FA7-AD58A44392E0}"/>
    <cellStyle name="Normal 2 4 2 4 2 2 2 3" xfId="5098" xr:uid="{00000000-0005-0000-0000-00003C0F0000}"/>
    <cellStyle name="Normal 2 4 2 4 2 2 2 3 2" xfId="30430" xr:uid="{EBC57F88-2BD2-4D63-AF1B-EF1B2EAC1954}"/>
    <cellStyle name="Normal 2 4 2 4 2 2 2 3 3" xfId="21989" xr:uid="{B65C0A21-EA0A-4CA7-BC35-ADC28A581A27}"/>
    <cellStyle name="Normal 2 4 2 4 2 2 2 3 4" xfId="13548" xr:uid="{C8029520-65BE-4278-A94F-5F69799DF8C2}"/>
    <cellStyle name="Normal 2 4 2 4 2 2 2 4" xfId="26212" xr:uid="{66C94F18-A1BD-48AC-9FDA-E5E9D22BC427}"/>
    <cellStyle name="Normal 2 4 2 4 2 2 2 5" xfId="17771" xr:uid="{630CAC2C-1AA3-49FE-9ED2-00A3D61DBF26}"/>
    <cellStyle name="Normal 2 4 2 4 2 2 2 6" xfId="9330" xr:uid="{B5536797-E6C7-4B8A-8252-AE5C8CE24BD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2 2 2" xfId="32988" xr:uid="{698CDDA4-0FBD-45B8-9355-EF90C90F887E}"/>
    <cellStyle name="Normal 2 4 2 4 2 2 3 2 2 3" xfId="24547" xr:uid="{5998DE3B-5702-4935-9FE4-A89C82C2C165}"/>
    <cellStyle name="Normal 2 4 2 4 2 2 3 2 2 4" xfId="16106" xr:uid="{5433D57F-6AC3-484F-AEBB-6F02FD53EFA3}"/>
    <cellStyle name="Normal 2 4 2 4 2 2 3 2 3" xfId="28770" xr:uid="{967E901A-2A9B-47B3-B910-2AE5D196D26A}"/>
    <cellStyle name="Normal 2 4 2 4 2 2 3 2 4" xfId="20329" xr:uid="{A2B4A0EC-E130-43AC-B299-242B091970B0}"/>
    <cellStyle name="Normal 2 4 2 4 2 2 3 2 5" xfId="11888" xr:uid="{1088F2F8-ECF4-4A92-A8F5-ED3371CC3FEA}"/>
    <cellStyle name="Normal 2 4 2 4 2 2 3 3" xfId="5511" xr:uid="{00000000-0005-0000-0000-0000400F0000}"/>
    <cellStyle name="Normal 2 4 2 4 2 2 3 3 2" xfId="30843" xr:uid="{67426972-4D02-4627-9065-6AEAE87160A9}"/>
    <cellStyle name="Normal 2 4 2 4 2 2 3 3 3" xfId="22402" xr:uid="{6ACAEECE-8061-42D8-B7D4-4113B304DF72}"/>
    <cellStyle name="Normal 2 4 2 4 2 2 3 3 4" xfId="13961" xr:uid="{D4492195-6752-4607-B18A-07BB784BF592}"/>
    <cellStyle name="Normal 2 4 2 4 2 2 3 4" xfId="26625" xr:uid="{D5FBB1DC-19BE-4907-828E-FE02FE85F643}"/>
    <cellStyle name="Normal 2 4 2 4 2 2 3 5" xfId="18184" xr:uid="{D6C28DD2-67A9-4787-8949-0CBBE1E7482B}"/>
    <cellStyle name="Normal 2 4 2 4 2 2 3 6" xfId="9743" xr:uid="{2AF04DC9-871A-448D-AC7A-0C989FA92955}"/>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2 2 2" xfId="33401" xr:uid="{9D7997BC-DBE9-4113-8200-F57EE1F44431}"/>
    <cellStyle name="Normal 2 4 2 4 2 2 4 2 2 3" xfId="24960" xr:uid="{5C7F6C1F-A7AB-4219-8C8D-8A089E66EEF6}"/>
    <cellStyle name="Normal 2 4 2 4 2 2 4 2 2 4" xfId="16519" xr:uid="{7642E599-D2CC-4B5E-A76A-CDC2F58EA52F}"/>
    <cellStyle name="Normal 2 4 2 4 2 2 4 2 3" xfId="29183" xr:uid="{DDFB4F5E-7699-4A8C-ACFC-61E290DF778A}"/>
    <cellStyle name="Normal 2 4 2 4 2 2 4 2 4" xfId="20742" xr:uid="{FCF2677B-179B-4413-8EA4-73AA6FAB6511}"/>
    <cellStyle name="Normal 2 4 2 4 2 2 4 2 5" xfId="12301" xr:uid="{9B7025AF-6600-4244-A774-5800C5915948}"/>
    <cellStyle name="Normal 2 4 2 4 2 2 4 3" xfId="5924" xr:uid="{00000000-0005-0000-0000-0000440F0000}"/>
    <cellStyle name="Normal 2 4 2 4 2 2 4 3 2" xfId="31256" xr:uid="{E4C6992B-BE90-4D78-A20B-2CDA0D6AF165}"/>
    <cellStyle name="Normal 2 4 2 4 2 2 4 3 3" xfId="22815" xr:uid="{4C52C0E5-3FD8-4A44-9622-3C2CA70086A4}"/>
    <cellStyle name="Normal 2 4 2 4 2 2 4 3 4" xfId="14374" xr:uid="{46689A07-1C36-4469-A8CF-A1343438F6E5}"/>
    <cellStyle name="Normal 2 4 2 4 2 2 4 4" xfId="27038" xr:uid="{6F8F3202-3EDE-4414-B4AA-2FAE570625D5}"/>
    <cellStyle name="Normal 2 4 2 4 2 2 4 5" xfId="18597" xr:uid="{D7C9C6A0-FCD3-40C6-8B92-FFDC52B1B508}"/>
    <cellStyle name="Normal 2 4 2 4 2 2 4 6" xfId="10156" xr:uid="{8F0C6EBE-C725-4FD6-9EEE-87C41FE3685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2 2 2" xfId="33814" xr:uid="{5276F59F-9A4D-4EF4-878E-F6850B30E207}"/>
    <cellStyle name="Normal 2 4 2 4 2 2 5 2 2 3" xfId="25373" xr:uid="{AFE76716-4808-466F-9DAD-691DCA48F49C}"/>
    <cellStyle name="Normal 2 4 2 4 2 2 5 2 2 4" xfId="16932" xr:uid="{C58EBB98-642E-49AC-AE1C-88483F4DC9F2}"/>
    <cellStyle name="Normal 2 4 2 4 2 2 5 2 3" xfId="29596" xr:uid="{D2FE1301-62F1-460D-9FEF-69A2542DD0A5}"/>
    <cellStyle name="Normal 2 4 2 4 2 2 5 2 4" xfId="21155" xr:uid="{B73FFF4C-30FB-4517-AA57-EBF6DB9349FE}"/>
    <cellStyle name="Normal 2 4 2 4 2 2 5 2 5" xfId="12714" xr:uid="{EDA583AA-443B-4192-BD06-2FE0033DE1B2}"/>
    <cellStyle name="Normal 2 4 2 4 2 2 5 3" xfId="6337" xr:uid="{00000000-0005-0000-0000-0000480F0000}"/>
    <cellStyle name="Normal 2 4 2 4 2 2 5 3 2" xfId="31669" xr:uid="{0E6C5B31-3700-47BF-83F7-30C856EBF852}"/>
    <cellStyle name="Normal 2 4 2 4 2 2 5 3 3" xfId="23228" xr:uid="{49BCAC36-6168-4B96-B9CF-58517279F1F6}"/>
    <cellStyle name="Normal 2 4 2 4 2 2 5 3 4" xfId="14787" xr:uid="{3121AD03-0128-4BFB-9477-868020706A00}"/>
    <cellStyle name="Normal 2 4 2 4 2 2 5 4" xfId="27451" xr:uid="{B22273C7-51F0-4E2C-9CAB-8186B8FA60F8}"/>
    <cellStyle name="Normal 2 4 2 4 2 2 5 5" xfId="19010" xr:uid="{ECFC65E3-63B6-42BC-8DD3-C0639387B58F}"/>
    <cellStyle name="Normal 2 4 2 4 2 2 5 6" xfId="10569" xr:uid="{E831FD14-683C-4CC8-B4CF-47BBF0246B7A}"/>
    <cellStyle name="Normal 2 4 2 4 2 2 6" xfId="2467" xr:uid="{00000000-0005-0000-0000-0000490F0000}"/>
    <cellStyle name="Normal 2 4 2 4 2 2 6 2" xfId="6750" xr:uid="{00000000-0005-0000-0000-00004A0F0000}"/>
    <cellStyle name="Normal 2 4 2 4 2 2 6 2 2" xfId="32082" xr:uid="{D80AFB33-D69B-46CB-A4E6-A1349566F36A}"/>
    <cellStyle name="Normal 2 4 2 4 2 2 6 2 3" xfId="23641" xr:uid="{418E3021-E7E0-4C8E-A805-5C5E76D14AB1}"/>
    <cellStyle name="Normal 2 4 2 4 2 2 6 2 4" xfId="15200" xr:uid="{A4C0A42F-6597-4FD3-9CF3-61EC70B07A6B}"/>
    <cellStyle name="Normal 2 4 2 4 2 2 6 3" xfId="27864" xr:uid="{C977A170-512B-4AF8-8D7B-5A59028BCC70}"/>
    <cellStyle name="Normal 2 4 2 4 2 2 6 4" xfId="19423" xr:uid="{907D162A-E8A7-42A3-8F85-E89DE28E22FA}"/>
    <cellStyle name="Normal 2 4 2 4 2 2 6 5" xfId="10982" xr:uid="{F0FC1B70-1034-4EF3-B846-461F676A81D4}"/>
    <cellStyle name="Normal 2 4 2 4 2 2 7" xfId="4684" xr:uid="{00000000-0005-0000-0000-00004B0F0000}"/>
    <cellStyle name="Normal 2 4 2 4 2 2 7 2" xfId="30016" xr:uid="{FFE12A34-38C2-4343-8C5D-72AF636529A7}"/>
    <cellStyle name="Normal 2 4 2 4 2 2 7 3" xfId="21575" xr:uid="{5784FA03-1BDE-4C3F-B568-166FD631157C}"/>
    <cellStyle name="Normal 2 4 2 4 2 2 7 4" xfId="13134" xr:uid="{C07CFDDD-635C-4667-895F-D6441BF15CC2}"/>
    <cellStyle name="Normal 2 4 2 4 2 2 8" xfId="25798" xr:uid="{4D3C0918-1122-4C86-946F-0BDA6785947F}"/>
    <cellStyle name="Normal 2 4 2 4 2 2 9" xfId="17357" xr:uid="{EF11EE06-38E2-4925-88FB-5AFA22A3662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2 2 2" xfId="32574" xr:uid="{D352A50C-FD3C-40DA-8DF9-85F7B4F46C11}"/>
    <cellStyle name="Normal 2 4 2 4 2 3 2 2 3" xfId="24133" xr:uid="{F2D4B641-0F13-4A59-B20D-E34F9FB7CAB2}"/>
    <cellStyle name="Normal 2 4 2 4 2 3 2 2 4" xfId="15692" xr:uid="{67721284-DE25-4DD8-A6E3-1653BAED782A}"/>
    <cellStyle name="Normal 2 4 2 4 2 3 2 3" xfId="28356" xr:uid="{8678EC18-D83F-4737-B0D3-62ADA5FD7052}"/>
    <cellStyle name="Normal 2 4 2 4 2 3 2 4" xfId="19915" xr:uid="{DC5E724E-BF4C-44DB-836D-ABABC1889E17}"/>
    <cellStyle name="Normal 2 4 2 4 2 3 2 5" xfId="11474" xr:uid="{3739CC18-5C4E-4A2C-9B92-26D4CD802A65}"/>
    <cellStyle name="Normal 2 4 2 4 2 3 3" xfId="5097" xr:uid="{00000000-0005-0000-0000-00004F0F0000}"/>
    <cellStyle name="Normal 2 4 2 4 2 3 3 2" xfId="30429" xr:uid="{457250C6-D458-4206-815D-5DD3FAF721D1}"/>
    <cellStyle name="Normal 2 4 2 4 2 3 3 3" xfId="21988" xr:uid="{1806344D-5F20-4E1E-A644-E65CED96794D}"/>
    <cellStyle name="Normal 2 4 2 4 2 3 3 4" xfId="13547" xr:uid="{E6F977E1-DF96-4DDA-A693-99EB04F7FA1C}"/>
    <cellStyle name="Normal 2 4 2 4 2 3 4" xfId="26211" xr:uid="{555698A2-FD8D-4208-A685-66A0B34EA435}"/>
    <cellStyle name="Normal 2 4 2 4 2 3 5" xfId="17770" xr:uid="{FEEE2DFA-B54C-4986-91B3-89ADB3DA4270}"/>
    <cellStyle name="Normal 2 4 2 4 2 3 6" xfId="9329" xr:uid="{32C1DAC2-49DC-4E03-8154-A554791A8FE9}"/>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2 2 2" xfId="32987" xr:uid="{7D53500E-8E41-4CCE-8029-9455A668B574}"/>
    <cellStyle name="Normal 2 4 2 4 2 4 2 2 3" xfId="24546" xr:uid="{9F97A120-650C-44B6-9188-AC5EDCD89FB1}"/>
    <cellStyle name="Normal 2 4 2 4 2 4 2 2 4" xfId="16105" xr:uid="{3D9FB090-1BFD-4D66-AC09-C8C9A75319CD}"/>
    <cellStyle name="Normal 2 4 2 4 2 4 2 3" xfId="28769" xr:uid="{E3F03872-9289-42BF-88D7-B93DBF549FE3}"/>
    <cellStyle name="Normal 2 4 2 4 2 4 2 4" xfId="20328" xr:uid="{40AA69CD-2084-44F1-822B-C040C5F2F77E}"/>
    <cellStyle name="Normal 2 4 2 4 2 4 2 5" xfId="11887" xr:uid="{B5133266-002B-4969-878E-4D0950ECDE89}"/>
    <cellStyle name="Normal 2 4 2 4 2 4 3" xfId="5510" xr:uid="{00000000-0005-0000-0000-0000530F0000}"/>
    <cellStyle name="Normal 2 4 2 4 2 4 3 2" xfId="30842" xr:uid="{1EE4FD7E-A840-4BD0-B23A-108DDD5DADBB}"/>
    <cellStyle name="Normal 2 4 2 4 2 4 3 3" xfId="22401" xr:uid="{B7268FAD-9721-48AB-B28B-AA322B6578AA}"/>
    <cellStyle name="Normal 2 4 2 4 2 4 3 4" xfId="13960" xr:uid="{A5A58119-0560-4C46-861A-4895F5AEA7AE}"/>
    <cellStyle name="Normal 2 4 2 4 2 4 4" xfId="26624" xr:uid="{0B846480-0B4D-4B65-9655-5C2598488616}"/>
    <cellStyle name="Normal 2 4 2 4 2 4 5" xfId="18183" xr:uid="{B8D50864-B084-4C73-8D3F-6D3F6AEBB2E3}"/>
    <cellStyle name="Normal 2 4 2 4 2 4 6" xfId="9742" xr:uid="{5DC942EC-D89A-4065-9032-0864BFE241F3}"/>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2 2 2" xfId="33400" xr:uid="{C9725114-603A-42B1-AA51-59A15009E5B3}"/>
    <cellStyle name="Normal 2 4 2 4 2 5 2 2 3" xfId="24959" xr:uid="{836844AF-3DF1-4E48-BD05-7A24B27E7788}"/>
    <cellStyle name="Normal 2 4 2 4 2 5 2 2 4" xfId="16518" xr:uid="{21FEAFA7-62D8-4281-AEE7-CA022D87261C}"/>
    <cellStyle name="Normal 2 4 2 4 2 5 2 3" xfId="29182" xr:uid="{756C2F7D-0328-499E-A4E7-AD630195A233}"/>
    <cellStyle name="Normal 2 4 2 4 2 5 2 4" xfId="20741" xr:uid="{658C94DB-15ED-4C4B-B502-CF772E0849C8}"/>
    <cellStyle name="Normal 2 4 2 4 2 5 2 5" xfId="12300" xr:uid="{C92972B1-3F35-4874-BCD2-37795618961D}"/>
    <cellStyle name="Normal 2 4 2 4 2 5 3" xfId="5923" xr:uid="{00000000-0005-0000-0000-0000570F0000}"/>
    <cellStyle name="Normal 2 4 2 4 2 5 3 2" xfId="31255" xr:uid="{F8AAF9CE-F23D-4618-8512-8F4B475E555D}"/>
    <cellStyle name="Normal 2 4 2 4 2 5 3 3" xfId="22814" xr:uid="{33207F5E-503D-4ABC-A1EF-2A5406EBBE60}"/>
    <cellStyle name="Normal 2 4 2 4 2 5 3 4" xfId="14373" xr:uid="{6D464CE6-EA41-4A40-9CAE-0E9B7F942E05}"/>
    <cellStyle name="Normal 2 4 2 4 2 5 4" xfId="27037" xr:uid="{B76194E2-02AA-4949-A350-A3FD1D4FB477}"/>
    <cellStyle name="Normal 2 4 2 4 2 5 5" xfId="18596" xr:uid="{C09417CB-E7F5-463B-AFA6-8429F979CBE3}"/>
    <cellStyle name="Normal 2 4 2 4 2 5 6" xfId="10155" xr:uid="{F89D397B-E806-4CE8-ACE5-AF172CA9B271}"/>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2 2 2" xfId="33813" xr:uid="{219840E1-E3C2-4205-8DFB-E1742A0C26A4}"/>
    <cellStyle name="Normal 2 4 2 4 2 6 2 2 3" xfId="25372" xr:uid="{565BB344-4FCE-436E-8D32-284FB2253677}"/>
    <cellStyle name="Normal 2 4 2 4 2 6 2 2 4" xfId="16931" xr:uid="{EA51FB8A-F4DC-4B9A-9919-EB9B81A3142C}"/>
    <cellStyle name="Normal 2 4 2 4 2 6 2 3" xfId="29595" xr:uid="{5C159A96-FDD0-4F73-8945-EAC6FEC9DCD8}"/>
    <cellStyle name="Normal 2 4 2 4 2 6 2 4" xfId="21154" xr:uid="{CF89B03D-D337-47ED-9BFF-C9246AEA8C39}"/>
    <cellStyle name="Normal 2 4 2 4 2 6 2 5" xfId="12713" xr:uid="{CDC859A8-A61D-4BA7-83FD-C74FD5A8F318}"/>
    <cellStyle name="Normal 2 4 2 4 2 6 3" xfId="6336" xr:uid="{00000000-0005-0000-0000-00005B0F0000}"/>
    <cellStyle name="Normal 2 4 2 4 2 6 3 2" xfId="31668" xr:uid="{433D6BB5-B777-48F4-ADD0-E2CC726B8AE9}"/>
    <cellStyle name="Normal 2 4 2 4 2 6 3 3" xfId="23227" xr:uid="{DABD0FC8-832C-46CF-AFC1-14D215623068}"/>
    <cellStyle name="Normal 2 4 2 4 2 6 3 4" xfId="14786" xr:uid="{C2FE8C58-1605-4BC0-97D4-5AE3F78C46F3}"/>
    <cellStyle name="Normal 2 4 2 4 2 6 4" xfId="27450" xr:uid="{EF74D404-5612-4306-8F47-ED78315FD29A}"/>
    <cellStyle name="Normal 2 4 2 4 2 6 5" xfId="19009" xr:uid="{6C3FAD51-B321-4022-9867-6DCAC72940AB}"/>
    <cellStyle name="Normal 2 4 2 4 2 6 6" xfId="10568" xr:uid="{48417A88-0C76-4E02-8676-8888F97D7331}"/>
    <cellStyle name="Normal 2 4 2 4 2 7" xfId="2466" xr:uid="{00000000-0005-0000-0000-00005C0F0000}"/>
    <cellStyle name="Normal 2 4 2 4 2 7 2" xfId="6749" xr:uid="{00000000-0005-0000-0000-00005D0F0000}"/>
    <cellStyle name="Normal 2 4 2 4 2 7 2 2" xfId="32081" xr:uid="{ABB366F3-8977-4570-A151-43AAE19F2566}"/>
    <cellStyle name="Normal 2 4 2 4 2 7 2 3" xfId="23640" xr:uid="{8EFF9D28-A80B-4380-9C51-56D6D6815469}"/>
    <cellStyle name="Normal 2 4 2 4 2 7 2 4" xfId="15199" xr:uid="{D4C9D1DE-39A4-4F5C-A1BE-6123DAE5F1A8}"/>
    <cellStyle name="Normal 2 4 2 4 2 7 3" xfId="27863" xr:uid="{0DFC8782-02EA-4AE0-A92F-E19DF5A8F90D}"/>
    <cellStyle name="Normal 2 4 2 4 2 7 4" xfId="19422" xr:uid="{493F38F8-41BB-4E8D-9170-F6D14C401310}"/>
    <cellStyle name="Normal 2 4 2 4 2 7 5" xfId="10981" xr:uid="{850CBA5A-1302-48A1-8A6C-E200CC0B83AA}"/>
    <cellStyle name="Normal 2 4 2 4 2 8" xfId="4683" xr:uid="{00000000-0005-0000-0000-00005E0F0000}"/>
    <cellStyle name="Normal 2 4 2 4 2 8 2" xfId="30015" xr:uid="{FA08E218-D74D-4F2F-B2FC-0D5E7E73F843}"/>
    <cellStyle name="Normal 2 4 2 4 2 8 3" xfId="21574" xr:uid="{8CD4AA9D-9356-4B69-9437-FFE0486EF0BA}"/>
    <cellStyle name="Normal 2 4 2 4 2 8 4" xfId="13133" xr:uid="{4E3FB126-164E-43C5-9FB4-D4EFFF2072B3}"/>
    <cellStyle name="Normal 2 4 2 4 2 9" xfId="25797" xr:uid="{86EB3113-3A4C-49FC-96D4-84DFEF524E05}"/>
    <cellStyle name="Normal 2 4 2 4 3" xfId="292" xr:uid="{00000000-0005-0000-0000-00005F0F0000}"/>
    <cellStyle name="Normal 2 4 2 4 3 10" xfId="8917" xr:uid="{E75A4893-84B8-436A-A794-6EC90589F95E}"/>
    <cellStyle name="Normal 2 4 2 4 3 2" xfId="783" xr:uid="{00000000-0005-0000-0000-0000600F0000}"/>
    <cellStyle name="Normal 2 4 2 4 3 2 2" xfId="3022" xr:uid="{00000000-0005-0000-0000-0000610F0000}"/>
    <cellStyle name="Normal 2 4 2 4 3 2 2 2" xfId="7244" xr:uid="{00000000-0005-0000-0000-0000620F0000}"/>
    <cellStyle name="Normal 2 4 2 4 3 2 2 2 2" xfId="32576" xr:uid="{F29921A2-E7C4-4A4C-B374-276B5B195E94}"/>
    <cellStyle name="Normal 2 4 2 4 3 2 2 2 3" xfId="24135" xr:uid="{23F9CC7B-2431-44E2-B2E1-6DD598425D85}"/>
    <cellStyle name="Normal 2 4 2 4 3 2 2 2 4" xfId="15694" xr:uid="{DEDBD4ED-6895-4FF0-A80A-4943F8E24C93}"/>
    <cellStyle name="Normal 2 4 2 4 3 2 2 3" xfId="28358" xr:uid="{7250AA74-61A0-44A5-8A1B-6F42DE803F54}"/>
    <cellStyle name="Normal 2 4 2 4 3 2 2 4" xfId="19917" xr:uid="{5B7AD91F-871A-4C5C-8979-0EA41CC0F89E}"/>
    <cellStyle name="Normal 2 4 2 4 3 2 2 5" xfId="11476" xr:uid="{162DDC51-EFA2-4837-8C72-975A42C83546}"/>
    <cellStyle name="Normal 2 4 2 4 3 2 3" xfId="5099" xr:uid="{00000000-0005-0000-0000-0000630F0000}"/>
    <cellStyle name="Normal 2 4 2 4 3 2 3 2" xfId="30431" xr:uid="{681E0451-0B45-4DEB-AAB7-B54B7864871F}"/>
    <cellStyle name="Normal 2 4 2 4 3 2 3 3" xfId="21990" xr:uid="{3505DBD6-C174-456F-BF55-2D424DF7488D}"/>
    <cellStyle name="Normal 2 4 2 4 3 2 3 4" xfId="13549" xr:uid="{5D9360A0-AF02-4252-9C5E-9C4DADB921B3}"/>
    <cellStyle name="Normal 2 4 2 4 3 2 4" xfId="26213" xr:uid="{6A02B3ED-A1A3-4CC5-B32B-228A32583661}"/>
    <cellStyle name="Normal 2 4 2 4 3 2 5" xfId="17772" xr:uid="{789DF04C-BDB0-4093-858F-D595042CE203}"/>
    <cellStyle name="Normal 2 4 2 4 3 2 6" xfId="9331" xr:uid="{D7ED9C65-2746-4C38-9CF5-F2E4B6D6438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2 2 2" xfId="32989" xr:uid="{9FAFF5B3-F2D1-44CF-9A9F-075758F33AD4}"/>
    <cellStyle name="Normal 2 4 2 4 3 3 2 2 3" xfId="24548" xr:uid="{81B0D8C3-A8E5-444A-8C67-5A7289449F76}"/>
    <cellStyle name="Normal 2 4 2 4 3 3 2 2 4" xfId="16107" xr:uid="{ECF2D5B8-2442-4E99-84FF-0BD6DBFE823C}"/>
    <cellStyle name="Normal 2 4 2 4 3 3 2 3" xfId="28771" xr:uid="{0B594BB5-7A69-4E21-9493-6E37AED0F610}"/>
    <cellStyle name="Normal 2 4 2 4 3 3 2 4" xfId="20330" xr:uid="{49AA5180-F7AA-48FF-8517-326ECF5FAB7D}"/>
    <cellStyle name="Normal 2 4 2 4 3 3 2 5" xfId="11889" xr:uid="{2DADC730-A673-40D7-93C1-BE97F376BD50}"/>
    <cellStyle name="Normal 2 4 2 4 3 3 3" xfId="5512" xr:uid="{00000000-0005-0000-0000-0000670F0000}"/>
    <cellStyle name="Normal 2 4 2 4 3 3 3 2" xfId="30844" xr:uid="{24098D4B-077D-4E7A-B86A-0CAEFC15CD03}"/>
    <cellStyle name="Normal 2 4 2 4 3 3 3 3" xfId="22403" xr:uid="{7368605F-1E2D-474A-86E6-BF9E3307B9CA}"/>
    <cellStyle name="Normal 2 4 2 4 3 3 3 4" xfId="13962" xr:uid="{ECCC30DE-B5C4-43D7-9BBD-94EBCA3C9BC5}"/>
    <cellStyle name="Normal 2 4 2 4 3 3 4" xfId="26626" xr:uid="{D3444B0E-CB64-4B41-A72B-C2F84E7E9921}"/>
    <cellStyle name="Normal 2 4 2 4 3 3 5" xfId="18185" xr:uid="{483C989E-547C-4BCE-8E20-5C6104C16B47}"/>
    <cellStyle name="Normal 2 4 2 4 3 3 6" xfId="9744" xr:uid="{7FD789B6-3466-49C1-8C03-A073D603EACB}"/>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2 2 2" xfId="33402" xr:uid="{A0EFE10A-C641-47F0-B75C-B8F4DB71D417}"/>
    <cellStyle name="Normal 2 4 2 4 3 4 2 2 3" xfId="24961" xr:uid="{77A64B12-9CBE-4F46-967C-17AA4856D0A2}"/>
    <cellStyle name="Normal 2 4 2 4 3 4 2 2 4" xfId="16520" xr:uid="{220E3DE6-4388-4720-A7C0-D1DA93966236}"/>
    <cellStyle name="Normal 2 4 2 4 3 4 2 3" xfId="29184" xr:uid="{0E057E42-1517-42C9-918F-BCD31F5C2747}"/>
    <cellStyle name="Normal 2 4 2 4 3 4 2 4" xfId="20743" xr:uid="{65792AF3-0320-42BE-B86B-B6442F7276B8}"/>
    <cellStyle name="Normal 2 4 2 4 3 4 2 5" xfId="12302" xr:uid="{3A1E6A2C-D9F4-427C-B0A4-C77FEE70AD95}"/>
    <cellStyle name="Normal 2 4 2 4 3 4 3" xfId="5925" xr:uid="{00000000-0005-0000-0000-00006B0F0000}"/>
    <cellStyle name="Normal 2 4 2 4 3 4 3 2" xfId="31257" xr:uid="{645FC5A7-ABD9-4A4D-8004-857071816213}"/>
    <cellStyle name="Normal 2 4 2 4 3 4 3 3" xfId="22816" xr:uid="{4018D820-D557-49F5-9B4D-5128BBBA2511}"/>
    <cellStyle name="Normal 2 4 2 4 3 4 3 4" xfId="14375" xr:uid="{D098448F-9908-45A7-ADEC-C8B279164E09}"/>
    <cellStyle name="Normal 2 4 2 4 3 4 4" xfId="27039" xr:uid="{73AEFC72-F592-4360-9924-9B44C58818E5}"/>
    <cellStyle name="Normal 2 4 2 4 3 4 5" xfId="18598" xr:uid="{139CEC2B-6163-4AFF-8579-23E2572A20D2}"/>
    <cellStyle name="Normal 2 4 2 4 3 4 6" xfId="10157" xr:uid="{DB88BFDE-61CF-470D-8B48-DB52D0B52638}"/>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2 2 2" xfId="33815" xr:uid="{F6FD7BEE-CD87-416B-BE53-C25174F39EA6}"/>
    <cellStyle name="Normal 2 4 2 4 3 5 2 2 3" xfId="25374" xr:uid="{632FA4A2-0D15-48E9-A26A-E1F39B03C3E2}"/>
    <cellStyle name="Normal 2 4 2 4 3 5 2 2 4" xfId="16933" xr:uid="{6C960C1C-195D-4E0C-AE20-4FA1BA2879F9}"/>
    <cellStyle name="Normal 2 4 2 4 3 5 2 3" xfId="29597" xr:uid="{C742BA2F-4F95-45B0-9CF2-CF22CD5E832B}"/>
    <cellStyle name="Normal 2 4 2 4 3 5 2 4" xfId="21156" xr:uid="{64834B92-9130-4775-84BF-33651A100F5A}"/>
    <cellStyle name="Normal 2 4 2 4 3 5 2 5" xfId="12715" xr:uid="{49018779-D8E2-4C87-B6D2-1C42CD045216}"/>
    <cellStyle name="Normal 2 4 2 4 3 5 3" xfId="6338" xr:uid="{00000000-0005-0000-0000-00006F0F0000}"/>
    <cellStyle name="Normal 2 4 2 4 3 5 3 2" xfId="31670" xr:uid="{859165CE-32B2-4E3F-8F65-2F3B2FBD2B51}"/>
    <cellStyle name="Normal 2 4 2 4 3 5 3 3" xfId="23229" xr:uid="{139324FE-56D6-445D-BD6D-53919DE65BD6}"/>
    <cellStyle name="Normal 2 4 2 4 3 5 3 4" xfId="14788" xr:uid="{A2287678-76E0-43AE-9D83-11A605EAFCA6}"/>
    <cellStyle name="Normal 2 4 2 4 3 5 4" xfId="27452" xr:uid="{92E99902-BEB4-413E-A48C-B7C878BA5C65}"/>
    <cellStyle name="Normal 2 4 2 4 3 5 5" xfId="19011" xr:uid="{721B3D6E-434D-42D5-A16D-F9B8954FC846}"/>
    <cellStyle name="Normal 2 4 2 4 3 5 6" xfId="10570" xr:uid="{CCA9B97E-EA58-4822-8898-D0DDE23DD658}"/>
    <cellStyle name="Normal 2 4 2 4 3 6" xfId="2468" xr:uid="{00000000-0005-0000-0000-0000700F0000}"/>
    <cellStyle name="Normal 2 4 2 4 3 6 2" xfId="6751" xr:uid="{00000000-0005-0000-0000-0000710F0000}"/>
    <cellStyle name="Normal 2 4 2 4 3 6 2 2" xfId="32083" xr:uid="{C4760D0A-0278-4F6B-B3A7-EAB242434527}"/>
    <cellStyle name="Normal 2 4 2 4 3 6 2 3" xfId="23642" xr:uid="{290CD057-AB76-469E-824D-CB63307DCAE1}"/>
    <cellStyle name="Normal 2 4 2 4 3 6 2 4" xfId="15201" xr:uid="{ACB8712D-2651-4380-9020-4C9D1F13D88C}"/>
    <cellStyle name="Normal 2 4 2 4 3 6 3" xfId="27865" xr:uid="{AA3B22F3-DF1F-4E1B-BF42-8AB3E893FD26}"/>
    <cellStyle name="Normal 2 4 2 4 3 6 4" xfId="19424" xr:uid="{1E26FF7E-4C73-4DAD-9C68-21A20EF61877}"/>
    <cellStyle name="Normal 2 4 2 4 3 6 5" xfId="10983" xr:uid="{98A426BA-78A0-411B-9275-58F41913972E}"/>
    <cellStyle name="Normal 2 4 2 4 3 7" xfId="4685" xr:uid="{00000000-0005-0000-0000-0000720F0000}"/>
    <cellStyle name="Normal 2 4 2 4 3 7 2" xfId="30017" xr:uid="{9555C4D6-2E4A-4029-B2E9-33ACA291F5F0}"/>
    <cellStyle name="Normal 2 4 2 4 3 7 3" xfId="21576" xr:uid="{F3B87E56-1802-4C28-BED1-EFAF2BEC5698}"/>
    <cellStyle name="Normal 2 4 2 4 3 7 4" xfId="13135" xr:uid="{4AF81B3F-3606-4E2A-AA9C-147D1FF1D2BD}"/>
    <cellStyle name="Normal 2 4 2 4 3 8" xfId="25799" xr:uid="{AC2F2B1F-8534-4C6F-AC41-8E19FFECF135}"/>
    <cellStyle name="Normal 2 4 2 4 3 9" xfId="17358" xr:uid="{F9B391B6-361C-49C7-B3DE-178B02566686}"/>
    <cellStyle name="Normal 2 4 2 4 4" xfId="780" xr:uid="{00000000-0005-0000-0000-0000730F0000}"/>
    <cellStyle name="Normal 2 4 2 4 4 2" xfId="3019" xr:uid="{00000000-0005-0000-0000-0000740F0000}"/>
    <cellStyle name="Normal 2 4 2 4 4 2 2" xfId="7241" xr:uid="{00000000-0005-0000-0000-0000750F0000}"/>
    <cellStyle name="Normal 2 4 2 4 4 2 2 2" xfId="32573" xr:uid="{DB77103C-D59F-46EE-8BBE-3FF7E30772C5}"/>
    <cellStyle name="Normal 2 4 2 4 4 2 2 3" xfId="24132" xr:uid="{CFAB7FBC-CB21-48A0-B810-275E6BAE36BD}"/>
    <cellStyle name="Normal 2 4 2 4 4 2 2 4" xfId="15691" xr:uid="{BD815AAE-C340-4838-BC27-83EFA89F3C6C}"/>
    <cellStyle name="Normal 2 4 2 4 4 2 3" xfId="28355" xr:uid="{A2A04AB3-E3BF-46D8-9CBE-628BCF167940}"/>
    <cellStyle name="Normal 2 4 2 4 4 2 4" xfId="19914" xr:uid="{E87EFD07-E576-4370-AD67-D3F74262E3C3}"/>
    <cellStyle name="Normal 2 4 2 4 4 2 5" xfId="11473" xr:uid="{037D8F29-E74D-4B4C-9102-4DC8A62F8E21}"/>
    <cellStyle name="Normal 2 4 2 4 4 3" xfId="5096" xr:uid="{00000000-0005-0000-0000-0000760F0000}"/>
    <cellStyle name="Normal 2 4 2 4 4 3 2" xfId="30428" xr:uid="{BE582446-52CD-4D1D-BD0E-8465C4C9FD2E}"/>
    <cellStyle name="Normal 2 4 2 4 4 3 3" xfId="21987" xr:uid="{33B1E973-14FE-437A-93A3-6839749CF24D}"/>
    <cellStyle name="Normal 2 4 2 4 4 3 4" xfId="13546" xr:uid="{6CB3AE62-880D-4047-9418-62B33AED2561}"/>
    <cellStyle name="Normal 2 4 2 4 4 4" xfId="26210" xr:uid="{842F407F-68ED-4F9D-8F97-C46718ECF7C7}"/>
    <cellStyle name="Normal 2 4 2 4 4 5" xfId="17769" xr:uid="{08EB31F3-6314-4530-B94A-B75DF841EFED}"/>
    <cellStyle name="Normal 2 4 2 4 4 6" xfId="9328" xr:uid="{F4359773-5736-4E09-997F-AFF769C2899C}"/>
    <cellStyle name="Normal 2 4 2 4 5" xfId="1202" xr:uid="{00000000-0005-0000-0000-0000770F0000}"/>
    <cellStyle name="Normal 2 4 2 4 5 2" xfId="3432" xr:uid="{00000000-0005-0000-0000-0000780F0000}"/>
    <cellStyle name="Normal 2 4 2 4 5 2 2" xfId="7654" xr:uid="{00000000-0005-0000-0000-0000790F0000}"/>
    <cellStyle name="Normal 2 4 2 4 5 2 2 2" xfId="32986" xr:uid="{8A849299-159F-4031-947A-D24A5C44B820}"/>
    <cellStyle name="Normal 2 4 2 4 5 2 2 3" xfId="24545" xr:uid="{30160AF8-7F3B-4782-B1E6-C4831A26A61C}"/>
    <cellStyle name="Normal 2 4 2 4 5 2 2 4" xfId="16104" xr:uid="{338ECA26-E45D-40CF-8E66-A568D481E237}"/>
    <cellStyle name="Normal 2 4 2 4 5 2 3" xfId="28768" xr:uid="{91399C61-447D-469E-85FF-FEAEACA3D916}"/>
    <cellStyle name="Normal 2 4 2 4 5 2 4" xfId="20327" xr:uid="{629DF706-E19E-4897-8C33-9E4396D4FAA1}"/>
    <cellStyle name="Normal 2 4 2 4 5 2 5" xfId="11886" xr:uid="{7457D112-51DC-4CDD-AA40-144989E89A15}"/>
    <cellStyle name="Normal 2 4 2 4 5 3" xfId="5509" xr:uid="{00000000-0005-0000-0000-00007A0F0000}"/>
    <cellStyle name="Normal 2 4 2 4 5 3 2" xfId="30841" xr:uid="{AE6A324A-242D-4155-9F43-7FFFC02C8694}"/>
    <cellStyle name="Normal 2 4 2 4 5 3 3" xfId="22400" xr:uid="{E3A78680-8C26-47D1-8D73-2C9297CFB5CA}"/>
    <cellStyle name="Normal 2 4 2 4 5 3 4" xfId="13959" xr:uid="{606BD676-79EF-4A0E-AE12-69918C1F2633}"/>
    <cellStyle name="Normal 2 4 2 4 5 4" xfId="26623" xr:uid="{D1820367-C9AB-4811-A28D-CF118316C705}"/>
    <cellStyle name="Normal 2 4 2 4 5 5" xfId="18182" xr:uid="{A82CA910-5A5D-4D90-BFE8-A0C23A7AE169}"/>
    <cellStyle name="Normal 2 4 2 4 5 6" xfId="9741" xr:uid="{AA4CA79F-3F00-4B57-ABED-FC98C013C730}"/>
    <cellStyle name="Normal 2 4 2 4 6" xfId="1615" xr:uid="{00000000-0005-0000-0000-00007B0F0000}"/>
    <cellStyle name="Normal 2 4 2 4 6 2" xfId="3845" xr:uid="{00000000-0005-0000-0000-00007C0F0000}"/>
    <cellStyle name="Normal 2 4 2 4 6 2 2" xfId="8067" xr:uid="{00000000-0005-0000-0000-00007D0F0000}"/>
    <cellStyle name="Normal 2 4 2 4 6 2 2 2" xfId="33399" xr:uid="{D331CDA9-4F87-467A-BB21-359116013DB1}"/>
    <cellStyle name="Normal 2 4 2 4 6 2 2 3" xfId="24958" xr:uid="{DADEF0BA-A8CD-432B-9DB5-3AD43B4AE8E2}"/>
    <cellStyle name="Normal 2 4 2 4 6 2 2 4" xfId="16517" xr:uid="{A145A597-332C-4BDF-B846-EA9736D73E14}"/>
    <cellStyle name="Normal 2 4 2 4 6 2 3" xfId="29181" xr:uid="{451267A3-E031-427A-B50B-F307B3DEEF13}"/>
    <cellStyle name="Normal 2 4 2 4 6 2 4" xfId="20740" xr:uid="{A20A547E-35E0-4C50-BE61-8FB1566975DF}"/>
    <cellStyle name="Normal 2 4 2 4 6 2 5" xfId="12299" xr:uid="{55AB7947-E3EC-4A4A-8758-4CA202B8EAC9}"/>
    <cellStyle name="Normal 2 4 2 4 6 3" xfId="5922" xr:uid="{00000000-0005-0000-0000-00007E0F0000}"/>
    <cellStyle name="Normal 2 4 2 4 6 3 2" xfId="31254" xr:uid="{C6E3DC83-437E-4868-BFCE-07D1F114891D}"/>
    <cellStyle name="Normal 2 4 2 4 6 3 3" xfId="22813" xr:uid="{F21830AA-A9B8-4D44-837A-4B5548A5EBD2}"/>
    <cellStyle name="Normal 2 4 2 4 6 3 4" xfId="14372" xr:uid="{EA1E7DD7-F9D8-4CF3-9E0A-828AEF58385B}"/>
    <cellStyle name="Normal 2 4 2 4 6 4" xfId="27036" xr:uid="{2342E82C-AEA0-48A6-929F-85895C11AC4D}"/>
    <cellStyle name="Normal 2 4 2 4 6 5" xfId="18595" xr:uid="{B1CAE02F-FD0C-46E4-A18D-D9699D4E92F8}"/>
    <cellStyle name="Normal 2 4 2 4 6 6" xfId="10154" xr:uid="{5AA41B38-9941-4CEB-9B29-25128CBA8E07}"/>
    <cellStyle name="Normal 2 4 2 4 7" xfId="2029" xr:uid="{00000000-0005-0000-0000-00007F0F0000}"/>
    <cellStyle name="Normal 2 4 2 4 7 2" xfId="4258" xr:uid="{00000000-0005-0000-0000-0000800F0000}"/>
    <cellStyle name="Normal 2 4 2 4 7 2 2" xfId="8480" xr:uid="{00000000-0005-0000-0000-0000810F0000}"/>
    <cellStyle name="Normal 2 4 2 4 7 2 2 2" xfId="33812" xr:uid="{7034FA44-86F4-47F5-AEB7-A9CAF4624A0C}"/>
    <cellStyle name="Normal 2 4 2 4 7 2 2 3" xfId="25371" xr:uid="{4AE9191B-7461-439F-BD2A-230F9F478BF3}"/>
    <cellStyle name="Normal 2 4 2 4 7 2 2 4" xfId="16930" xr:uid="{E7641BAE-A749-4CA7-B024-D0D90D55B0F9}"/>
    <cellStyle name="Normal 2 4 2 4 7 2 3" xfId="29594" xr:uid="{49568036-AFFB-420F-896B-09E04EEB8173}"/>
    <cellStyle name="Normal 2 4 2 4 7 2 4" xfId="21153" xr:uid="{3E80E39B-8B19-4E81-9E43-730C085F7EFB}"/>
    <cellStyle name="Normal 2 4 2 4 7 2 5" xfId="12712" xr:uid="{E2FB3CD0-56CB-4D6D-B1C6-B6D2F6E247FF}"/>
    <cellStyle name="Normal 2 4 2 4 7 3" xfId="6335" xr:uid="{00000000-0005-0000-0000-0000820F0000}"/>
    <cellStyle name="Normal 2 4 2 4 7 3 2" xfId="31667" xr:uid="{E0141683-C22D-4919-9041-8C4717A4A3E7}"/>
    <cellStyle name="Normal 2 4 2 4 7 3 3" xfId="23226" xr:uid="{F85F2DB2-C24F-4DF5-BFF1-BE305F540E00}"/>
    <cellStyle name="Normal 2 4 2 4 7 3 4" xfId="14785" xr:uid="{53D35293-05C2-40E6-BFAC-99A4A2289C52}"/>
    <cellStyle name="Normal 2 4 2 4 7 4" xfId="27449" xr:uid="{B9A4FBC7-FC78-47D4-8BDD-6DA06756184D}"/>
    <cellStyle name="Normal 2 4 2 4 7 5" xfId="19008" xr:uid="{A7B7DC53-39C9-4FA6-8B5C-48552D5FA885}"/>
    <cellStyle name="Normal 2 4 2 4 7 6" xfId="10567" xr:uid="{7368070A-67FE-4CFB-ABB3-7ABE1224BC9F}"/>
    <cellStyle name="Normal 2 4 2 4 8" xfId="2465" xr:uid="{00000000-0005-0000-0000-0000830F0000}"/>
    <cellStyle name="Normal 2 4 2 4 8 2" xfId="6748" xr:uid="{00000000-0005-0000-0000-0000840F0000}"/>
    <cellStyle name="Normal 2 4 2 4 8 2 2" xfId="32080" xr:uid="{0D38C2FF-5EA4-4725-81AA-7606E6FC96B3}"/>
    <cellStyle name="Normal 2 4 2 4 8 2 3" xfId="23639" xr:uid="{F7662091-5E26-4BF5-B5D4-17510ABF1ED6}"/>
    <cellStyle name="Normal 2 4 2 4 8 2 4" xfId="15198" xr:uid="{268DA49D-39B2-47A2-ABF9-C4ABE632BD35}"/>
    <cellStyle name="Normal 2 4 2 4 8 3" xfId="27862" xr:uid="{67D30175-D16D-4CAE-91E0-389D463CC88B}"/>
    <cellStyle name="Normal 2 4 2 4 8 4" xfId="19421" xr:uid="{E68A980D-C14A-4FE3-9BD2-F6A8AF781AFD}"/>
    <cellStyle name="Normal 2 4 2 4 8 5" xfId="10980" xr:uid="{BA74BABB-2F1E-44F5-84DE-64A3E66A69BC}"/>
    <cellStyle name="Normal 2 4 2 4 9" xfId="4682" xr:uid="{00000000-0005-0000-0000-0000850F0000}"/>
    <cellStyle name="Normal 2 4 2 4 9 2" xfId="30014" xr:uid="{8756A905-B296-46A3-9001-CB058793EA2B}"/>
    <cellStyle name="Normal 2 4 2 4 9 3" xfId="21573" xr:uid="{DD13D59F-5271-4E2F-841C-713B480262BA}"/>
    <cellStyle name="Normal 2 4 2 4 9 4" xfId="13132" xr:uid="{6D8E64BB-2BF7-47C8-97FC-4709EEBB1461}"/>
    <cellStyle name="Normal 2 4 2 5" xfId="293" xr:uid="{00000000-0005-0000-0000-0000860F0000}"/>
    <cellStyle name="Normal 2 4 2 5 10" xfId="17359" xr:uid="{35CBA451-C0C5-43A2-89CD-FEAC0DAB03D3}"/>
    <cellStyle name="Normal 2 4 2 5 11" xfId="8918" xr:uid="{22427FE7-6E44-4C84-9CED-64382C87EA50}"/>
    <cellStyle name="Normal 2 4 2 5 2" xfId="294" xr:uid="{00000000-0005-0000-0000-0000870F0000}"/>
    <cellStyle name="Normal 2 4 2 5 2 10" xfId="8919" xr:uid="{245A2E8B-6651-42F6-8D83-AF8F07DBDB3E}"/>
    <cellStyle name="Normal 2 4 2 5 2 2" xfId="785" xr:uid="{00000000-0005-0000-0000-0000880F0000}"/>
    <cellStyle name="Normal 2 4 2 5 2 2 2" xfId="3024" xr:uid="{00000000-0005-0000-0000-0000890F0000}"/>
    <cellStyle name="Normal 2 4 2 5 2 2 2 2" xfId="7246" xr:uid="{00000000-0005-0000-0000-00008A0F0000}"/>
    <cellStyle name="Normal 2 4 2 5 2 2 2 2 2" xfId="32578" xr:uid="{C09AD454-06F6-458C-A03E-BBC32875276F}"/>
    <cellStyle name="Normal 2 4 2 5 2 2 2 2 3" xfId="24137" xr:uid="{0397F4FE-47BB-4D16-9344-B6B0B51B1CA5}"/>
    <cellStyle name="Normal 2 4 2 5 2 2 2 2 4" xfId="15696" xr:uid="{CD32D19B-FDE3-4F58-A527-406E887D045F}"/>
    <cellStyle name="Normal 2 4 2 5 2 2 2 3" xfId="28360" xr:uid="{395833AA-2B18-4962-B2F1-ECEFD3618D6B}"/>
    <cellStyle name="Normal 2 4 2 5 2 2 2 4" xfId="19919" xr:uid="{CA01F9BA-D749-4955-B3F7-4C89C02F1E49}"/>
    <cellStyle name="Normal 2 4 2 5 2 2 2 5" xfId="11478" xr:uid="{70CABAE6-82E7-41F8-BF21-2563DBF6AAFC}"/>
    <cellStyle name="Normal 2 4 2 5 2 2 3" xfId="5101" xr:uid="{00000000-0005-0000-0000-00008B0F0000}"/>
    <cellStyle name="Normal 2 4 2 5 2 2 3 2" xfId="30433" xr:uid="{5DD8DF03-8466-49D7-A977-80050AA59A31}"/>
    <cellStyle name="Normal 2 4 2 5 2 2 3 3" xfId="21992" xr:uid="{CF314080-D9A0-42DC-AEC6-6D16C6BE15A9}"/>
    <cellStyle name="Normal 2 4 2 5 2 2 3 4" xfId="13551" xr:uid="{847C70C7-0361-496D-A191-C73EEBDB521E}"/>
    <cellStyle name="Normal 2 4 2 5 2 2 4" xfId="26215" xr:uid="{0542A773-AE79-4D4E-8734-51FAD451371E}"/>
    <cellStyle name="Normal 2 4 2 5 2 2 5" xfId="17774" xr:uid="{2AC9FCD8-3888-4D0A-8809-F92DCDB86CAC}"/>
    <cellStyle name="Normal 2 4 2 5 2 2 6" xfId="9333" xr:uid="{B991F526-E9B0-4FD7-BD96-AA69A0E5C51F}"/>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2 2 2" xfId="32991" xr:uid="{700FC461-B7E3-4083-87D6-6FEA08D374A5}"/>
    <cellStyle name="Normal 2 4 2 5 2 3 2 2 3" xfId="24550" xr:uid="{A1F4AFEF-F7CF-43D0-A1C7-723915629FE3}"/>
    <cellStyle name="Normal 2 4 2 5 2 3 2 2 4" xfId="16109" xr:uid="{7FBD918A-48F4-4265-BBB6-BA35D7A3AD22}"/>
    <cellStyle name="Normal 2 4 2 5 2 3 2 3" xfId="28773" xr:uid="{A0681074-BF05-4371-B223-CBA29FFCF418}"/>
    <cellStyle name="Normal 2 4 2 5 2 3 2 4" xfId="20332" xr:uid="{16FE09B7-16F6-4D6F-BA65-AE388A74F33D}"/>
    <cellStyle name="Normal 2 4 2 5 2 3 2 5" xfId="11891" xr:uid="{7215A5B1-CCDD-437A-9912-3A2899BE34E0}"/>
    <cellStyle name="Normal 2 4 2 5 2 3 3" xfId="5514" xr:uid="{00000000-0005-0000-0000-00008F0F0000}"/>
    <cellStyle name="Normal 2 4 2 5 2 3 3 2" xfId="30846" xr:uid="{301D3013-4464-4964-BA5C-AAD20A4885F7}"/>
    <cellStyle name="Normal 2 4 2 5 2 3 3 3" xfId="22405" xr:uid="{FF5F446F-6034-4E51-8682-7E33BC608F85}"/>
    <cellStyle name="Normal 2 4 2 5 2 3 3 4" xfId="13964" xr:uid="{F4E1C806-16E9-47D1-97FA-E48755F83405}"/>
    <cellStyle name="Normal 2 4 2 5 2 3 4" xfId="26628" xr:uid="{99D11D22-1654-4F99-B63C-7140E2E85110}"/>
    <cellStyle name="Normal 2 4 2 5 2 3 5" xfId="18187" xr:uid="{93C6F383-3480-49D6-B21A-92795366EA3E}"/>
    <cellStyle name="Normal 2 4 2 5 2 3 6" xfId="9746" xr:uid="{B139807E-C0D2-47C4-BEBB-517D56A1AF53}"/>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2 2 2" xfId="33404" xr:uid="{B51E85E1-B087-47FD-B02C-B492A91800DA}"/>
    <cellStyle name="Normal 2 4 2 5 2 4 2 2 3" xfId="24963" xr:uid="{154E6630-03EF-41A3-8273-4EB913D6D425}"/>
    <cellStyle name="Normal 2 4 2 5 2 4 2 2 4" xfId="16522" xr:uid="{2D9134DB-6905-4F62-A2D1-7C0362FC877B}"/>
    <cellStyle name="Normal 2 4 2 5 2 4 2 3" xfId="29186" xr:uid="{BD755BF0-BD53-4E86-BE37-050547C97FF9}"/>
    <cellStyle name="Normal 2 4 2 5 2 4 2 4" xfId="20745" xr:uid="{67E77D7E-334F-4E77-86CA-ADCA9345D129}"/>
    <cellStyle name="Normal 2 4 2 5 2 4 2 5" xfId="12304" xr:uid="{B563CB9D-0578-4AAA-B396-6704A84B603D}"/>
    <cellStyle name="Normal 2 4 2 5 2 4 3" xfId="5927" xr:uid="{00000000-0005-0000-0000-0000930F0000}"/>
    <cellStyle name="Normal 2 4 2 5 2 4 3 2" xfId="31259" xr:uid="{15B91C4C-5425-4769-821F-A1E81303F1E2}"/>
    <cellStyle name="Normal 2 4 2 5 2 4 3 3" xfId="22818" xr:uid="{C5E863FC-AC7A-43C6-A09C-265CDAB04974}"/>
    <cellStyle name="Normal 2 4 2 5 2 4 3 4" xfId="14377" xr:uid="{D4089B40-26DA-43B9-9E0F-B8AD4860A2D6}"/>
    <cellStyle name="Normal 2 4 2 5 2 4 4" xfId="27041" xr:uid="{2CF156CA-3326-4AA7-B4CB-197C830894C1}"/>
    <cellStyle name="Normal 2 4 2 5 2 4 5" xfId="18600" xr:uid="{CAF5B8BA-4DAA-40A3-975C-466572FC9A50}"/>
    <cellStyle name="Normal 2 4 2 5 2 4 6" xfId="10159" xr:uid="{CBFCAA4F-EDD0-4F4E-8D52-DF3305273A26}"/>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2 2 2" xfId="33817" xr:uid="{B900D658-2D23-4D52-B6AE-9CCDD4657405}"/>
    <cellStyle name="Normal 2 4 2 5 2 5 2 2 3" xfId="25376" xr:uid="{58636E7A-1E78-4986-806F-88C89E54EE2C}"/>
    <cellStyle name="Normal 2 4 2 5 2 5 2 2 4" xfId="16935" xr:uid="{F1CA4A80-6919-49A3-BF1D-857F3BEE7A01}"/>
    <cellStyle name="Normal 2 4 2 5 2 5 2 3" xfId="29599" xr:uid="{4184E9EC-DA20-486A-92BA-CB18D0AF2939}"/>
    <cellStyle name="Normal 2 4 2 5 2 5 2 4" xfId="21158" xr:uid="{EBC86387-8776-4E49-9E39-69DABACAFCF5}"/>
    <cellStyle name="Normal 2 4 2 5 2 5 2 5" xfId="12717" xr:uid="{13ABD180-2141-4D8E-A4C5-31A689BA9418}"/>
    <cellStyle name="Normal 2 4 2 5 2 5 3" xfId="6340" xr:uid="{00000000-0005-0000-0000-0000970F0000}"/>
    <cellStyle name="Normal 2 4 2 5 2 5 3 2" xfId="31672" xr:uid="{A079A16F-ED12-4216-9325-1BB3EF4C18DF}"/>
    <cellStyle name="Normal 2 4 2 5 2 5 3 3" xfId="23231" xr:uid="{DFCB27AF-6458-473C-B8B3-83C3D76D6426}"/>
    <cellStyle name="Normal 2 4 2 5 2 5 3 4" xfId="14790" xr:uid="{7587E4E2-BCEE-41FB-99D3-81980B655398}"/>
    <cellStyle name="Normal 2 4 2 5 2 5 4" xfId="27454" xr:uid="{F05D6B68-9214-4DEA-82DA-60D64C611ABF}"/>
    <cellStyle name="Normal 2 4 2 5 2 5 5" xfId="19013" xr:uid="{A6A9C074-92DC-414B-A22D-DB93BC4AAE96}"/>
    <cellStyle name="Normal 2 4 2 5 2 5 6" xfId="10572" xr:uid="{4629E574-E367-4301-93FB-801DC5335195}"/>
    <cellStyle name="Normal 2 4 2 5 2 6" xfId="2470" xr:uid="{00000000-0005-0000-0000-0000980F0000}"/>
    <cellStyle name="Normal 2 4 2 5 2 6 2" xfId="6753" xr:uid="{00000000-0005-0000-0000-0000990F0000}"/>
    <cellStyle name="Normal 2 4 2 5 2 6 2 2" xfId="32085" xr:uid="{90C2433C-6BD6-4967-AE10-8B7D5768CBD2}"/>
    <cellStyle name="Normal 2 4 2 5 2 6 2 3" xfId="23644" xr:uid="{472FC226-D3EE-494D-B518-3A04A1604AD4}"/>
    <cellStyle name="Normal 2 4 2 5 2 6 2 4" xfId="15203" xr:uid="{43DD3517-31A6-46B4-8599-E364263902D5}"/>
    <cellStyle name="Normal 2 4 2 5 2 6 3" xfId="27867" xr:uid="{9438B4CF-7142-45D0-8F8D-5317A0DAA424}"/>
    <cellStyle name="Normal 2 4 2 5 2 6 4" xfId="19426" xr:uid="{8A553D01-5CB3-41CD-B866-E200D0AB7916}"/>
    <cellStyle name="Normal 2 4 2 5 2 6 5" xfId="10985" xr:uid="{6BD508F5-BB22-4238-A22F-5A718B6B80FF}"/>
    <cellStyle name="Normal 2 4 2 5 2 7" xfId="4687" xr:uid="{00000000-0005-0000-0000-00009A0F0000}"/>
    <cellStyle name="Normal 2 4 2 5 2 7 2" xfId="30019" xr:uid="{D978AADF-73B5-4D52-AF31-C86DC3A697F8}"/>
    <cellStyle name="Normal 2 4 2 5 2 7 3" xfId="21578" xr:uid="{AE2C7BA3-DDD8-444F-91C6-B6FF1C0A4948}"/>
    <cellStyle name="Normal 2 4 2 5 2 7 4" xfId="13137" xr:uid="{35ACC0B7-0611-4B96-9464-347A69EFBB32}"/>
    <cellStyle name="Normal 2 4 2 5 2 8" xfId="25801" xr:uid="{DD36C124-6AAC-4EBE-A1B2-DDBE211536C8}"/>
    <cellStyle name="Normal 2 4 2 5 2 9" xfId="17360" xr:uid="{7E0224FE-979D-4FF5-950A-E84CB00C7F09}"/>
    <cellStyle name="Normal 2 4 2 5 3" xfId="784" xr:uid="{00000000-0005-0000-0000-00009B0F0000}"/>
    <cellStyle name="Normal 2 4 2 5 3 2" xfId="3023" xr:uid="{00000000-0005-0000-0000-00009C0F0000}"/>
    <cellStyle name="Normal 2 4 2 5 3 2 2" xfId="7245" xr:uid="{00000000-0005-0000-0000-00009D0F0000}"/>
    <cellStyle name="Normal 2 4 2 5 3 2 2 2" xfId="32577" xr:uid="{AF7E9AB6-9881-4009-9C53-AFCEB3C61F71}"/>
    <cellStyle name="Normal 2 4 2 5 3 2 2 3" xfId="24136" xr:uid="{4B72C5F5-EF74-473D-AF80-4D4F0AFF41CD}"/>
    <cellStyle name="Normal 2 4 2 5 3 2 2 4" xfId="15695" xr:uid="{F68B5A8A-EDC7-46C0-B4DE-4F9A6CB93820}"/>
    <cellStyle name="Normal 2 4 2 5 3 2 3" xfId="28359" xr:uid="{69214071-FA92-4572-948A-70D9AFF0FBB9}"/>
    <cellStyle name="Normal 2 4 2 5 3 2 4" xfId="19918" xr:uid="{CC1E6B4F-AE1E-4AC5-ADFB-03628960513C}"/>
    <cellStyle name="Normal 2 4 2 5 3 2 5" xfId="11477" xr:uid="{F22FEE70-1D7E-4F6B-9AF2-C0E691C296B9}"/>
    <cellStyle name="Normal 2 4 2 5 3 3" xfId="5100" xr:uid="{00000000-0005-0000-0000-00009E0F0000}"/>
    <cellStyle name="Normal 2 4 2 5 3 3 2" xfId="30432" xr:uid="{4FC1C9B6-79D9-4606-9AFD-236701762E13}"/>
    <cellStyle name="Normal 2 4 2 5 3 3 3" xfId="21991" xr:uid="{3E7D10F1-1302-4E82-B465-F0C2DFB0E91B}"/>
    <cellStyle name="Normal 2 4 2 5 3 3 4" xfId="13550" xr:uid="{6C865D4F-1AFA-400E-A428-C50796A78942}"/>
    <cellStyle name="Normal 2 4 2 5 3 4" xfId="26214" xr:uid="{76041E3D-D63E-4179-87D1-6B34DD63572A}"/>
    <cellStyle name="Normal 2 4 2 5 3 5" xfId="17773" xr:uid="{2EA275D3-2722-480F-8C90-FCFCB5CA0E2B}"/>
    <cellStyle name="Normal 2 4 2 5 3 6" xfId="9332" xr:uid="{238F25BB-8BA0-4FC1-A547-B3CF266776DD}"/>
    <cellStyle name="Normal 2 4 2 5 4" xfId="1206" xr:uid="{00000000-0005-0000-0000-00009F0F0000}"/>
    <cellStyle name="Normal 2 4 2 5 4 2" xfId="3436" xr:uid="{00000000-0005-0000-0000-0000A00F0000}"/>
    <cellStyle name="Normal 2 4 2 5 4 2 2" xfId="7658" xr:uid="{00000000-0005-0000-0000-0000A10F0000}"/>
    <cellStyle name="Normal 2 4 2 5 4 2 2 2" xfId="32990" xr:uid="{A1639B43-C520-4122-9E76-7D39E87EE8A6}"/>
    <cellStyle name="Normal 2 4 2 5 4 2 2 3" xfId="24549" xr:uid="{D927F54F-7290-4FEB-91EE-EBF5BEBB3C27}"/>
    <cellStyle name="Normal 2 4 2 5 4 2 2 4" xfId="16108" xr:uid="{C9AAEEF4-E36A-41AC-9158-795B54F211EB}"/>
    <cellStyle name="Normal 2 4 2 5 4 2 3" xfId="28772" xr:uid="{915B4B6D-098D-4C71-ACC0-D66850E0511A}"/>
    <cellStyle name="Normal 2 4 2 5 4 2 4" xfId="20331" xr:uid="{6E0B65E5-53E1-438F-AFE2-5D6EE66E9E26}"/>
    <cellStyle name="Normal 2 4 2 5 4 2 5" xfId="11890" xr:uid="{AECD9FB7-EC12-4901-A606-BFEA99D74E18}"/>
    <cellStyle name="Normal 2 4 2 5 4 3" xfId="5513" xr:uid="{00000000-0005-0000-0000-0000A20F0000}"/>
    <cellStyle name="Normal 2 4 2 5 4 3 2" xfId="30845" xr:uid="{AC191471-D8A3-46A2-B4CD-9C653A51B2AB}"/>
    <cellStyle name="Normal 2 4 2 5 4 3 3" xfId="22404" xr:uid="{3504DCF2-A961-42C4-A0CE-82BB8DB0D070}"/>
    <cellStyle name="Normal 2 4 2 5 4 3 4" xfId="13963" xr:uid="{C2E4C726-A406-49CE-8BE0-CC50EC091EC3}"/>
    <cellStyle name="Normal 2 4 2 5 4 4" xfId="26627" xr:uid="{F1C03772-1C91-40E1-A221-E6731FEED0FC}"/>
    <cellStyle name="Normal 2 4 2 5 4 5" xfId="18186" xr:uid="{D11FFC18-B02D-4794-AA12-E0B8C0B64E9B}"/>
    <cellStyle name="Normal 2 4 2 5 4 6" xfId="9745" xr:uid="{1D361EA7-50C5-4A70-BB3C-1D6061A78550}"/>
    <cellStyle name="Normal 2 4 2 5 5" xfId="1619" xr:uid="{00000000-0005-0000-0000-0000A30F0000}"/>
    <cellStyle name="Normal 2 4 2 5 5 2" xfId="3849" xr:uid="{00000000-0005-0000-0000-0000A40F0000}"/>
    <cellStyle name="Normal 2 4 2 5 5 2 2" xfId="8071" xr:uid="{00000000-0005-0000-0000-0000A50F0000}"/>
    <cellStyle name="Normal 2 4 2 5 5 2 2 2" xfId="33403" xr:uid="{3B449783-46BB-4C52-8B00-8FB0FB65C284}"/>
    <cellStyle name="Normal 2 4 2 5 5 2 2 3" xfId="24962" xr:uid="{57107DF1-5BBE-4D77-A1A5-8B604215C6D8}"/>
    <cellStyle name="Normal 2 4 2 5 5 2 2 4" xfId="16521" xr:uid="{6171F472-9FF1-4E3D-9177-DA37B254CC79}"/>
    <cellStyle name="Normal 2 4 2 5 5 2 3" xfId="29185" xr:uid="{4B0299D5-A2F8-4B60-834B-CC5CA7707E53}"/>
    <cellStyle name="Normal 2 4 2 5 5 2 4" xfId="20744" xr:uid="{CC5D2E38-9DBB-4EF2-9BB6-ED5C2D5FEA84}"/>
    <cellStyle name="Normal 2 4 2 5 5 2 5" xfId="12303" xr:uid="{4C2F50E4-E2CB-4A6A-89E4-444FA4EC1BB8}"/>
    <cellStyle name="Normal 2 4 2 5 5 3" xfId="5926" xr:uid="{00000000-0005-0000-0000-0000A60F0000}"/>
    <cellStyle name="Normal 2 4 2 5 5 3 2" xfId="31258" xr:uid="{B1B4E3B2-7A38-49DA-8577-F2D03181B314}"/>
    <cellStyle name="Normal 2 4 2 5 5 3 3" xfId="22817" xr:uid="{2C2691E9-08C3-46E4-9FB6-3514B37345CF}"/>
    <cellStyle name="Normal 2 4 2 5 5 3 4" xfId="14376" xr:uid="{CAA1160E-E236-4D29-AA4E-18D767CB7488}"/>
    <cellStyle name="Normal 2 4 2 5 5 4" xfId="27040" xr:uid="{52B152FC-B3BD-4FDA-9AF8-63B367EAC264}"/>
    <cellStyle name="Normal 2 4 2 5 5 5" xfId="18599" xr:uid="{944361E7-A709-4DA9-A7F0-39F282F0B6AB}"/>
    <cellStyle name="Normal 2 4 2 5 5 6" xfId="10158" xr:uid="{2345C903-60C2-4BF7-B0AE-C6FC830AD7F2}"/>
    <cellStyle name="Normal 2 4 2 5 6" xfId="2033" xr:uid="{00000000-0005-0000-0000-0000A70F0000}"/>
    <cellStyle name="Normal 2 4 2 5 6 2" xfId="4262" xr:uid="{00000000-0005-0000-0000-0000A80F0000}"/>
    <cellStyle name="Normal 2 4 2 5 6 2 2" xfId="8484" xr:uid="{00000000-0005-0000-0000-0000A90F0000}"/>
    <cellStyle name="Normal 2 4 2 5 6 2 2 2" xfId="33816" xr:uid="{0BF856B9-A5A6-414B-8E72-6EE5DCF043AD}"/>
    <cellStyle name="Normal 2 4 2 5 6 2 2 3" xfId="25375" xr:uid="{101D878A-84F3-4018-9285-5DDB968A30A9}"/>
    <cellStyle name="Normal 2 4 2 5 6 2 2 4" xfId="16934" xr:uid="{D1D0ECDF-FEC0-4AFD-83A3-FCCB1B73BF24}"/>
    <cellStyle name="Normal 2 4 2 5 6 2 3" xfId="29598" xr:uid="{B73B6CEB-5B48-4DDA-98C9-5C1FE5E39BCA}"/>
    <cellStyle name="Normal 2 4 2 5 6 2 4" xfId="21157" xr:uid="{1FF26A2A-DEB4-44F0-98DA-7EF4B81B42B5}"/>
    <cellStyle name="Normal 2 4 2 5 6 2 5" xfId="12716" xr:uid="{CE11DA0C-4D72-4160-BBA8-FC0AF3FE844F}"/>
    <cellStyle name="Normal 2 4 2 5 6 3" xfId="6339" xr:uid="{00000000-0005-0000-0000-0000AA0F0000}"/>
    <cellStyle name="Normal 2 4 2 5 6 3 2" xfId="31671" xr:uid="{EB5FFFA8-B083-4620-99A6-070E0DF590D6}"/>
    <cellStyle name="Normal 2 4 2 5 6 3 3" xfId="23230" xr:uid="{CBE494B9-C808-4FFC-90A3-B8DE710D4233}"/>
    <cellStyle name="Normal 2 4 2 5 6 3 4" xfId="14789" xr:uid="{972B5399-5EC5-4A57-AD60-C9305B231DAC}"/>
    <cellStyle name="Normal 2 4 2 5 6 4" xfId="27453" xr:uid="{BEA8B1A8-3072-4F4E-8484-F20BD1CD1EA1}"/>
    <cellStyle name="Normal 2 4 2 5 6 5" xfId="19012" xr:uid="{5AC814A9-7E8E-4886-AA78-FDDD61E19583}"/>
    <cellStyle name="Normal 2 4 2 5 6 6" xfId="10571" xr:uid="{D34F3773-4B02-460D-B83A-31D6352FFEC5}"/>
    <cellStyle name="Normal 2 4 2 5 7" xfId="2469" xr:uid="{00000000-0005-0000-0000-0000AB0F0000}"/>
    <cellStyle name="Normal 2 4 2 5 7 2" xfId="6752" xr:uid="{00000000-0005-0000-0000-0000AC0F0000}"/>
    <cellStyle name="Normal 2 4 2 5 7 2 2" xfId="32084" xr:uid="{832D0614-39C8-4256-B5C2-C2960B112C9A}"/>
    <cellStyle name="Normal 2 4 2 5 7 2 3" xfId="23643" xr:uid="{ECB0AB7B-F1A0-4EA4-AA8D-BB10E401A7DB}"/>
    <cellStyle name="Normal 2 4 2 5 7 2 4" xfId="15202" xr:uid="{6D496894-7C4B-4484-8DA9-EF92C7474025}"/>
    <cellStyle name="Normal 2 4 2 5 7 3" xfId="27866" xr:uid="{9789FB35-4813-4835-80A0-08EC65FCE92B}"/>
    <cellStyle name="Normal 2 4 2 5 7 4" xfId="19425" xr:uid="{A0B8EF74-BC8D-483D-8CEB-B13F314A9701}"/>
    <cellStyle name="Normal 2 4 2 5 7 5" xfId="10984" xr:uid="{5DEDF9FF-2151-44CE-9925-3974E5D270F2}"/>
    <cellStyle name="Normal 2 4 2 5 8" xfId="4686" xr:uid="{00000000-0005-0000-0000-0000AD0F0000}"/>
    <cellStyle name="Normal 2 4 2 5 8 2" xfId="30018" xr:uid="{6E67E4F3-CC5F-4E8A-9E0E-6291925BC005}"/>
    <cellStyle name="Normal 2 4 2 5 8 3" xfId="21577" xr:uid="{0E8BFCC6-25FB-49B3-BB70-AF3F5CF56AE7}"/>
    <cellStyle name="Normal 2 4 2 5 8 4" xfId="13136" xr:uid="{E81C7A38-CE77-4864-83F2-444D0536B46D}"/>
    <cellStyle name="Normal 2 4 2 5 9" xfId="25800" xr:uid="{C766A6FB-85E6-4EBA-BFD9-B6FEFE264DAF}"/>
    <cellStyle name="Normal 2 4 2 6" xfId="295" xr:uid="{00000000-0005-0000-0000-0000AE0F0000}"/>
    <cellStyle name="Normal 2 4 2 6 10" xfId="8920" xr:uid="{4C27D9EE-C694-4CD0-BD1E-AE302CDC05B3}"/>
    <cellStyle name="Normal 2 4 2 6 2" xfId="786" xr:uid="{00000000-0005-0000-0000-0000AF0F0000}"/>
    <cellStyle name="Normal 2 4 2 6 2 2" xfId="3025" xr:uid="{00000000-0005-0000-0000-0000B00F0000}"/>
    <cellStyle name="Normal 2 4 2 6 2 2 2" xfId="7247" xr:uid="{00000000-0005-0000-0000-0000B10F0000}"/>
    <cellStyle name="Normal 2 4 2 6 2 2 2 2" xfId="32579" xr:uid="{22429F75-EF44-46E4-B6BD-827A5DEF8313}"/>
    <cellStyle name="Normal 2 4 2 6 2 2 2 3" xfId="24138" xr:uid="{06FCC47C-51F8-45D1-A215-32B19DE2ACDF}"/>
    <cellStyle name="Normal 2 4 2 6 2 2 2 4" xfId="15697" xr:uid="{D7BD19D8-F26A-490A-A7DC-C79A6089B1EC}"/>
    <cellStyle name="Normal 2 4 2 6 2 2 3" xfId="28361" xr:uid="{BCA6B8D7-44FB-46D3-8D8A-E0AAA2C0BF23}"/>
    <cellStyle name="Normal 2 4 2 6 2 2 4" xfId="19920" xr:uid="{7440951E-07F9-4952-977E-B983DA505EC6}"/>
    <cellStyle name="Normal 2 4 2 6 2 2 5" xfId="11479" xr:uid="{7065A9AF-17E9-406A-B287-522B9A0E3CED}"/>
    <cellStyle name="Normal 2 4 2 6 2 3" xfId="5102" xr:uid="{00000000-0005-0000-0000-0000B20F0000}"/>
    <cellStyle name="Normal 2 4 2 6 2 3 2" xfId="30434" xr:uid="{AEE2E83F-691D-4CE1-9BB8-7EBCFD0D596F}"/>
    <cellStyle name="Normal 2 4 2 6 2 3 3" xfId="21993" xr:uid="{8E42EF93-A5ED-44CF-820E-4C3C363D8F53}"/>
    <cellStyle name="Normal 2 4 2 6 2 3 4" xfId="13552" xr:uid="{6F5127F0-ED8F-4874-8E18-501320D8539D}"/>
    <cellStyle name="Normal 2 4 2 6 2 4" xfId="26216" xr:uid="{DB4A474C-ECCE-4C47-84B5-017A6417FFF6}"/>
    <cellStyle name="Normal 2 4 2 6 2 5" xfId="17775" xr:uid="{36DD27C7-60EA-45D7-85B5-625CEC81F1ED}"/>
    <cellStyle name="Normal 2 4 2 6 2 6" xfId="9334" xr:uid="{CF2A05D3-1AED-472F-8590-E7AE5DCFE58F}"/>
    <cellStyle name="Normal 2 4 2 6 3" xfId="1208" xr:uid="{00000000-0005-0000-0000-0000B30F0000}"/>
    <cellStyle name="Normal 2 4 2 6 3 2" xfId="3438" xr:uid="{00000000-0005-0000-0000-0000B40F0000}"/>
    <cellStyle name="Normal 2 4 2 6 3 2 2" xfId="7660" xr:uid="{00000000-0005-0000-0000-0000B50F0000}"/>
    <cellStyle name="Normal 2 4 2 6 3 2 2 2" xfId="32992" xr:uid="{361CD545-B404-4C67-89B3-D1A62F60249C}"/>
    <cellStyle name="Normal 2 4 2 6 3 2 2 3" xfId="24551" xr:uid="{A79925FA-007C-49FA-8280-D6468C52E00A}"/>
    <cellStyle name="Normal 2 4 2 6 3 2 2 4" xfId="16110" xr:uid="{09F55611-C55F-4564-9E76-5F427354EC42}"/>
    <cellStyle name="Normal 2 4 2 6 3 2 3" xfId="28774" xr:uid="{0565CFBA-6458-410B-B9C8-8937C4F32D82}"/>
    <cellStyle name="Normal 2 4 2 6 3 2 4" xfId="20333" xr:uid="{C257F955-5BA6-4D25-B52F-7A41B76ED0AC}"/>
    <cellStyle name="Normal 2 4 2 6 3 2 5" xfId="11892" xr:uid="{084F520F-48E2-40B0-9A2C-31279E46CEA4}"/>
    <cellStyle name="Normal 2 4 2 6 3 3" xfId="5515" xr:uid="{00000000-0005-0000-0000-0000B60F0000}"/>
    <cellStyle name="Normal 2 4 2 6 3 3 2" xfId="30847" xr:uid="{FAD930F7-0B09-4B56-AF7B-860A4C261F80}"/>
    <cellStyle name="Normal 2 4 2 6 3 3 3" xfId="22406" xr:uid="{15A87BC5-224F-49A7-B7EB-EDBF7F0F23D3}"/>
    <cellStyle name="Normal 2 4 2 6 3 3 4" xfId="13965" xr:uid="{975D3DB3-6735-4E01-BFE2-77B92FBC89CC}"/>
    <cellStyle name="Normal 2 4 2 6 3 4" xfId="26629" xr:uid="{0F46CBDA-B476-467C-9704-4E38BE4675DD}"/>
    <cellStyle name="Normal 2 4 2 6 3 5" xfId="18188" xr:uid="{E43D9F8A-A4F0-46A2-B14D-8DB7F75BD013}"/>
    <cellStyle name="Normal 2 4 2 6 3 6" xfId="9747" xr:uid="{BFC02345-7A3C-4580-81B6-2B7912CAC4B7}"/>
    <cellStyle name="Normal 2 4 2 6 4" xfId="1621" xr:uid="{00000000-0005-0000-0000-0000B70F0000}"/>
    <cellStyle name="Normal 2 4 2 6 4 2" xfId="3851" xr:uid="{00000000-0005-0000-0000-0000B80F0000}"/>
    <cellStyle name="Normal 2 4 2 6 4 2 2" xfId="8073" xr:uid="{00000000-0005-0000-0000-0000B90F0000}"/>
    <cellStyle name="Normal 2 4 2 6 4 2 2 2" xfId="33405" xr:uid="{A66D993A-72B4-456E-B4F5-6C54DE642D80}"/>
    <cellStyle name="Normal 2 4 2 6 4 2 2 3" xfId="24964" xr:uid="{F9EE3D5D-FD9C-40EC-A606-15466554367E}"/>
    <cellStyle name="Normal 2 4 2 6 4 2 2 4" xfId="16523" xr:uid="{34E0DD79-2B5C-4CC1-8F88-7191B838E019}"/>
    <cellStyle name="Normal 2 4 2 6 4 2 3" xfId="29187" xr:uid="{C1EC026C-3CDF-4C32-A63C-5F245F4C5408}"/>
    <cellStyle name="Normal 2 4 2 6 4 2 4" xfId="20746" xr:uid="{A10CFEDF-2177-4713-8273-A2CDF18AF6E5}"/>
    <cellStyle name="Normal 2 4 2 6 4 2 5" xfId="12305" xr:uid="{DD9128AD-CAE4-4651-8D38-3D95B5CD355A}"/>
    <cellStyle name="Normal 2 4 2 6 4 3" xfId="5928" xr:uid="{00000000-0005-0000-0000-0000BA0F0000}"/>
    <cellStyle name="Normal 2 4 2 6 4 3 2" xfId="31260" xr:uid="{73428403-7FEC-44EA-AAB2-DF7FE2803D03}"/>
    <cellStyle name="Normal 2 4 2 6 4 3 3" xfId="22819" xr:uid="{43F9E1C1-C1DF-46C2-8500-7CA1D22E6241}"/>
    <cellStyle name="Normal 2 4 2 6 4 3 4" xfId="14378" xr:uid="{19F738B1-5A4A-49DA-85DF-2585D867A01E}"/>
    <cellStyle name="Normal 2 4 2 6 4 4" xfId="27042" xr:uid="{0DF16F47-A435-4561-8D84-9B7C1D9CF208}"/>
    <cellStyle name="Normal 2 4 2 6 4 5" xfId="18601" xr:uid="{803CD89C-041F-4E16-918E-D48DA348109D}"/>
    <cellStyle name="Normal 2 4 2 6 4 6" xfId="10160" xr:uid="{012BBBFB-4C89-44A3-9D08-482548EAA533}"/>
    <cellStyle name="Normal 2 4 2 6 5" xfId="2035" xr:uid="{00000000-0005-0000-0000-0000BB0F0000}"/>
    <cellStyle name="Normal 2 4 2 6 5 2" xfId="4264" xr:uid="{00000000-0005-0000-0000-0000BC0F0000}"/>
    <cellStyle name="Normal 2 4 2 6 5 2 2" xfId="8486" xr:uid="{00000000-0005-0000-0000-0000BD0F0000}"/>
    <cellStyle name="Normal 2 4 2 6 5 2 2 2" xfId="33818" xr:uid="{2A365932-8B33-418A-9BF2-ECBA6252CD20}"/>
    <cellStyle name="Normal 2 4 2 6 5 2 2 3" xfId="25377" xr:uid="{1E914139-9A13-41EC-9CF7-A8F2A4E947A4}"/>
    <cellStyle name="Normal 2 4 2 6 5 2 2 4" xfId="16936" xr:uid="{2762E62F-9B46-4820-9A7E-73B3878E46D6}"/>
    <cellStyle name="Normal 2 4 2 6 5 2 3" xfId="29600" xr:uid="{1AD63FE0-D16D-47A4-BE8F-624A41E3E0C5}"/>
    <cellStyle name="Normal 2 4 2 6 5 2 4" xfId="21159" xr:uid="{C2C92F8B-30DA-4EC2-88FB-5AC43003D6E0}"/>
    <cellStyle name="Normal 2 4 2 6 5 2 5" xfId="12718" xr:uid="{3E4A8258-7854-42E8-B82A-B048B92CA5D5}"/>
    <cellStyle name="Normal 2 4 2 6 5 3" xfId="6341" xr:uid="{00000000-0005-0000-0000-0000BE0F0000}"/>
    <cellStyle name="Normal 2 4 2 6 5 3 2" xfId="31673" xr:uid="{93FEE4B9-7E76-409D-AEE2-7051A8895A50}"/>
    <cellStyle name="Normal 2 4 2 6 5 3 3" xfId="23232" xr:uid="{6549A1BF-9C26-4EF3-9E80-F5E3D172D918}"/>
    <cellStyle name="Normal 2 4 2 6 5 3 4" xfId="14791" xr:uid="{4D94443D-867C-4FB5-8585-3081FE2719BF}"/>
    <cellStyle name="Normal 2 4 2 6 5 4" xfId="27455" xr:uid="{23B9B3F1-9321-4B92-86DF-350C61CDEBAC}"/>
    <cellStyle name="Normal 2 4 2 6 5 5" xfId="19014" xr:uid="{45810B8A-5AB3-4589-B1DC-8E0A8131E6B9}"/>
    <cellStyle name="Normal 2 4 2 6 5 6" xfId="10573" xr:uid="{7EF8E4FF-E8A4-446E-8DE1-67B4C1CC7CA3}"/>
    <cellStyle name="Normal 2 4 2 6 6" xfId="2471" xr:uid="{00000000-0005-0000-0000-0000BF0F0000}"/>
    <cellStyle name="Normal 2 4 2 6 6 2" xfId="6754" xr:uid="{00000000-0005-0000-0000-0000C00F0000}"/>
    <cellStyle name="Normal 2 4 2 6 6 2 2" xfId="32086" xr:uid="{54DE4339-1628-4F9B-A06F-11851F28F2DF}"/>
    <cellStyle name="Normal 2 4 2 6 6 2 3" xfId="23645" xr:uid="{7A42EB0D-0BF9-48D0-AC13-9F8F84952B57}"/>
    <cellStyle name="Normal 2 4 2 6 6 2 4" xfId="15204" xr:uid="{B8984BAE-6EA8-4720-BEE5-B57DB64AE624}"/>
    <cellStyle name="Normal 2 4 2 6 6 3" xfId="27868" xr:uid="{B71A0AB4-A88F-4D90-A820-B4EE949A2A6F}"/>
    <cellStyle name="Normal 2 4 2 6 6 4" xfId="19427" xr:uid="{A76F45A2-6835-4739-8A8E-8D4CAE01AB11}"/>
    <cellStyle name="Normal 2 4 2 6 6 5" xfId="10986" xr:uid="{07C964C2-FA23-4CA2-8679-B13DD91D9F86}"/>
    <cellStyle name="Normal 2 4 2 6 7" xfId="4688" xr:uid="{00000000-0005-0000-0000-0000C10F0000}"/>
    <cellStyle name="Normal 2 4 2 6 7 2" xfId="30020" xr:uid="{1016005A-E013-482D-8568-F45DD69C5C9C}"/>
    <cellStyle name="Normal 2 4 2 6 7 3" xfId="21579" xr:uid="{E27BA3EE-AB07-47C9-88C6-7D8030755182}"/>
    <cellStyle name="Normal 2 4 2 6 7 4" xfId="13138" xr:uid="{46E22CA7-9B16-44FA-853B-417BEC71BAD9}"/>
    <cellStyle name="Normal 2 4 2 6 8" xfId="25802" xr:uid="{F72EB068-F60A-4315-819B-273B9995DFC1}"/>
    <cellStyle name="Normal 2 4 2 6 9" xfId="17361" xr:uid="{262BCBFC-C583-43DD-BAA3-5881731D8A25}"/>
    <cellStyle name="Normal 2 4 2 7" xfId="771" xr:uid="{00000000-0005-0000-0000-0000C20F0000}"/>
    <cellStyle name="Normal 2 4 2 7 2" xfId="3010" xr:uid="{00000000-0005-0000-0000-0000C30F0000}"/>
    <cellStyle name="Normal 2 4 2 7 2 2" xfId="7232" xr:uid="{00000000-0005-0000-0000-0000C40F0000}"/>
    <cellStyle name="Normal 2 4 2 7 2 2 2" xfId="32564" xr:uid="{8B27B11D-77F0-4EF1-B085-CB4AAC815B8B}"/>
    <cellStyle name="Normal 2 4 2 7 2 2 3" xfId="24123" xr:uid="{608C178D-3912-422B-BA91-CFB9E6B97E61}"/>
    <cellStyle name="Normal 2 4 2 7 2 2 4" xfId="15682" xr:uid="{93BD698D-27F8-4EC3-A97B-CD133F6E3788}"/>
    <cellStyle name="Normal 2 4 2 7 2 3" xfId="28346" xr:uid="{3DB66F09-1DB7-47C0-BB65-B68DB55A82D6}"/>
    <cellStyle name="Normal 2 4 2 7 2 4" xfId="19905" xr:uid="{F9EB746B-F6E4-48B2-80AF-9D40618D1F83}"/>
    <cellStyle name="Normal 2 4 2 7 2 5" xfId="11464" xr:uid="{9320A60C-AC05-4BBE-8B0D-533E45E231D4}"/>
    <cellStyle name="Normal 2 4 2 7 3" xfId="5087" xr:uid="{00000000-0005-0000-0000-0000C50F0000}"/>
    <cellStyle name="Normal 2 4 2 7 3 2" xfId="30419" xr:uid="{E2674809-7A1C-4889-B39F-F0B6573C9910}"/>
    <cellStyle name="Normal 2 4 2 7 3 3" xfId="21978" xr:uid="{6F1D6B0E-EF82-4D25-B000-2538B06F4F00}"/>
    <cellStyle name="Normal 2 4 2 7 3 4" xfId="13537" xr:uid="{B00A0F64-9C83-43A7-8E9B-F1A8C9517B5C}"/>
    <cellStyle name="Normal 2 4 2 7 4" xfId="26201" xr:uid="{14350223-CF4E-4EBB-8DCE-0BB5F5A7D7A5}"/>
    <cellStyle name="Normal 2 4 2 7 5" xfId="17760" xr:uid="{822D9F8B-0E98-43E9-BBD5-9326CA7C490A}"/>
    <cellStyle name="Normal 2 4 2 7 6" xfId="9319" xr:uid="{6690D89B-3CF2-4FFB-A2E5-58779781D72D}"/>
    <cellStyle name="Normal 2 4 2 8" xfId="1193" xr:uid="{00000000-0005-0000-0000-0000C60F0000}"/>
    <cellStyle name="Normal 2 4 2 8 2" xfId="3423" xr:uid="{00000000-0005-0000-0000-0000C70F0000}"/>
    <cellStyle name="Normal 2 4 2 8 2 2" xfId="7645" xr:uid="{00000000-0005-0000-0000-0000C80F0000}"/>
    <cellStyle name="Normal 2 4 2 8 2 2 2" xfId="32977" xr:uid="{7068EF45-CFB1-4134-A609-3C52D7421F97}"/>
    <cellStyle name="Normal 2 4 2 8 2 2 3" xfId="24536" xr:uid="{FDF03C0B-8B31-46D0-ABBE-10CE0C1EC6BB}"/>
    <cellStyle name="Normal 2 4 2 8 2 2 4" xfId="16095" xr:uid="{3E219ED9-C92A-40E0-826D-10EDA164E04D}"/>
    <cellStyle name="Normal 2 4 2 8 2 3" xfId="28759" xr:uid="{AC62AE75-8D8F-4DB0-B5B0-9FE7DF4A6112}"/>
    <cellStyle name="Normal 2 4 2 8 2 4" xfId="20318" xr:uid="{761E7E72-7E3A-49F4-9C11-20E98D437669}"/>
    <cellStyle name="Normal 2 4 2 8 2 5" xfId="11877" xr:uid="{3A5DF3C9-C5AA-4A31-BFF9-D53D05363A08}"/>
    <cellStyle name="Normal 2 4 2 8 3" xfId="5500" xr:uid="{00000000-0005-0000-0000-0000C90F0000}"/>
    <cellStyle name="Normal 2 4 2 8 3 2" xfId="30832" xr:uid="{49825B48-3771-41A1-8257-B80159ECBD7A}"/>
    <cellStyle name="Normal 2 4 2 8 3 3" xfId="22391" xr:uid="{BFE55520-4B26-4E14-8E5A-1DB2E0DE8904}"/>
    <cellStyle name="Normal 2 4 2 8 3 4" xfId="13950" xr:uid="{18851436-D8A2-421D-833D-038E06F5247B}"/>
    <cellStyle name="Normal 2 4 2 8 4" xfId="26614" xr:uid="{CEA9D139-E823-4F9A-942D-EBD93FC32B1B}"/>
    <cellStyle name="Normal 2 4 2 8 5" xfId="18173" xr:uid="{10CD6249-D0FD-43BC-ABC0-97CDA3F6468F}"/>
    <cellStyle name="Normal 2 4 2 8 6" xfId="9732" xr:uid="{D8B42E71-1D2B-4566-A6EA-02BECC05F090}"/>
    <cellStyle name="Normal 2 4 2 9" xfId="1606" xr:uid="{00000000-0005-0000-0000-0000CA0F0000}"/>
    <cellStyle name="Normal 2 4 2 9 2" xfId="3836" xr:uid="{00000000-0005-0000-0000-0000CB0F0000}"/>
    <cellStyle name="Normal 2 4 2 9 2 2" xfId="8058" xr:uid="{00000000-0005-0000-0000-0000CC0F0000}"/>
    <cellStyle name="Normal 2 4 2 9 2 2 2" xfId="33390" xr:uid="{CB0E1CC6-4B8B-4F5E-9225-43C43873E5AF}"/>
    <cellStyle name="Normal 2 4 2 9 2 2 3" xfId="24949" xr:uid="{46AF0E7B-2662-48B2-95C9-2C36B23FC6A7}"/>
    <cellStyle name="Normal 2 4 2 9 2 2 4" xfId="16508" xr:uid="{9C7D0119-E166-49FC-982A-854AB3265982}"/>
    <cellStyle name="Normal 2 4 2 9 2 3" xfId="29172" xr:uid="{5D0092B0-D73C-430F-BF5D-233FB69DAE47}"/>
    <cellStyle name="Normal 2 4 2 9 2 4" xfId="20731" xr:uid="{95E8E38E-B040-4C3C-8F27-56E78348977F}"/>
    <cellStyle name="Normal 2 4 2 9 2 5" xfId="12290" xr:uid="{C9AC2BC0-ACBB-431B-8E33-DEA1C7A084A5}"/>
    <cellStyle name="Normal 2 4 2 9 3" xfId="5913" xr:uid="{00000000-0005-0000-0000-0000CD0F0000}"/>
    <cellStyle name="Normal 2 4 2 9 3 2" xfId="31245" xr:uid="{9E5296C9-02B1-4B66-BF1F-0CC27015CEA3}"/>
    <cellStyle name="Normal 2 4 2 9 3 3" xfId="22804" xr:uid="{21FBB870-F1E8-4A3A-A759-1617895BC470}"/>
    <cellStyle name="Normal 2 4 2 9 3 4" xfId="14363" xr:uid="{99731E73-4811-4491-BFC3-7A40E3C2C424}"/>
    <cellStyle name="Normal 2 4 2 9 4" xfId="27027" xr:uid="{B16958B1-B5F4-489E-828D-3C976B6E0EE7}"/>
    <cellStyle name="Normal 2 4 2 9 5" xfId="18586" xr:uid="{2D8421E2-C05E-44E9-9375-A5C0739592A3}"/>
    <cellStyle name="Normal 2 4 2 9 6" xfId="10145" xr:uid="{07C6D1E8-2A8B-43C8-BB20-E6D150E1ABA3}"/>
    <cellStyle name="Normal 2 4 3" xfId="296" xr:uid="{00000000-0005-0000-0000-0000CE0F0000}"/>
    <cellStyle name="Normal 2 4 3 10" xfId="25803" xr:uid="{1A6C1BD9-A6F7-4FEC-8C22-AD80298B7F0E}"/>
    <cellStyle name="Normal 2 4 3 11" xfId="17362" xr:uid="{DB305E2A-515C-4210-9194-39DEDA99D4AC}"/>
    <cellStyle name="Normal 2 4 3 12" xfId="8921" xr:uid="{EBBB5964-7ADC-4461-8494-DD03A0FC29E8}"/>
    <cellStyle name="Normal 2 4 3 2" xfId="297" xr:uid="{00000000-0005-0000-0000-0000CF0F0000}"/>
    <cellStyle name="Normal 2 4 3 3" xfId="298" xr:uid="{00000000-0005-0000-0000-0000D00F0000}"/>
    <cellStyle name="Normal 2 4 3 3 10" xfId="25804" xr:uid="{9B266EBD-7CF3-4585-87D0-B2BE4ACBF668}"/>
    <cellStyle name="Normal 2 4 3 3 11" xfId="17363" xr:uid="{49A57BF3-6DB8-4A59-9129-2DBB4B28BF78}"/>
    <cellStyle name="Normal 2 4 3 3 12" xfId="8922" xr:uid="{24A81ECD-38D3-4460-B2B0-23F070A1A0BC}"/>
    <cellStyle name="Normal 2 4 3 3 2" xfId="299" xr:uid="{00000000-0005-0000-0000-0000D10F0000}"/>
    <cellStyle name="Normal 2 4 3 3 2 10" xfId="17364" xr:uid="{D4845D3D-D535-42FB-8EE2-5F5C1194B8B1}"/>
    <cellStyle name="Normal 2 4 3 3 2 11" xfId="8923" xr:uid="{17A45EAC-985F-4DD5-A83F-65295BC38CFC}"/>
    <cellStyle name="Normal 2 4 3 3 2 2" xfId="300" xr:uid="{00000000-0005-0000-0000-0000D20F0000}"/>
    <cellStyle name="Normal 2 4 3 3 2 2 10" xfId="8924" xr:uid="{8ED04D9A-24CF-4D14-80FA-865FCD81711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2 2 2" xfId="32583" xr:uid="{F8BAC4D9-F13A-41C4-9803-1FEB2EA0DDE0}"/>
    <cellStyle name="Normal 2 4 3 3 2 2 2 2 2 3" xfId="24142" xr:uid="{4609E405-6C97-4491-B6F0-68EBE75FFEFB}"/>
    <cellStyle name="Normal 2 4 3 3 2 2 2 2 2 4" xfId="15701" xr:uid="{7DEA76CB-EAAC-480F-9034-D0A5932A0BFE}"/>
    <cellStyle name="Normal 2 4 3 3 2 2 2 2 3" xfId="28365" xr:uid="{1313D163-336A-478F-B7C8-D459012D2BB5}"/>
    <cellStyle name="Normal 2 4 3 3 2 2 2 2 4" xfId="19924" xr:uid="{56EBAD37-8EA2-46BC-9154-8069874063DD}"/>
    <cellStyle name="Normal 2 4 3 3 2 2 2 2 5" xfId="11483" xr:uid="{0D548D6B-DE92-4F9A-BBF4-C210FB70A463}"/>
    <cellStyle name="Normal 2 4 3 3 2 2 2 3" xfId="5106" xr:uid="{00000000-0005-0000-0000-0000D60F0000}"/>
    <cellStyle name="Normal 2 4 3 3 2 2 2 3 2" xfId="30438" xr:uid="{570E7EBB-F7C5-449D-A49C-5B6BDBC38E1A}"/>
    <cellStyle name="Normal 2 4 3 3 2 2 2 3 3" xfId="21997" xr:uid="{3A73F003-56E3-41CC-844A-A001D6E589D8}"/>
    <cellStyle name="Normal 2 4 3 3 2 2 2 3 4" xfId="13556" xr:uid="{F2AD17A7-A2F9-490E-96E6-69E52ECA69AA}"/>
    <cellStyle name="Normal 2 4 3 3 2 2 2 4" xfId="26220" xr:uid="{5F1F310B-467E-4A81-8CBF-4C45CC7C9BC1}"/>
    <cellStyle name="Normal 2 4 3 3 2 2 2 5" xfId="17779" xr:uid="{0BD05644-BB9C-4C6C-BE17-3A28956A2E91}"/>
    <cellStyle name="Normal 2 4 3 3 2 2 2 6" xfId="9338" xr:uid="{6616FCCB-E97A-4254-A187-CF0C70B8B47B}"/>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2 2 2" xfId="32996" xr:uid="{80439749-8C87-41EC-861A-95B4A84EAF5C}"/>
    <cellStyle name="Normal 2 4 3 3 2 2 3 2 2 3" xfId="24555" xr:uid="{079D4CA2-BD85-4379-ABDD-F5C428C0CAD4}"/>
    <cellStyle name="Normal 2 4 3 3 2 2 3 2 2 4" xfId="16114" xr:uid="{35581E46-3B83-4E63-B439-C438F41A5EFC}"/>
    <cellStyle name="Normal 2 4 3 3 2 2 3 2 3" xfId="28778" xr:uid="{AA8B2442-7065-4165-BA6C-9A41B63A1AAE}"/>
    <cellStyle name="Normal 2 4 3 3 2 2 3 2 4" xfId="20337" xr:uid="{EFADC411-1B8F-4260-A952-F71894B82114}"/>
    <cellStyle name="Normal 2 4 3 3 2 2 3 2 5" xfId="11896" xr:uid="{47551123-6722-48ED-8737-E31A1A045D40}"/>
    <cellStyle name="Normal 2 4 3 3 2 2 3 3" xfId="5519" xr:uid="{00000000-0005-0000-0000-0000DA0F0000}"/>
    <cellStyle name="Normal 2 4 3 3 2 2 3 3 2" xfId="30851" xr:uid="{B37294C6-380B-4081-BA8F-D2B09FF1B543}"/>
    <cellStyle name="Normal 2 4 3 3 2 2 3 3 3" xfId="22410" xr:uid="{9A17CC0D-AB36-433B-A1BD-3C6516CAA7CD}"/>
    <cellStyle name="Normal 2 4 3 3 2 2 3 3 4" xfId="13969" xr:uid="{EB17458C-576D-4926-A625-F89C6AB2DB0E}"/>
    <cellStyle name="Normal 2 4 3 3 2 2 3 4" xfId="26633" xr:uid="{16EAC5FD-5FE9-4833-AF34-97CC5C4A4066}"/>
    <cellStyle name="Normal 2 4 3 3 2 2 3 5" xfId="18192" xr:uid="{16D7E878-B573-4332-82CB-19E4449DB8E6}"/>
    <cellStyle name="Normal 2 4 3 3 2 2 3 6" xfId="9751" xr:uid="{31BF1255-9C7E-4EA1-8D4E-5EA093BD282A}"/>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2 2 2" xfId="33409" xr:uid="{CA660C7E-6E97-4B88-A9A8-B75100A83E58}"/>
    <cellStyle name="Normal 2 4 3 3 2 2 4 2 2 3" xfId="24968" xr:uid="{91763738-5690-4900-B17D-B9CBA058E7EA}"/>
    <cellStyle name="Normal 2 4 3 3 2 2 4 2 2 4" xfId="16527" xr:uid="{AE07682F-BA9B-4E66-A155-B6123BACAA8E}"/>
    <cellStyle name="Normal 2 4 3 3 2 2 4 2 3" xfId="29191" xr:uid="{09F02967-DC3D-41EF-BD38-87D67A40AC64}"/>
    <cellStyle name="Normal 2 4 3 3 2 2 4 2 4" xfId="20750" xr:uid="{B382E098-442D-461E-AE77-C6C260F018E9}"/>
    <cellStyle name="Normal 2 4 3 3 2 2 4 2 5" xfId="12309" xr:uid="{9FE2AAF6-11C0-452E-9E69-7F385BED84D5}"/>
    <cellStyle name="Normal 2 4 3 3 2 2 4 3" xfId="5932" xr:uid="{00000000-0005-0000-0000-0000DE0F0000}"/>
    <cellStyle name="Normal 2 4 3 3 2 2 4 3 2" xfId="31264" xr:uid="{CF3A43F6-49D7-4320-BB42-46EE1F024FC1}"/>
    <cellStyle name="Normal 2 4 3 3 2 2 4 3 3" xfId="22823" xr:uid="{0608AABE-49DD-4B23-958C-0C711BCB2C23}"/>
    <cellStyle name="Normal 2 4 3 3 2 2 4 3 4" xfId="14382" xr:uid="{7E8483C1-367C-4588-89C0-E0A8229FC587}"/>
    <cellStyle name="Normal 2 4 3 3 2 2 4 4" xfId="27046" xr:uid="{59817CBD-2832-499F-98BA-7880EAD4EB60}"/>
    <cellStyle name="Normal 2 4 3 3 2 2 4 5" xfId="18605" xr:uid="{ABC145A3-9187-4362-A445-3DCFC3B91EE8}"/>
    <cellStyle name="Normal 2 4 3 3 2 2 4 6" xfId="10164" xr:uid="{3A9C1438-3EC1-4380-BDE9-EE00381C0BED}"/>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2 2 2" xfId="33822" xr:uid="{ECC7C0AF-81D7-455B-9F35-93CEBDE5AB73}"/>
    <cellStyle name="Normal 2 4 3 3 2 2 5 2 2 3" xfId="25381" xr:uid="{C1F2280B-A445-49F7-97BC-FC5CB2099115}"/>
    <cellStyle name="Normal 2 4 3 3 2 2 5 2 2 4" xfId="16940" xr:uid="{D43E761A-F150-451D-8E65-34CC1D4878E6}"/>
    <cellStyle name="Normal 2 4 3 3 2 2 5 2 3" xfId="29604" xr:uid="{A4F0857E-EA57-4EFA-8E84-AC49026AE645}"/>
    <cellStyle name="Normal 2 4 3 3 2 2 5 2 4" xfId="21163" xr:uid="{D9BA7F65-0C7A-4E63-90CF-685A7749AE4F}"/>
    <cellStyle name="Normal 2 4 3 3 2 2 5 2 5" xfId="12722" xr:uid="{4D420443-A4DB-4194-AB12-6907BE25B472}"/>
    <cellStyle name="Normal 2 4 3 3 2 2 5 3" xfId="6345" xr:uid="{00000000-0005-0000-0000-0000E20F0000}"/>
    <cellStyle name="Normal 2 4 3 3 2 2 5 3 2" xfId="31677" xr:uid="{6608E7B7-9504-4267-811B-351D93C57259}"/>
    <cellStyle name="Normal 2 4 3 3 2 2 5 3 3" xfId="23236" xr:uid="{2A0CC632-79FB-4389-989F-7F9B98CD5B57}"/>
    <cellStyle name="Normal 2 4 3 3 2 2 5 3 4" xfId="14795" xr:uid="{AF7C7969-B349-492F-8A75-BE2A55E8265A}"/>
    <cellStyle name="Normal 2 4 3 3 2 2 5 4" xfId="27459" xr:uid="{B9287532-3A6F-456C-8A7A-73B05762C31A}"/>
    <cellStyle name="Normal 2 4 3 3 2 2 5 5" xfId="19018" xr:uid="{53E76A2B-AE34-48A1-AB0F-7819DE98C8FA}"/>
    <cellStyle name="Normal 2 4 3 3 2 2 5 6" xfId="10577" xr:uid="{35E16B23-1038-4CA9-867D-89905CDBD4D1}"/>
    <cellStyle name="Normal 2 4 3 3 2 2 6" xfId="2475" xr:uid="{00000000-0005-0000-0000-0000E30F0000}"/>
    <cellStyle name="Normal 2 4 3 3 2 2 6 2" xfId="6758" xr:uid="{00000000-0005-0000-0000-0000E40F0000}"/>
    <cellStyle name="Normal 2 4 3 3 2 2 6 2 2" xfId="32090" xr:uid="{4B841D6E-B3F0-4F14-8BBB-1BAA660CF6D6}"/>
    <cellStyle name="Normal 2 4 3 3 2 2 6 2 3" xfId="23649" xr:uid="{BF2135A6-272E-4B6A-A415-71E8DE951D7D}"/>
    <cellStyle name="Normal 2 4 3 3 2 2 6 2 4" xfId="15208" xr:uid="{24E53926-630F-4C11-ABFB-97F6D2C29DFF}"/>
    <cellStyle name="Normal 2 4 3 3 2 2 6 3" xfId="27872" xr:uid="{A84D4269-EBCE-48B3-A2A9-E34B66A4D148}"/>
    <cellStyle name="Normal 2 4 3 3 2 2 6 4" xfId="19431" xr:uid="{8590C998-BDF5-471E-A286-D8D4609F5090}"/>
    <cellStyle name="Normal 2 4 3 3 2 2 6 5" xfId="10990" xr:uid="{655722A7-4C9E-4BEB-8501-E72AC4D93CE5}"/>
    <cellStyle name="Normal 2 4 3 3 2 2 7" xfId="4692" xr:uid="{00000000-0005-0000-0000-0000E50F0000}"/>
    <cellStyle name="Normal 2 4 3 3 2 2 7 2" xfId="30024" xr:uid="{80EC7B98-5021-4ED5-83D8-9FE6B28FBC1A}"/>
    <cellStyle name="Normal 2 4 3 3 2 2 7 3" xfId="21583" xr:uid="{F8F2D71A-842A-4255-B89E-3FA35EC1CE6F}"/>
    <cellStyle name="Normal 2 4 3 3 2 2 7 4" xfId="13142" xr:uid="{B2F72C61-FF9F-4CFD-B9A4-58D0686EC84C}"/>
    <cellStyle name="Normal 2 4 3 3 2 2 8" xfId="25806" xr:uid="{BDB16FD4-FF62-421A-8E18-21B53C24F6E8}"/>
    <cellStyle name="Normal 2 4 3 3 2 2 9" xfId="17365" xr:uid="{D68C08B4-26CF-4A8A-AD85-B3ED432BD7E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2 2 2" xfId="32582" xr:uid="{747B52B1-3567-4080-8DB9-99C5991C67AC}"/>
    <cellStyle name="Normal 2 4 3 3 2 3 2 2 3" xfId="24141" xr:uid="{4216648F-B2BA-4DB7-928D-E5BD0C993C2F}"/>
    <cellStyle name="Normal 2 4 3 3 2 3 2 2 4" xfId="15700" xr:uid="{8D319681-3539-40A7-A1FD-4016C2ABBB2C}"/>
    <cellStyle name="Normal 2 4 3 3 2 3 2 3" xfId="28364" xr:uid="{2082F11A-DF29-4831-AC55-3CE63A854A33}"/>
    <cellStyle name="Normal 2 4 3 3 2 3 2 4" xfId="19923" xr:uid="{44807FBD-54C0-4E19-87F6-5E0F3FF89011}"/>
    <cellStyle name="Normal 2 4 3 3 2 3 2 5" xfId="11482" xr:uid="{1BAE6FFE-0D24-48B5-A6B5-31CCD0978070}"/>
    <cellStyle name="Normal 2 4 3 3 2 3 3" xfId="5105" xr:uid="{00000000-0005-0000-0000-0000E90F0000}"/>
    <cellStyle name="Normal 2 4 3 3 2 3 3 2" xfId="30437" xr:uid="{0C49BA00-AC1B-4733-952D-99CC6CC7C8F9}"/>
    <cellStyle name="Normal 2 4 3 3 2 3 3 3" xfId="21996" xr:uid="{BFC55A72-6BA0-4990-83A9-A649489AE225}"/>
    <cellStyle name="Normal 2 4 3 3 2 3 3 4" xfId="13555" xr:uid="{583875FE-780E-4AF2-B4AC-7FCF752E20AD}"/>
    <cellStyle name="Normal 2 4 3 3 2 3 4" xfId="26219" xr:uid="{D77F8325-15BC-4229-A149-E4123CFA40BC}"/>
    <cellStyle name="Normal 2 4 3 3 2 3 5" xfId="17778" xr:uid="{4F380600-F328-4EF0-A2FF-5B0D04738DDB}"/>
    <cellStyle name="Normal 2 4 3 3 2 3 6" xfId="9337" xr:uid="{01403821-1960-4CAB-B33B-1D54266092A5}"/>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2 2 2" xfId="32995" xr:uid="{27BA13AF-FDFD-4FE7-BE62-44054F5C7D1F}"/>
    <cellStyle name="Normal 2 4 3 3 2 4 2 2 3" xfId="24554" xr:uid="{8A91DC32-BF4C-477F-96E8-48A03CF952DE}"/>
    <cellStyle name="Normal 2 4 3 3 2 4 2 2 4" xfId="16113" xr:uid="{A4B21F6D-EF4F-437B-95B0-A2847A662141}"/>
    <cellStyle name="Normal 2 4 3 3 2 4 2 3" xfId="28777" xr:uid="{D9FFDB8E-58F9-486E-A606-756CCCB83780}"/>
    <cellStyle name="Normal 2 4 3 3 2 4 2 4" xfId="20336" xr:uid="{8C0F9AFB-FBC2-4082-9F8F-1B7433B0536C}"/>
    <cellStyle name="Normal 2 4 3 3 2 4 2 5" xfId="11895" xr:uid="{E920172F-E094-4658-B3A3-4B4EED28238A}"/>
    <cellStyle name="Normal 2 4 3 3 2 4 3" xfId="5518" xr:uid="{00000000-0005-0000-0000-0000ED0F0000}"/>
    <cellStyle name="Normal 2 4 3 3 2 4 3 2" xfId="30850" xr:uid="{AD2E0608-BC3B-43F2-8809-2C6226F80E06}"/>
    <cellStyle name="Normal 2 4 3 3 2 4 3 3" xfId="22409" xr:uid="{DCE2DA38-9216-4DCD-B0CA-06A326CAF537}"/>
    <cellStyle name="Normal 2 4 3 3 2 4 3 4" xfId="13968" xr:uid="{57DFA0D4-DE41-4A66-B869-7AB7E98F8133}"/>
    <cellStyle name="Normal 2 4 3 3 2 4 4" xfId="26632" xr:uid="{C2A066BE-8297-4FCC-B57B-5EEF82F63307}"/>
    <cellStyle name="Normal 2 4 3 3 2 4 5" xfId="18191" xr:uid="{0CA78B47-AB58-44D8-A9FB-A0702032B28B}"/>
    <cellStyle name="Normal 2 4 3 3 2 4 6" xfId="9750" xr:uid="{4131F26A-6214-4808-8793-DF8232C1F102}"/>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2 2 2" xfId="33408" xr:uid="{9FB22E39-51C0-41C7-8EAD-7F0339610B10}"/>
    <cellStyle name="Normal 2 4 3 3 2 5 2 2 3" xfId="24967" xr:uid="{D2747332-3FDE-4DCF-984C-C58747258A69}"/>
    <cellStyle name="Normal 2 4 3 3 2 5 2 2 4" xfId="16526" xr:uid="{6F210660-5466-4F53-BBB5-A08D73708631}"/>
    <cellStyle name="Normal 2 4 3 3 2 5 2 3" xfId="29190" xr:uid="{2546A3F5-A9D9-4C7A-AD18-A049750E70DB}"/>
    <cellStyle name="Normal 2 4 3 3 2 5 2 4" xfId="20749" xr:uid="{A67A9836-6550-4E62-9553-09A968A19A8F}"/>
    <cellStyle name="Normal 2 4 3 3 2 5 2 5" xfId="12308" xr:uid="{E70C1A26-0894-45A1-BC87-2D2F215BB8F1}"/>
    <cellStyle name="Normal 2 4 3 3 2 5 3" xfId="5931" xr:uid="{00000000-0005-0000-0000-0000F10F0000}"/>
    <cellStyle name="Normal 2 4 3 3 2 5 3 2" xfId="31263" xr:uid="{8964567A-260F-41B8-B52A-AA558994819E}"/>
    <cellStyle name="Normal 2 4 3 3 2 5 3 3" xfId="22822" xr:uid="{2814CAD5-2DF1-491B-9F16-9ED9BE7E2480}"/>
    <cellStyle name="Normal 2 4 3 3 2 5 3 4" xfId="14381" xr:uid="{DEF4C3A3-2584-4280-9A90-DFF315C47336}"/>
    <cellStyle name="Normal 2 4 3 3 2 5 4" xfId="27045" xr:uid="{1CC199F8-90F9-4713-827F-8D93B2BC4B2C}"/>
    <cellStyle name="Normal 2 4 3 3 2 5 5" xfId="18604" xr:uid="{0C103DDB-E27F-46B7-838D-92B988ABC2E7}"/>
    <cellStyle name="Normal 2 4 3 3 2 5 6" xfId="10163" xr:uid="{167C0B7F-E3A3-4B56-852C-DF11AB0FE168}"/>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2 2 2" xfId="33821" xr:uid="{9BFE40DB-0F44-4210-BCB2-62BED3E91A8E}"/>
    <cellStyle name="Normal 2 4 3 3 2 6 2 2 3" xfId="25380" xr:uid="{D48DAC1C-64BD-4DC4-BE85-FC968E04B885}"/>
    <cellStyle name="Normal 2 4 3 3 2 6 2 2 4" xfId="16939" xr:uid="{7DCE673D-3468-4514-A75D-9517EACC97EF}"/>
    <cellStyle name="Normal 2 4 3 3 2 6 2 3" xfId="29603" xr:uid="{7919CF8E-7796-473D-80C0-240C132DF81E}"/>
    <cellStyle name="Normal 2 4 3 3 2 6 2 4" xfId="21162" xr:uid="{B2EBC954-3369-4A3B-80A2-AA9A54ED947D}"/>
    <cellStyle name="Normal 2 4 3 3 2 6 2 5" xfId="12721" xr:uid="{7414F8C4-B789-4EC7-873F-65FE4C44B77B}"/>
    <cellStyle name="Normal 2 4 3 3 2 6 3" xfId="6344" xr:uid="{00000000-0005-0000-0000-0000F50F0000}"/>
    <cellStyle name="Normal 2 4 3 3 2 6 3 2" xfId="31676" xr:uid="{1F740586-80B5-412D-BF10-6B732E3FAB46}"/>
    <cellStyle name="Normal 2 4 3 3 2 6 3 3" xfId="23235" xr:uid="{2F928B04-075C-4FF1-B648-29EDB7853FD0}"/>
    <cellStyle name="Normal 2 4 3 3 2 6 3 4" xfId="14794" xr:uid="{4D309212-289F-4340-939F-6A1D334374EA}"/>
    <cellStyle name="Normal 2 4 3 3 2 6 4" xfId="27458" xr:uid="{67D6B4D3-C741-4D1F-B216-1C3E68F2B2DA}"/>
    <cellStyle name="Normal 2 4 3 3 2 6 5" xfId="19017" xr:uid="{591C737B-1492-455F-9B97-C021689A1697}"/>
    <cellStyle name="Normal 2 4 3 3 2 6 6" xfId="10576" xr:uid="{B2065312-A566-45B9-A251-F13D4612CD39}"/>
    <cellStyle name="Normal 2 4 3 3 2 7" xfId="2474" xr:uid="{00000000-0005-0000-0000-0000F60F0000}"/>
    <cellStyle name="Normal 2 4 3 3 2 7 2" xfId="6757" xr:uid="{00000000-0005-0000-0000-0000F70F0000}"/>
    <cellStyle name="Normal 2 4 3 3 2 7 2 2" xfId="32089" xr:uid="{73D24ADA-9CE2-47E7-B970-6C8C7B0EA9D3}"/>
    <cellStyle name="Normal 2 4 3 3 2 7 2 3" xfId="23648" xr:uid="{29E68BE3-0817-405C-A094-63DEA7633AA5}"/>
    <cellStyle name="Normal 2 4 3 3 2 7 2 4" xfId="15207" xr:uid="{76F4E23D-CDE4-44CB-9F97-AF6D83DB51ED}"/>
    <cellStyle name="Normal 2 4 3 3 2 7 3" xfId="27871" xr:uid="{F2FA184B-FA80-4576-A751-ED12984AEFFE}"/>
    <cellStyle name="Normal 2 4 3 3 2 7 4" xfId="19430" xr:uid="{F4C3B05C-3409-42BA-9217-8BC137D19A0A}"/>
    <cellStyle name="Normal 2 4 3 3 2 7 5" xfId="10989" xr:uid="{49104A3B-30D5-4784-A4B4-F9DC29973A58}"/>
    <cellStyle name="Normal 2 4 3 3 2 8" xfId="4691" xr:uid="{00000000-0005-0000-0000-0000F80F0000}"/>
    <cellStyle name="Normal 2 4 3 3 2 8 2" xfId="30023" xr:uid="{3D9650B1-DD7E-426C-B388-A627E7D7A83E}"/>
    <cellStyle name="Normal 2 4 3 3 2 8 3" xfId="21582" xr:uid="{F00267BC-687A-4844-861A-A6A0DA68539A}"/>
    <cellStyle name="Normal 2 4 3 3 2 8 4" xfId="13141" xr:uid="{A3F6E302-6360-4611-8762-735997055E5C}"/>
    <cellStyle name="Normal 2 4 3 3 2 9" xfId="25805" xr:uid="{929D58CB-F54C-460A-970D-08591474453D}"/>
    <cellStyle name="Normal 2 4 3 3 3" xfId="301" xr:uid="{00000000-0005-0000-0000-0000F90F0000}"/>
    <cellStyle name="Normal 2 4 3 3 3 10" xfId="8925" xr:uid="{9AA97B58-C377-4466-A005-C6CE496B9BAA}"/>
    <cellStyle name="Normal 2 4 3 3 3 2" xfId="791" xr:uid="{00000000-0005-0000-0000-0000FA0F0000}"/>
    <cellStyle name="Normal 2 4 3 3 3 2 2" xfId="3030" xr:uid="{00000000-0005-0000-0000-0000FB0F0000}"/>
    <cellStyle name="Normal 2 4 3 3 3 2 2 2" xfId="7252" xr:uid="{00000000-0005-0000-0000-0000FC0F0000}"/>
    <cellStyle name="Normal 2 4 3 3 3 2 2 2 2" xfId="32584" xr:uid="{C99B5E83-FA08-40DB-908D-24932EC0FFBC}"/>
    <cellStyle name="Normal 2 4 3 3 3 2 2 2 3" xfId="24143" xr:uid="{25375E98-7182-4FE5-A62A-A35EB82EF14B}"/>
    <cellStyle name="Normal 2 4 3 3 3 2 2 2 4" xfId="15702" xr:uid="{7F01BD03-4F43-4676-A777-1B9758CB9C76}"/>
    <cellStyle name="Normal 2 4 3 3 3 2 2 3" xfId="28366" xr:uid="{E35AB102-F57C-4AA8-A7BB-A0103B0A8747}"/>
    <cellStyle name="Normal 2 4 3 3 3 2 2 4" xfId="19925" xr:uid="{6460212B-4941-4DA2-A297-686BA2C6BB20}"/>
    <cellStyle name="Normal 2 4 3 3 3 2 2 5" xfId="11484" xr:uid="{7433AACF-33A5-4720-BF64-D6D0540D4108}"/>
    <cellStyle name="Normal 2 4 3 3 3 2 3" xfId="5107" xr:uid="{00000000-0005-0000-0000-0000FD0F0000}"/>
    <cellStyle name="Normal 2 4 3 3 3 2 3 2" xfId="30439" xr:uid="{0694D216-62CA-494C-8FEB-9E8EDDF465AD}"/>
    <cellStyle name="Normal 2 4 3 3 3 2 3 3" xfId="21998" xr:uid="{67371EB2-1B2B-4C12-8F95-523D10E31DF2}"/>
    <cellStyle name="Normal 2 4 3 3 3 2 3 4" xfId="13557" xr:uid="{9EBC6B7A-8B57-4B40-95BC-D637217B54FA}"/>
    <cellStyle name="Normal 2 4 3 3 3 2 4" xfId="26221" xr:uid="{530262A0-E0D9-414A-A177-E70AA8BC9599}"/>
    <cellStyle name="Normal 2 4 3 3 3 2 5" xfId="17780" xr:uid="{CF26C121-D70A-44BA-8F89-B09775EA4AC0}"/>
    <cellStyle name="Normal 2 4 3 3 3 2 6" xfId="9339" xr:uid="{6A6F1C38-0A0B-45D5-A850-1F19742EE8D7}"/>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2 2 2" xfId="32997" xr:uid="{0BF7BDE9-9C7B-492C-AC53-7D12C7F7DAFE}"/>
    <cellStyle name="Normal 2 4 3 3 3 3 2 2 3" xfId="24556" xr:uid="{214CBFD6-1164-4572-839A-82704206E30F}"/>
    <cellStyle name="Normal 2 4 3 3 3 3 2 2 4" xfId="16115" xr:uid="{29E03E30-010F-4361-B748-191EDC650163}"/>
    <cellStyle name="Normal 2 4 3 3 3 3 2 3" xfId="28779" xr:uid="{97FAC3A3-144A-4AE6-A473-647E92A4A4F3}"/>
    <cellStyle name="Normal 2 4 3 3 3 3 2 4" xfId="20338" xr:uid="{A68B147D-53A0-4DC8-AD4E-F98DB13A5684}"/>
    <cellStyle name="Normal 2 4 3 3 3 3 2 5" xfId="11897" xr:uid="{D1296881-A9C1-4DB7-8A65-44A9448C7A22}"/>
    <cellStyle name="Normal 2 4 3 3 3 3 3" xfId="5520" xr:uid="{00000000-0005-0000-0000-000001100000}"/>
    <cellStyle name="Normal 2 4 3 3 3 3 3 2" xfId="30852" xr:uid="{B3FD19D8-0771-439E-A310-1F2FFEE62271}"/>
    <cellStyle name="Normal 2 4 3 3 3 3 3 3" xfId="22411" xr:uid="{4640E11D-A094-433D-8DBD-2E8E65BD48D1}"/>
    <cellStyle name="Normal 2 4 3 3 3 3 3 4" xfId="13970" xr:uid="{3917D7E9-4C48-4F92-B814-8CB8F1A688CF}"/>
    <cellStyle name="Normal 2 4 3 3 3 3 4" xfId="26634" xr:uid="{BA37D123-ACC4-4948-A548-F2AB6108AB07}"/>
    <cellStyle name="Normal 2 4 3 3 3 3 5" xfId="18193" xr:uid="{D7E24DFC-0DE0-49E3-AA32-876F5980945A}"/>
    <cellStyle name="Normal 2 4 3 3 3 3 6" xfId="9752" xr:uid="{C2B8AF37-3F82-43C6-98D0-ACAA54B9F982}"/>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2 2 2" xfId="33410" xr:uid="{4EEE09D5-82F8-4E5B-8752-A2DE22E89B54}"/>
    <cellStyle name="Normal 2 4 3 3 3 4 2 2 3" xfId="24969" xr:uid="{92266DC2-07F6-4289-823D-E3CF66BD53AB}"/>
    <cellStyle name="Normal 2 4 3 3 3 4 2 2 4" xfId="16528" xr:uid="{175B960E-7BB1-4839-8B17-BA21633CE9E1}"/>
    <cellStyle name="Normal 2 4 3 3 3 4 2 3" xfId="29192" xr:uid="{5A45EADA-E02D-4C0B-BCFB-692E67CEC86C}"/>
    <cellStyle name="Normal 2 4 3 3 3 4 2 4" xfId="20751" xr:uid="{FAA6FBBB-3D66-4799-AA44-E08AE36C093B}"/>
    <cellStyle name="Normal 2 4 3 3 3 4 2 5" xfId="12310" xr:uid="{3AC42318-98BA-4FEB-A80A-F0C2DD05EF58}"/>
    <cellStyle name="Normal 2 4 3 3 3 4 3" xfId="5933" xr:uid="{00000000-0005-0000-0000-000005100000}"/>
    <cellStyle name="Normal 2 4 3 3 3 4 3 2" xfId="31265" xr:uid="{B203BB3D-E980-4178-A115-B4D9D962A52E}"/>
    <cellStyle name="Normal 2 4 3 3 3 4 3 3" xfId="22824" xr:uid="{1CAABB3C-EA9F-45B5-B819-13E6F4B68325}"/>
    <cellStyle name="Normal 2 4 3 3 3 4 3 4" xfId="14383" xr:uid="{000BEB00-A39F-4825-A34E-C9DBD2DF6061}"/>
    <cellStyle name="Normal 2 4 3 3 3 4 4" xfId="27047" xr:uid="{4CDF8B05-8664-41D6-929D-81A40D3C91EB}"/>
    <cellStyle name="Normal 2 4 3 3 3 4 5" xfId="18606" xr:uid="{AF24F7BC-CD77-49EC-A152-2A2E2A9C588C}"/>
    <cellStyle name="Normal 2 4 3 3 3 4 6" xfId="10165" xr:uid="{243C28E1-ABEC-4A67-BF6B-44851C746F9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2 2 2" xfId="33823" xr:uid="{216F63F3-F79E-4761-9E7D-3414891C9C8F}"/>
    <cellStyle name="Normal 2 4 3 3 3 5 2 2 3" xfId="25382" xr:uid="{B2635D95-7C90-446A-BB14-9AE5B4302DB5}"/>
    <cellStyle name="Normal 2 4 3 3 3 5 2 2 4" xfId="16941" xr:uid="{51AB4126-CAF9-4C82-880C-6BAE12CE77A7}"/>
    <cellStyle name="Normal 2 4 3 3 3 5 2 3" xfId="29605" xr:uid="{CA19C340-64A1-4680-9F78-DAF2149A1D0B}"/>
    <cellStyle name="Normal 2 4 3 3 3 5 2 4" xfId="21164" xr:uid="{E9C21792-FC43-4A9E-8EC0-8DFAED33BACA}"/>
    <cellStyle name="Normal 2 4 3 3 3 5 2 5" xfId="12723" xr:uid="{6A51A87F-2076-4D06-86BA-78F1827399A7}"/>
    <cellStyle name="Normal 2 4 3 3 3 5 3" xfId="6346" xr:uid="{00000000-0005-0000-0000-000009100000}"/>
    <cellStyle name="Normal 2 4 3 3 3 5 3 2" xfId="31678" xr:uid="{9A7E06B6-1917-41F6-BFF7-C7921D6F44BF}"/>
    <cellStyle name="Normal 2 4 3 3 3 5 3 3" xfId="23237" xr:uid="{863C3A7A-F934-4063-B76B-DF4EB5B79307}"/>
    <cellStyle name="Normal 2 4 3 3 3 5 3 4" xfId="14796" xr:uid="{C96BA0A0-DEE8-49DB-A304-7F29C7130D61}"/>
    <cellStyle name="Normal 2 4 3 3 3 5 4" xfId="27460" xr:uid="{EFB501BA-4090-4196-98D1-D456F490CE70}"/>
    <cellStyle name="Normal 2 4 3 3 3 5 5" xfId="19019" xr:uid="{C4D31C2A-B003-4B4D-BAC7-B57D629A13D1}"/>
    <cellStyle name="Normal 2 4 3 3 3 5 6" xfId="10578" xr:uid="{EA8F1893-A72D-403A-8D7A-711EF0BD8236}"/>
    <cellStyle name="Normal 2 4 3 3 3 6" xfId="2476" xr:uid="{00000000-0005-0000-0000-00000A100000}"/>
    <cellStyle name="Normal 2 4 3 3 3 6 2" xfId="6759" xr:uid="{00000000-0005-0000-0000-00000B100000}"/>
    <cellStyle name="Normal 2 4 3 3 3 6 2 2" xfId="32091" xr:uid="{BA869A6C-73DE-4E92-A227-FFD40D693BF4}"/>
    <cellStyle name="Normal 2 4 3 3 3 6 2 3" xfId="23650" xr:uid="{C67713B4-1108-44B4-9B02-49E1891D31A1}"/>
    <cellStyle name="Normal 2 4 3 3 3 6 2 4" xfId="15209" xr:uid="{F953615C-7002-4B95-8632-35B5E7F8756E}"/>
    <cellStyle name="Normal 2 4 3 3 3 6 3" xfId="27873" xr:uid="{8391ECBE-AB01-492C-AD19-F74A6672E06C}"/>
    <cellStyle name="Normal 2 4 3 3 3 6 4" xfId="19432" xr:uid="{402A63CF-2C82-41EC-8E70-59A2A58E7D89}"/>
    <cellStyle name="Normal 2 4 3 3 3 6 5" xfId="10991" xr:uid="{CB39830D-BDC2-4400-955D-A28578B6B661}"/>
    <cellStyle name="Normal 2 4 3 3 3 7" xfId="4693" xr:uid="{00000000-0005-0000-0000-00000C100000}"/>
    <cellStyle name="Normal 2 4 3 3 3 7 2" xfId="30025" xr:uid="{63C361CB-7EF7-4B57-966B-7474504A471C}"/>
    <cellStyle name="Normal 2 4 3 3 3 7 3" xfId="21584" xr:uid="{F92A564B-D887-4E5A-BE5D-6E4936A79AB4}"/>
    <cellStyle name="Normal 2 4 3 3 3 7 4" xfId="13143" xr:uid="{3A321B94-AA13-409F-9E1B-34346F139A2C}"/>
    <cellStyle name="Normal 2 4 3 3 3 8" xfId="25807" xr:uid="{9F34F16F-B060-4FBD-88F9-C897789697F6}"/>
    <cellStyle name="Normal 2 4 3 3 3 9" xfId="17366" xr:uid="{43D7B659-3E65-4E08-9FCA-4B697D0F98E2}"/>
    <cellStyle name="Normal 2 4 3 3 4" xfId="788" xr:uid="{00000000-0005-0000-0000-00000D100000}"/>
    <cellStyle name="Normal 2 4 3 3 4 2" xfId="3027" xr:uid="{00000000-0005-0000-0000-00000E100000}"/>
    <cellStyle name="Normal 2 4 3 3 4 2 2" xfId="7249" xr:uid="{00000000-0005-0000-0000-00000F100000}"/>
    <cellStyle name="Normal 2 4 3 3 4 2 2 2" xfId="32581" xr:uid="{67B0FBF4-783E-4C3C-A35E-F58852E0EBF3}"/>
    <cellStyle name="Normal 2 4 3 3 4 2 2 3" xfId="24140" xr:uid="{62681014-3BFE-4CDE-9688-3B57DB853ADF}"/>
    <cellStyle name="Normal 2 4 3 3 4 2 2 4" xfId="15699" xr:uid="{4F502881-DF77-4969-90B7-C5EE0FF0EA49}"/>
    <cellStyle name="Normal 2 4 3 3 4 2 3" xfId="28363" xr:uid="{6411AC70-BBEB-4C58-9F57-FBEB022ED282}"/>
    <cellStyle name="Normal 2 4 3 3 4 2 4" xfId="19922" xr:uid="{C3455709-3FCE-435C-93A8-E72CBD8C61AB}"/>
    <cellStyle name="Normal 2 4 3 3 4 2 5" xfId="11481" xr:uid="{B7B9C239-1739-4C20-8B61-958EEF780676}"/>
    <cellStyle name="Normal 2 4 3 3 4 3" xfId="5104" xr:uid="{00000000-0005-0000-0000-000010100000}"/>
    <cellStyle name="Normal 2 4 3 3 4 3 2" xfId="30436" xr:uid="{9D410411-863E-4292-AEFD-D161812AE48E}"/>
    <cellStyle name="Normal 2 4 3 3 4 3 3" xfId="21995" xr:uid="{8281A2B0-EB22-4921-AA18-29F42088B317}"/>
    <cellStyle name="Normal 2 4 3 3 4 3 4" xfId="13554" xr:uid="{E3A4EBB4-AB41-4C7D-B321-D12A3ECCC55E}"/>
    <cellStyle name="Normal 2 4 3 3 4 4" xfId="26218" xr:uid="{889DF290-7944-4036-BBF7-613027F92360}"/>
    <cellStyle name="Normal 2 4 3 3 4 5" xfId="17777" xr:uid="{BE57ED2B-6BDC-42D0-A9F6-800761BB0E9D}"/>
    <cellStyle name="Normal 2 4 3 3 4 6" xfId="9336" xr:uid="{35B13C1B-F6C9-48A7-A734-5AF2BF14652E}"/>
    <cellStyle name="Normal 2 4 3 3 5" xfId="1210" xr:uid="{00000000-0005-0000-0000-000011100000}"/>
    <cellStyle name="Normal 2 4 3 3 5 2" xfId="3440" xr:uid="{00000000-0005-0000-0000-000012100000}"/>
    <cellStyle name="Normal 2 4 3 3 5 2 2" xfId="7662" xr:uid="{00000000-0005-0000-0000-000013100000}"/>
    <cellStyle name="Normal 2 4 3 3 5 2 2 2" xfId="32994" xr:uid="{C31AE3F1-B619-4ECA-8A64-F8A2538E4629}"/>
    <cellStyle name="Normal 2 4 3 3 5 2 2 3" xfId="24553" xr:uid="{34115D08-0C28-41FF-9AE2-9BE69E96C638}"/>
    <cellStyle name="Normal 2 4 3 3 5 2 2 4" xfId="16112" xr:uid="{FBF0EFA1-221F-403B-9811-8E6127287E1D}"/>
    <cellStyle name="Normal 2 4 3 3 5 2 3" xfId="28776" xr:uid="{75A80791-A46A-4F2F-8DC9-25AF17A39D50}"/>
    <cellStyle name="Normal 2 4 3 3 5 2 4" xfId="20335" xr:uid="{A19326CA-9C39-42AC-AD71-49972238FFC4}"/>
    <cellStyle name="Normal 2 4 3 3 5 2 5" xfId="11894" xr:uid="{445817B2-7C78-4E82-898B-C75E922C0408}"/>
    <cellStyle name="Normal 2 4 3 3 5 3" xfId="5517" xr:uid="{00000000-0005-0000-0000-000014100000}"/>
    <cellStyle name="Normal 2 4 3 3 5 3 2" xfId="30849" xr:uid="{DDD7ABC7-CADD-4041-A51D-5E34DE1A71CB}"/>
    <cellStyle name="Normal 2 4 3 3 5 3 3" xfId="22408" xr:uid="{BF3DF88B-8599-44A5-97C1-A561DEFB0691}"/>
    <cellStyle name="Normal 2 4 3 3 5 3 4" xfId="13967" xr:uid="{16AD0794-503A-46AA-BA53-13CE26D81B02}"/>
    <cellStyle name="Normal 2 4 3 3 5 4" xfId="26631" xr:uid="{9E71426D-E78B-4C23-83CE-A61093D2A95A}"/>
    <cellStyle name="Normal 2 4 3 3 5 5" xfId="18190" xr:uid="{4B835142-FC83-447F-A8A6-6E711092D705}"/>
    <cellStyle name="Normal 2 4 3 3 5 6" xfId="9749" xr:uid="{51424709-3137-4280-A33F-4C632EB3B73B}"/>
    <cellStyle name="Normal 2 4 3 3 6" xfId="1623" xr:uid="{00000000-0005-0000-0000-000015100000}"/>
    <cellStyle name="Normal 2 4 3 3 6 2" xfId="3853" xr:uid="{00000000-0005-0000-0000-000016100000}"/>
    <cellStyle name="Normal 2 4 3 3 6 2 2" xfId="8075" xr:uid="{00000000-0005-0000-0000-000017100000}"/>
    <cellStyle name="Normal 2 4 3 3 6 2 2 2" xfId="33407" xr:uid="{994C2304-383C-4586-BF82-05FFBF03BA9F}"/>
    <cellStyle name="Normal 2 4 3 3 6 2 2 3" xfId="24966" xr:uid="{64B5C891-B5E6-440F-A6D2-021F7A2AA828}"/>
    <cellStyle name="Normal 2 4 3 3 6 2 2 4" xfId="16525" xr:uid="{F588C094-9E58-4532-AA2F-178110A7208A}"/>
    <cellStyle name="Normal 2 4 3 3 6 2 3" xfId="29189" xr:uid="{9BD649A1-680E-42B0-BA2B-B73BAA0AB0B9}"/>
    <cellStyle name="Normal 2 4 3 3 6 2 4" xfId="20748" xr:uid="{A9DF0472-4A0B-4F59-B84A-60EFD2897ED3}"/>
    <cellStyle name="Normal 2 4 3 3 6 2 5" xfId="12307" xr:uid="{F7F390F9-96DE-44B5-8016-C152593135BD}"/>
    <cellStyle name="Normal 2 4 3 3 6 3" xfId="5930" xr:uid="{00000000-0005-0000-0000-000018100000}"/>
    <cellStyle name="Normal 2 4 3 3 6 3 2" xfId="31262" xr:uid="{22F56E3A-57ED-48D1-A8AA-23674DDCD008}"/>
    <cellStyle name="Normal 2 4 3 3 6 3 3" xfId="22821" xr:uid="{4AFB3789-7229-4DF3-9E6D-D7AA9A52EF04}"/>
    <cellStyle name="Normal 2 4 3 3 6 3 4" xfId="14380" xr:uid="{670D2EC5-B298-4669-A29C-815A6E63FA1E}"/>
    <cellStyle name="Normal 2 4 3 3 6 4" xfId="27044" xr:uid="{99B8B5D8-E3EC-4D5B-A120-21BFC32C2448}"/>
    <cellStyle name="Normal 2 4 3 3 6 5" xfId="18603" xr:uid="{24A23ECF-56B9-45C4-99F4-D263065B2253}"/>
    <cellStyle name="Normal 2 4 3 3 6 6" xfId="10162" xr:uid="{2F81E599-9734-44F9-B3EF-6BE6992038BB}"/>
    <cellStyle name="Normal 2 4 3 3 7" xfId="2037" xr:uid="{00000000-0005-0000-0000-000019100000}"/>
    <cellStyle name="Normal 2 4 3 3 7 2" xfId="4266" xr:uid="{00000000-0005-0000-0000-00001A100000}"/>
    <cellStyle name="Normal 2 4 3 3 7 2 2" xfId="8488" xr:uid="{00000000-0005-0000-0000-00001B100000}"/>
    <cellStyle name="Normal 2 4 3 3 7 2 2 2" xfId="33820" xr:uid="{F7402E59-2AC7-4DC5-BE68-92640044AC84}"/>
    <cellStyle name="Normal 2 4 3 3 7 2 2 3" xfId="25379" xr:uid="{4F08652E-9C8E-426A-8729-DF1A1D5E1579}"/>
    <cellStyle name="Normal 2 4 3 3 7 2 2 4" xfId="16938" xr:uid="{75DC7E9D-2747-4CDD-A870-639A6CB468B1}"/>
    <cellStyle name="Normal 2 4 3 3 7 2 3" xfId="29602" xr:uid="{DC8603EA-436F-4EF1-9441-383337778BFF}"/>
    <cellStyle name="Normal 2 4 3 3 7 2 4" xfId="21161" xr:uid="{2FB07401-FDA3-457A-B92D-15FCE8628E50}"/>
    <cellStyle name="Normal 2 4 3 3 7 2 5" xfId="12720" xr:uid="{91A8C1CD-3CC0-4B15-8FB9-D654564D0341}"/>
    <cellStyle name="Normal 2 4 3 3 7 3" xfId="6343" xr:uid="{00000000-0005-0000-0000-00001C100000}"/>
    <cellStyle name="Normal 2 4 3 3 7 3 2" xfId="31675" xr:uid="{0A9B0EED-B924-4146-AFA7-F478E119385C}"/>
    <cellStyle name="Normal 2 4 3 3 7 3 3" xfId="23234" xr:uid="{6F6C2BEA-A310-45F7-ACD1-8A3DF3A19AE4}"/>
    <cellStyle name="Normal 2 4 3 3 7 3 4" xfId="14793" xr:uid="{BE07E8AB-0C3C-484A-B52B-B00D601CD768}"/>
    <cellStyle name="Normal 2 4 3 3 7 4" xfId="27457" xr:uid="{39640491-D7B5-407E-87F7-77D5796DE8C2}"/>
    <cellStyle name="Normal 2 4 3 3 7 5" xfId="19016" xr:uid="{2537AA48-09DD-41EB-84D9-2A7D37716B23}"/>
    <cellStyle name="Normal 2 4 3 3 7 6" xfId="10575" xr:uid="{B60580D6-9104-4388-9B87-91FDB2B84261}"/>
    <cellStyle name="Normal 2 4 3 3 8" xfId="2473" xr:uid="{00000000-0005-0000-0000-00001D100000}"/>
    <cellStyle name="Normal 2 4 3 3 8 2" xfId="6756" xr:uid="{00000000-0005-0000-0000-00001E100000}"/>
    <cellStyle name="Normal 2 4 3 3 8 2 2" xfId="32088" xr:uid="{64AB4D98-085B-4F85-9F53-E4BE5F03E0E3}"/>
    <cellStyle name="Normal 2 4 3 3 8 2 3" xfId="23647" xr:uid="{9A4AC1E3-1D96-459B-9F15-AD8F022CBE66}"/>
    <cellStyle name="Normal 2 4 3 3 8 2 4" xfId="15206" xr:uid="{6FFAFBE9-26B6-48F2-889A-9BE3C4018869}"/>
    <cellStyle name="Normal 2 4 3 3 8 3" xfId="27870" xr:uid="{B9C1425A-6B51-4C8C-8FF7-7F58AA663CFD}"/>
    <cellStyle name="Normal 2 4 3 3 8 4" xfId="19429" xr:uid="{35611FEC-BF9E-43BB-9B94-19CD8339CF4D}"/>
    <cellStyle name="Normal 2 4 3 3 8 5" xfId="10988" xr:uid="{6C0DBACC-F38C-493C-A790-5941C19A24E7}"/>
    <cellStyle name="Normal 2 4 3 3 9" xfId="4690" xr:uid="{00000000-0005-0000-0000-00001F100000}"/>
    <cellStyle name="Normal 2 4 3 3 9 2" xfId="30022" xr:uid="{239241CF-D70C-4928-BD5A-A7AD319F5FC0}"/>
    <cellStyle name="Normal 2 4 3 3 9 3" xfId="21581" xr:uid="{CC756E62-9FDB-4D86-8C41-17126EF61F63}"/>
    <cellStyle name="Normal 2 4 3 3 9 4" xfId="13140" xr:uid="{84041A2D-2CA5-4D56-A0DD-4ACDAE24430A}"/>
    <cellStyle name="Normal 2 4 3 4" xfId="787" xr:uid="{00000000-0005-0000-0000-000020100000}"/>
    <cellStyle name="Normal 2 4 3 4 2" xfId="3026" xr:uid="{00000000-0005-0000-0000-000021100000}"/>
    <cellStyle name="Normal 2 4 3 4 2 2" xfId="7248" xr:uid="{00000000-0005-0000-0000-000022100000}"/>
    <cellStyle name="Normal 2 4 3 4 2 2 2" xfId="32580" xr:uid="{3510B9C2-4908-45BF-BB70-4FC88BCED67A}"/>
    <cellStyle name="Normal 2 4 3 4 2 2 3" xfId="24139" xr:uid="{3B97E8C6-40F9-4E3C-B52B-32F2B31F9C1C}"/>
    <cellStyle name="Normal 2 4 3 4 2 2 4" xfId="15698" xr:uid="{5E381296-0BEF-413C-A4CD-A07D71BA3844}"/>
    <cellStyle name="Normal 2 4 3 4 2 3" xfId="28362" xr:uid="{2D73CB4E-DEF1-4182-9EA2-6AE8808C35AB}"/>
    <cellStyle name="Normal 2 4 3 4 2 4" xfId="19921" xr:uid="{FC97364D-3FB6-4396-B2AF-DCDEF1DDAF84}"/>
    <cellStyle name="Normal 2 4 3 4 2 5" xfId="11480" xr:uid="{37C93313-486B-4789-AFED-A5DDB0E2CA1F}"/>
    <cellStyle name="Normal 2 4 3 4 3" xfId="5103" xr:uid="{00000000-0005-0000-0000-000023100000}"/>
    <cellStyle name="Normal 2 4 3 4 3 2" xfId="30435" xr:uid="{62D5B1BB-CCED-4967-AE1F-970AB98F6973}"/>
    <cellStyle name="Normal 2 4 3 4 3 3" xfId="21994" xr:uid="{2833DF25-6744-47E8-8E18-EB93B223176A}"/>
    <cellStyle name="Normal 2 4 3 4 3 4" xfId="13553" xr:uid="{64534330-618C-4F45-9C16-FF251A5AF548}"/>
    <cellStyle name="Normal 2 4 3 4 4" xfId="26217" xr:uid="{911DB8EF-D909-40AA-A429-79F1121CBFF4}"/>
    <cellStyle name="Normal 2 4 3 4 5" xfId="17776" xr:uid="{61F2A189-1D4D-433B-AF3E-11B4587E45EC}"/>
    <cellStyle name="Normal 2 4 3 4 6" xfId="9335" xr:uid="{7FF82088-10DA-461A-B40E-29E22BECA35D}"/>
    <cellStyle name="Normal 2 4 3 5" xfId="1209" xr:uid="{00000000-0005-0000-0000-000024100000}"/>
    <cellStyle name="Normal 2 4 3 5 2" xfId="3439" xr:uid="{00000000-0005-0000-0000-000025100000}"/>
    <cellStyle name="Normal 2 4 3 5 2 2" xfId="7661" xr:uid="{00000000-0005-0000-0000-000026100000}"/>
    <cellStyle name="Normal 2 4 3 5 2 2 2" xfId="32993" xr:uid="{16094F0A-DD63-4603-9CEA-CDDCDCE61D4C}"/>
    <cellStyle name="Normal 2 4 3 5 2 2 3" xfId="24552" xr:uid="{204B42A7-C5CB-4502-B9A0-FB834F82546A}"/>
    <cellStyle name="Normal 2 4 3 5 2 2 4" xfId="16111" xr:uid="{B7705D8E-90B1-485C-97F0-D0E2D4DE43F5}"/>
    <cellStyle name="Normal 2 4 3 5 2 3" xfId="28775" xr:uid="{C6F0FFE2-A04B-4707-878F-4901F0DD7249}"/>
    <cellStyle name="Normal 2 4 3 5 2 4" xfId="20334" xr:uid="{793569B5-BD8A-4C9C-BB2C-83F703DDCE75}"/>
    <cellStyle name="Normal 2 4 3 5 2 5" xfId="11893" xr:uid="{0277882B-DA1E-4A0A-8E25-D819FD0BC61B}"/>
    <cellStyle name="Normal 2 4 3 5 3" xfId="5516" xr:uid="{00000000-0005-0000-0000-000027100000}"/>
    <cellStyle name="Normal 2 4 3 5 3 2" xfId="30848" xr:uid="{E6491BC2-CBAF-426C-95EB-B8EFC3AD81F7}"/>
    <cellStyle name="Normal 2 4 3 5 3 3" xfId="22407" xr:uid="{E7B17830-C15F-4F6E-8C2D-03FBBA0831B7}"/>
    <cellStyle name="Normal 2 4 3 5 3 4" xfId="13966" xr:uid="{53E1F0B8-CC01-48CF-92C6-41117AAD4958}"/>
    <cellStyle name="Normal 2 4 3 5 4" xfId="26630" xr:uid="{275FDBA4-68CA-48B5-B379-1D56C178E17D}"/>
    <cellStyle name="Normal 2 4 3 5 5" xfId="18189" xr:uid="{02D6FD93-196B-44DC-AC00-C234A817CCB0}"/>
    <cellStyle name="Normal 2 4 3 5 6" xfId="9748" xr:uid="{5F119A12-4485-41F6-9235-6FF3A9884FC4}"/>
    <cellStyle name="Normal 2 4 3 6" xfId="1622" xr:uid="{00000000-0005-0000-0000-000028100000}"/>
    <cellStyle name="Normal 2 4 3 6 2" xfId="3852" xr:uid="{00000000-0005-0000-0000-000029100000}"/>
    <cellStyle name="Normal 2 4 3 6 2 2" xfId="8074" xr:uid="{00000000-0005-0000-0000-00002A100000}"/>
    <cellStyle name="Normal 2 4 3 6 2 2 2" xfId="33406" xr:uid="{874720AA-1809-4691-9849-A28B73AD4749}"/>
    <cellStyle name="Normal 2 4 3 6 2 2 3" xfId="24965" xr:uid="{D06DE71C-772D-446A-BF42-FD1D5946B1C3}"/>
    <cellStyle name="Normal 2 4 3 6 2 2 4" xfId="16524" xr:uid="{636F4109-7480-4AFE-A4BA-9FE5267E801C}"/>
    <cellStyle name="Normal 2 4 3 6 2 3" xfId="29188" xr:uid="{F462E4F3-4545-4D8A-A65D-6F1862F4F5C9}"/>
    <cellStyle name="Normal 2 4 3 6 2 4" xfId="20747" xr:uid="{79CB37C6-98BB-4757-A51C-06DAB799595A}"/>
    <cellStyle name="Normal 2 4 3 6 2 5" xfId="12306" xr:uid="{AFBAF47C-46B3-43E9-A6C6-5E7AB6705755}"/>
    <cellStyle name="Normal 2 4 3 6 3" xfId="5929" xr:uid="{00000000-0005-0000-0000-00002B100000}"/>
    <cellStyle name="Normal 2 4 3 6 3 2" xfId="31261" xr:uid="{3C875EFD-8C69-4CC7-84B6-71220D92FF89}"/>
    <cellStyle name="Normal 2 4 3 6 3 3" xfId="22820" xr:uid="{1E9F3B0A-F8C4-4515-97FC-5662A5E928BE}"/>
    <cellStyle name="Normal 2 4 3 6 3 4" xfId="14379" xr:uid="{81F7209C-72D9-4DCE-857F-AF9639F8E169}"/>
    <cellStyle name="Normal 2 4 3 6 4" xfId="27043" xr:uid="{3213F25E-8012-4A11-841B-4D55CD8A3751}"/>
    <cellStyle name="Normal 2 4 3 6 5" xfId="18602" xr:uid="{BBD6E924-882C-4FB4-815C-6788D0492533}"/>
    <cellStyle name="Normal 2 4 3 6 6" xfId="10161" xr:uid="{92C62BDE-EF89-48B9-AEDC-CC6099C2DA9E}"/>
    <cellStyle name="Normal 2 4 3 7" xfId="2036" xr:uid="{00000000-0005-0000-0000-00002C100000}"/>
    <cellStyle name="Normal 2 4 3 7 2" xfId="4265" xr:uid="{00000000-0005-0000-0000-00002D100000}"/>
    <cellStyle name="Normal 2 4 3 7 2 2" xfId="8487" xr:uid="{00000000-0005-0000-0000-00002E100000}"/>
    <cellStyle name="Normal 2 4 3 7 2 2 2" xfId="33819" xr:uid="{928CBF83-48F2-465D-8943-B326E483C497}"/>
    <cellStyle name="Normal 2 4 3 7 2 2 3" xfId="25378" xr:uid="{2C8578E0-9F6D-42A9-B7AF-D59AE0758995}"/>
    <cellStyle name="Normal 2 4 3 7 2 2 4" xfId="16937" xr:uid="{A2F28847-300F-432F-9890-37DDC59C6C0B}"/>
    <cellStyle name="Normal 2 4 3 7 2 3" xfId="29601" xr:uid="{3EBEC95D-C4A6-45A2-986B-2306BE1C2E98}"/>
    <cellStyle name="Normal 2 4 3 7 2 4" xfId="21160" xr:uid="{8BBECF08-B925-404A-893C-CB354B251190}"/>
    <cellStyle name="Normal 2 4 3 7 2 5" xfId="12719" xr:uid="{AFA1F979-FEAD-48BE-A5E6-DFD517B2F1B5}"/>
    <cellStyle name="Normal 2 4 3 7 3" xfId="6342" xr:uid="{00000000-0005-0000-0000-00002F100000}"/>
    <cellStyle name="Normal 2 4 3 7 3 2" xfId="31674" xr:uid="{180D099F-7F0D-4816-ABA8-4523155B9737}"/>
    <cellStyle name="Normal 2 4 3 7 3 3" xfId="23233" xr:uid="{5E2B51CF-322A-4A44-AB0B-454CCEA842BB}"/>
    <cellStyle name="Normal 2 4 3 7 3 4" xfId="14792" xr:uid="{9CCD5149-E1DE-49F6-BBB6-9202EF0EF391}"/>
    <cellStyle name="Normal 2 4 3 7 4" xfId="27456" xr:uid="{87DFFCCF-DD15-4153-B541-F1DE9E3EED8B}"/>
    <cellStyle name="Normal 2 4 3 7 5" xfId="19015" xr:uid="{E35A08AF-397D-4E0A-B48F-FFE8D8073936}"/>
    <cellStyle name="Normal 2 4 3 7 6" xfId="10574" xr:uid="{AEE2D2A8-2E2A-4061-943A-0F72AAE19E16}"/>
    <cellStyle name="Normal 2 4 3 8" xfId="2472" xr:uid="{00000000-0005-0000-0000-000030100000}"/>
    <cellStyle name="Normal 2 4 3 8 2" xfId="6755" xr:uid="{00000000-0005-0000-0000-000031100000}"/>
    <cellStyle name="Normal 2 4 3 8 2 2" xfId="32087" xr:uid="{9ED6A9F0-732E-48AF-AD68-DC856C0AAB57}"/>
    <cellStyle name="Normal 2 4 3 8 2 3" xfId="23646" xr:uid="{2C05E502-1999-4E88-AE8B-674A68B1F049}"/>
    <cellStyle name="Normal 2 4 3 8 2 4" xfId="15205" xr:uid="{3B760815-C1E0-40F3-B5C9-468533676829}"/>
    <cellStyle name="Normal 2 4 3 8 3" xfId="27869" xr:uid="{9BC6C3F7-AC30-474F-9BD7-30FF9ACD3FAA}"/>
    <cellStyle name="Normal 2 4 3 8 4" xfId="19428" xr:uid="{4664259E-9A93-480E-A853-A3E66BC2745A}"/>
    <cellStyle name="Normal 2 4 3 8 5" xfId="10987" xr:uid="{480B8715-C37A-44B4-B1F2-8BD438E89B9D}"/>
    <cellStyle name="Normal 2 4 3 9" xfId="4689" xr:uid="{00000000-0005-0000-0000-000032100000}"/>
    <cellStyle name="Normal 2 4 3 9 2" xfId="30021" xr:uid="{1058DAAD-5C99-41FF-8370-351E56967038}"/>
    <cellStyle name="Normal 2 4 3 9 3" xfId="21580" xr:uid="{3DE8B40E-606D-46B8-BFA9-EE2814674696}"/>
    <cellStyle name="Normal 2 4 3 9 4" xfId="13139" xr:uid="{C4C3A3B2-D3F8-438D-B83D-47DD5075CC8A}"/>
    <cellStyle name="Normal 2 4 4" xfId="302" xr:uid="{00000000-0005-0000-0000-000033100000}"/>
    <cellStyle name="Normal 2 4 5" xfId="303" xr:uid="{00000000-0005-0000-0000-000034100000}"/>
    <cellStyle name="Normal 2 4 5 10" xfId="4694" xr:uid="{00000000-0005-0000-0000-000035100000}"/>
    <cellStyle name="Normal 2 4 5 10 2" xfId="30026" xr:uid="{4DDD575E-DA9D-4FC8-9ECC-AAB719F3518C}"/>
    <cellStyle name="Normal 2 4 5 10 3" xfId="21585" xr:uid="{52014C82-84A6-4FDF-8F25-AA3A49288D3F}"/>
    <cellStyle name="Normal 2 4 5 10 4" xfId="13144" xr:uid="{76C972EF-7035-4FA8-B8BD-90111191C289}"/>
    <cellStyle name="Normal 2 4 5 11" xfId="25808" xr:uid="{137D64E4-E8C0-4AEA-BF16-CF0A27EA6399}"/>
    <cellStyle name="Normal 2 4 5 12" xfId="17367" xr:uid="{BCE30067-A0F5-4763-A5FC-B3A6CCB5476B}"/>
    <cellStyle name="Normal 2 4 5 13" xfId="8926" xr:uid="{51F7DFF4-1037-460C-B7E0-372D1310E724}"/>
    <cellStyle name="Normal 2 4 5 2" xfId="304" xr:uid="{00000000-0005-0000-0000-000036100000}"/>
    <cellStyle name="Normal 2 4 5 2 10" xfId="25809" xr:uid="{3048159C-04B3-4B9B-8BD0-F4999098DE0B}"/>
    <cellStyle name="Normal 2 4 5 2 11" xfId="17368" xr:uid="{F8B3E04D-765B-4BC6-B564-DBD6FBB838D3}"/>
    <cellStyle name="Normal 2 4 5 2 12" xfId="8927" xr:uid="{344A72DC-42F9-45D0-96AE-7859E1A4F3A6}"/>
    <cellStyle name="Normal 2 4 5 2 2" xfId="305" xr:uid="{00000000-0005-0000-0000-000037100000}"/>
    <cellStyle name="Normal 2 4 5 2 2 10" xfId="17369" xr:uid="{A460E735-0394-47CC-B4D7-4DFA3EA20CF1}"/>
    <cellStyle name="Normal 2 4 5 2 2 11" xfId="8928" xr:uid="{139B90E2-D1AD-4C5C-922F-1ECE97DF391C}"/>
    <cellStyle name="Normal 2 4 5 2 2 2" xfId="306" xr:uid="{00000000-0005-0000-0000-000038100000}"/>
    <cellStyle name="Normal 2 4 5 2 2 2 10" xfId="8929" xr:uid="{0803068D-407B-447E-A6C4-3BE4D68B40A9}"/>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2 2 2" xfId="32588" xr:uid="{47F932A1-1C7C-4166-B184-6584E7991473}"/>
    <cellStyle name="Normal 2 4 5 2 2 2 2 2 2 3" xfId="24147" xr:uid="{B5F87D45-35FB-4EE7-A752-D9C3532A495E}"/>
    <cellStyle name="Normal 2 4 5 2 2 2 2 2 2 4" xfId="15706" xr:uid="{51006431-53BA-49D6-91E4-193D84FCD0D2}"/>
    <cellStyle name="Normal 2 4 5 2 2 2 2 2 3" xfId="28370" xr:uid="{07EAA902-53E8-4ADA-963E-84DAB33ABB80}"/>
    <cellStyle name="Normal 2 4 5 2 2 2 2 2 4" xfId="19929" xr:uid="{1FEE639F-5BA1-433C-80F3-78B7118487D1}"/>
    <cellStyle name="Normal 2 4 5 2 2 2 2 2 5" xfId="11488" xr:uid="{39080335-E15A-4916-9F63-99148F1F4222}"/>
    <cellStyle name="Normal 2 4 5 2 2 2 2 3" xfId="5111" xr:uid="{00000000-0005-0000-0000-00003C100000}"/>
    <cellStyle name="Normal 2 4 5 2 2 2 2 3 2" xfId="30443" xr:uid="{B1721AE7-2810-4D8E-9876-CFEED4E32671}"/>
    <cellStyle name="Normal 2 4 5 2 2 2 2 3 3" xfId="22002" xr:uid="{97EDDDC7-5095-4A2B-A2F8-4545B3B7E165}"/>
    <cellStyle name="Normal 2 4 5 2 2 2 2 3 4" xfId="13561" xr:uid="{28A040B3-3242-48EF-859E-8FBE486BF19B}"/>
    <cellStyle name="Normal 2 4 5 2 2 2 2 4" xfId="26225" xr:uid="{5855740A-520F-4194-8901-F2D44BE91E22}"/>
    <cellStyle name="Normal 2 4 5 2 2 2 2 5" xfId="17784" xr:uid="{416E28D1-4F94-4A08-84BE-77549ABF3ECC}"/>
    <cellStyle name="Normal 2 4 5 2 2 2 2 6" xfId="9343" xr:uid="{9B4F6EC9-84C0-4DBF-A836-3539EB91F4F5}"/>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2 2 2" xfId="33001" xr:uid="{A6D3C79E-DBE5-4C60-9931-DCE9C16FD23E}"/>
    <cellStyle name="Normal 2 4 5 2 2 2 3 2 2 3" xfId="24560" xr:uid="{5B76FCB9-9136-4F7E-9AF1-BE537CE3ADBC}"/>
    <cellStyle name="Normal 2 4 5 2 2 2 3 2 2 4" xfId="16119" xr:uid="{1971C801-CCF0-46F2-9912-9DCA96FD54F4}"/>
    <cellStyle name="Normal 2 4 5 2 2 2 3 2 3" xfId="28783" xr:uid="{F6D998E6-2647-4BBF-A5F1-A08AB1A4CF77}"/>
    <cellStyle name="Normal 2 4 5 2 2 2 3 2 4" xfId="20342" xr:uid="{5278377C-3637-4F41-B08B-267F44B3CEE3}"/>
    <cellStyle name="Normal 2 4 5 2 2 2 3 2 5" xfId="11901" xr:uid="{EF4474FB-454F-45C2-B5E3-8A895E389662}"/>
    <cellStyle name="Normal 2 4 5 2 2 2 3 3" xfId="5524" xr:uid="{00000000-0005-0000-0000-000040100000}"/>
    <cellStyle name="Normal 2 4 5 2 2 2 3 3 2" xfId="30856" xr:uid="{1A2FD83C-EDAC-458B-96B2-359399B196B4}"/>
    <cellStyle name="Normal 2 4 5 2 2 2 3 3 3" xfId="22415" xr:uid="{C932EA9B-D5A0-4AD3-8E99-4CD3292BA996}"/>
    <cellStyle name="Normal 2 4 5 2 2 2 3 3 4" xfId="13974" xr:uid="{3808D3C6-7C9E-46FD-BCE2-4531D0426D24}"/>
    <cellStyle name="Normal 2 4 5 2 2 2 3 4" xfId="26638" xr:uid="{CEF6C029-1A51-4738-AA14-C3FD4E8EF176}"/>
    <cellStyle name="Normal 2 4 5 2 2 2 3 5" xfId="18197" xr:uid="{5D0FC5B5-A582-4ECF-B435-0812FE5284B4}"/>
    <cellStyle name="Normal 2 4 5 2 2 2 3 6" xfId="9756" xr:uid="{AF5AF3B6-16AC-4C93-BF96-3E2D2D5F56AF}"/>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2 2 2" xfId="33414" xr:uid="{D7C966AA-030A-44F9-B420-FAD57EA97FBA}"/>
    <cellStyle name="Normal 2 4 5 2 2 2 4 2 2 3" xfId="24973" xr:uid="{EF46D21C-AF4C-46A2-8E94-24217742AE98}"/>
    <cellStyle name="Normal 2 4 5 2 2 2 4 2 2 4" xfId="16532" xr:uid="{DFEDFA5D-8502-4615-9FD4-1885D7B00832}"/>
    <cellStyle name="Normal 2 4 5 2 2 2 4 2 3" xfId="29196" xr:uid="{E761FB3E-F198-4449-A539-0CABFAB2A2CB}"/>
    <cellStyle name="Normal 2 4 5 2 2 2 4 2 4" xfId="20755" xr:uid="{AE489A30-A62A-4AA3-9333-EA2EF0C3B39D}"/>
    <cellStyle name="Normal 2 4 5 2 2 2 4 2 5" xfId="12314" xr:uid="{2F64381F-FB7A-4468-91BD-56F6C4BD7923}"/>
    <cellStyle name="Normal 2 4 5 2 2 2 4 3" xfId="5937" xr:uid="{00000000-0005-0000-0000-000044100000}"/>
    <cellStyle name="Normal 2 4 5 2 2 2 4 3 2" xfId="31269" xr:uid="{67F6F149-5306-4A0A-A9A3-BC12E0099C71}"/>
    <cellStyle name="Normal 2 4 5 2 2 2 4 3 3" xfId="22828" xr:uid="{7E78AB6B-6701-4714-A446-87853AD724A9}"/>
    <cellStyle name="Normal 2 4 5 2 2 2 4 3 4" xfId="14387" xr:uid="{04FBF7F5-B44D-4427-A67E-32A128116A56}"/>
    <cellStyle name="Normal 2 4 5 2 2 2 4 4" xfId="27051" xr:uid="{8C3A01C2-FF84-4810-98AC-89B6EA6AD16E}"/>
    <cellStyle name="Normal 2 4 5 2 2 2 4 5" xfId="18610" xr:uid="{0BCEB2B0-F135-40EB-9F10-B45A60BE915A}"/>
    <cellStyle name="Normal 2 4 5 2 2 2 4 6" xfId="10169" xr:uid="{CBF17657-4A83-4D03-B532-C09CF1096A43}"/>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2 2 2" xfId="33827" xr:uid="{5EC45987-A8B4-4822-BDAE-A77F7580EF20}"/>
    <cellStyle name="Normal 2 4 5 2 2 2 5 2 2 3" xfId="25386" xr:uid="{9E237A94-0F22-4E89-8FFF-E33559A47BFB}"/>
    <cellStyle name="Normal 2 4 5 2 2 2 5 2 2 4" xfId="16945" xr:uid="{8BC717C6-A563-45F5-84B0-E697FDC5359B}"/>
    <cellStyle name="Normal 2 4 5 2 2 2 5 2 3" xfId="29609" xr:uid="{7537A02B-DFC1-4CB9-941F-9CCDBE3E2F8A}"/>
    <cellStyle name="Normal 2 4 5 2 2 2 5 2 4" xfId="21168" xr:uid="{19447677-DE7C-464B-B52D-870456D8D72E}"/>
    <cellStyle name="Normal 2 4 5 2 2 2 5 2 5" xfId="12727" xr:uid="{77BF97FA-3262-42AB-9934-3879873CDAED}"/>
    <cellStyle name="Normal 2 4 5 2 2 2 5 3" xfId="6350" xr:uid="{00000000-0005-0000-0000-000048100000}"/>
    <cellStyle name="Normal 2 4 5 2 2 2 5 3 2" xfId="31682" xr:uid="{8F7E61D4-E6EC-4F43-ADD5-B2AF163C8A31}"/>
    <cellStyle name="Normal 2 4 5 2 2 2 5 3 3" xfId="23241" xr:uid="{F131A431-A279-46A1-993C-9F90E1CEB7A8}"/>
    <cellStyle name="Normal 2 4 5 2 2 2 5 3 4" xfId="14800" xr:uid="{AB7A7275-0CF0-4DB5-A892-7A7D17DF311B}"/>
    <cellStyle name="Normal 2 4 5 2 2 2 5 4" xfId="27464" xr:uid="{E910F7AB-9C33-4EF3-A6F5-3ED1D9C3708F}"/>
    <cellStyle name="Normal 2 4 5 2 2 2 5 5" xfId="19023" xr:uid="{9D75285A-FE42-486F-8018-1DF8AA0E6E18}"/>
    <cellStyle name="Normal 2 4 5 2 2 2 5 6" xfId="10582" xr:uid="{7C8D09A2-B977-4FF3-A4F9-82E65B574ACD}"/>
    <cellStyle name="Normal 2 4 5 2 2 2 6" xfId="2480" xr:uid="{00000000-0005-0000-0000-000049100000}"/>
    <cellStyle name="Normal 2 4 5 2 2 2 6 2" xfId="6763" xr:uid="{00000000-0005-0000-0000-00004A100000}"/>
    <cellStyle name="Normal 2 4 5 2 2 2 6 2 2" xfId="32095" xr:uid="{54C30A97-1606-47DE-852C-5A80C162550D}"/>
    <cellStyle name="Normal 2 4 5 2 2 2 6 2 3" xfId="23654" xr:uid="{555440D0-0D0F-4815-BC3B-BCCEB1A39EF4}"/>
    <cellStyle name="Normal 2 4 5 2 2 2 6 2 4" xfId="15213" xr:uid="{C85A7350-AED8-47DE-8012-D471ED044D87}"/>
    <cellStyle name="Normal 2 4 5 2 2 2 6 3" xfId="27877" xr:uid="{A5148715-1493-4D84-BFEE-6F06F9A5010E}"/>
    <cellStyle name="Normal 2 4 5 2 2 2 6 4" xfId="19436" xr:uid="{4FC08302-8D55-4444-969E-435A8C79FE20}"/>
    <cellStyle name="Normal 2 4 5 2 2 2 6 5" xfId="10995" xr:uid="{44EA1DF0-76DA-41DF-A48E-3AF1C2684732}"/>
    <cellStyle name="Normal 2 4 5 2 2 2 7" xfId="4697" xr:uid="{00000000-0005-0000-0000-00004B100000}"/>
    <cellStyle name="Normal 2 4 5 2 2 2 7 2" xfId="30029" xr:uid="{B5C4542A-FDE2-4557-86D7-15ADA6DC5D3E}"/>
    <cellStyle name="Normal 2 4 5 2 2 2 7 3" xfId="21588" xr:uid="{1A27A50C-F8B5-40AF-A7D0-BE88993B5080}"/>
    <cellStyle name="Normal 2 4 5 2 2 2 7 4" xfId="13147" xr:uid="{9EE0E3AE-0B20-4A9F-9B16-FD31AF258AC0}"/>
    <cellStyle name="Normal 2 4 5 2 2 2 8" xfId="25811" xr:uid="{644D580E-5352-48DE-925B-B632F717A1E4}"/>
    <cellStyle name="Normal 2 4 5 2 2 2 9" xfId="17370" xr:uid="{B950D038-4B3D-44F5-86FA-7C817501ABBE}"/>
    <cellStyle name="Normal 2 4 5 2 2 3" xfId="794" xr:uid="{00000000-0005-0000-0000-00004C100000}"/>
    <cellStyle name="Normal 2 4 5 2 2 3 2" xfId="3033" xr:uid="{00000000-0005-0000-0000-00004D100000}"/>
    <cellStyle name="Normal 2 4 5 2 2 3 2 2" xfId="7255" xr:uid="{00000000-0005-0000-0000-00004E100000}"/>
    <cellStyle name="Normal 2 4 5 2 2 3 2 2 2" xfId="32587" xr:uid="{3C9DDEA0-7BA5-46A8-B4D8-6B8CFAC857DD}"/>
    <cellStyle name="Normal 2 4 5 2 2 3 2 2 3" xfId="24146" xr:uid="{81AEAAD7-6957-4C6F-8076-DD395278D67A}"/>
    <cellStyle name="Normal 2 4 5 2 2 3 2 2 4" xfId="15705" xr:uid="{D104DE6E-CF5A-499E-B0AE-D2F5E6E96E42}"/>
    <cellStyle name="Normal 2 4 5 2 2 3 2 3" xfId="28369" xr:uid="{7252F02A-BC50-49E2-8594-6DB93036F6E6}"/>
    <cellStyle name="Normal 2 4 5 2 2 3 2 4" xfId="19928" xr:uid="{79D3033C-E4B6-4326-94DF-EAA4CB771A0C}"/>
    <cellStyle name="Normal 2 4 5 2 2 3 2 5" xfId="11487" xr:uid="{856CDF50-7AD8-4DBE-8F17-0B0A4982D5B3}"/>
    <cellStyle name="Normal 2 4 5 2 2 3 3" xfId="5110" xr:uid="{00000000-0005-0000-0000-00004F100000}"/>
    <cellStyle name="Normal 2 4 5 2 2 3 3 2" xfId="30442" xr:uid="{3A977956-B5A9-4571-9E7E-7381283E7518}"/>
    <cellStyle name="Normal 2 4 5 2 2 3 3 3" xfId="22001" xr:uid="{69827A25-FDE8-40AF-8050-4ECD822E59FD}"/>
    <cellStyle name="Normal 2 4 5 2 2 3 3 4" xfId="13560" xr:uid="{C7C2BCF1-151D-404B-AF7B-B6B6FA99ACFC}"/>
    <cellStyle name="Normal 2 4 5 2 2 3 4" xfId="26224" xr:uid="{E6110F25-9281-45FE-9EC6-5C486A8BA927}"/>
    <cellStyle name="Normal 2 4 5 2 2 3 5" xfId="17783" xr:uid="{4B4E3C46-35B7-4958-9510-385393A2C6F9}"/>
    <cellStyle name="Normal 2 4 5 2 2 3 6" xfId="9342" xr:uid="{2187F9D1-023D-4C48-94F8-D4330B1313BA}"/>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2 2 2" xfId="33000" xr:uid="{BCDC1BDD-7EF7-4106-8F2E-9C7FCE1F489A}"/>
    <cellStyle name="Normal 2 4 5 2 2 4 2 2 3" xfId="24559" xr:uid="{C2EA59EF-56B7-43B3-955A-0CBBAEE2854B}"/>
    <cellStyle name="Normal 2 4 5 2 2 4 2 2 4" xfId="16118" xr:uid="{DC5D2396-DF41-4CAB-9908-9210E5FB7486}"/>
    <cellStyle name="Normal 2 4 5 2 2 4 2 3" xfId="28782" xr:uid="{BCD0331E-BCEF-462B-B380-1D4D1235A92A}"/>
    <cellStyle name="Normal 2 4 5 2 2 4 2 4" xfId="20341" xr:uid="{95EBD57C-5EFA-42A1-81CE-6391BC200208}"/>
    <cellStyle name="Normal 2 4 5 2 2 4 2 5" xfId="11900" xr:uid="{73672102-4198-4C66-A430-8F7B415B04D3}"/>
    <cellStyle name="Normal 2 4 5 2 2 4 3" xfId="5523" xr:uid="{00000000-0005-0000-0000-000053100000}"/>
    <cellStyle name="Normal 2 4 5 2 2 4 3 2" xfId="30855" xr:uid="{E346CA23-BEC1-4BD8-82A7-581F82460FA5}"/>
    <cellStyle name="Normal 2 4 5 2 2 4 3 3" xfId="22414" xr:uid="{96405D25-88F0-4F94-BC46-379718CD467C}"/>
    <cellStyle name="Normal 2 4 5 2 2 4 3 4" xfId="13973" xr:uid="{641848F2-98BB-43F7-8882-E71957BB6A80}"/>
    <cellStyle name="Normal 2 4 5 2 2 4 4" xfId="26637" xr:uid="{C83C4EFA-4061-40FC-83F7-B3FD8A6FF45D}"/>
    <cellStyle name="Normal 2 4 5 2 2 4 5" xfId="18196" xr:uid="{8210B0A4-AFB6-40AF-B85A-BF3E2DE99966}"/>
    <cellStyle name="Normal 2 4 5 2 2 4 6" xfId="9755" xr:uid="{40165F5B-32B5-4B26-AE4B-72E26863C7BF}"/>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2 2 2" xfId="33413" xr:uid="{BBE4855B-E952-4C93-A9C6-787E2EE4FAF6}"/>
    <cellStyle name="Normal 2 4 5 2 2 5 2 2 3" xfId="24972" xr:uid="{208B95EB-B6D6-4E40-A473-5BD305589E22}"/>
    <cellStyle name="Normal 2 4 5 2 2 5 2 2 4" xfId="16531" xr:uid="{B112B9BF-6EF2-4115-A3AC-3D9CCA142FAE}"/>
    <cellStyle name="Normal 2 4 5 2 2 5 2 3" xfId="29195" xr:uid="{ACC6BF3F-289D-4F64-96DF-480E3CB44F48}"/>
    <cellStyle name="Normal 2 4 5 2 2 5 2 4" xfId="20754" xr:uid="{D7ADC0B6-D93E-498A-8048-B2A22C00A619}"/>
    <cellStyle name="Normal 2 4 5 2 2 5 2 5" xfId="12313" xr:uid="{573365C5-C2D6-4A2F-9871-AA4D995EFDF9}"/>
    <cellStyle name="Normal 2 4 5 2 2 5 3" xfId="5936" xr:uid="{00000000-0005-0000-0000-000057100000}"/>
    <cellStyle name="Normal 2 4 5 2 2 5 3 2" xfId="31268" xr:uid="{2B4AE337-1BB0-4659-83C5-373FB7E0D75A}"/>
    <cellStyle name="Normal 2 4 5 2 2 5 3 3" xfId="22827" xr:uid="{7AD3466D-9C6D-4BD5-BEEE-A701CE2B76AF}"/>
    <cellStyle name="Normal 2 4 5 2 2 5 3 4" xfId="14386" xr:uid="{F1554930-31CF-46CA-825A-EAC7EC6C4E68}"/>
    <cellStyle name="Normal 2 4 5 2 2 5 4" xfId="27050" xr:uid="{4798635D-43FB-45AF-8A53-E03F617EEAA6}"/>
    <cellStyle name="Normal 2 4 5 2 2 5 5" xfId="18609" xr:uid="{B5837EDA-9119-434B-9522-73C6A41CDA06}"/>
    <cellStyle name="Normal 2 4 5 2 2 5 6" xfId="10168" xr:uid="{B869C8B0-DE89-4A04-996A-180040C1B75B}"/>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2 2 2" xfId="33826" xr:uid="{36E18C65-F356-4863-BFE6-611A8C690681}"/>
    <cellStyle name="Normal 2 4 5 2 2 6 2 2 3" xfId="25385" xr:uid="{701B5F10-E518-4FA7-BD32-CECABEFF2774}"/>
    <cellStyle name="Normal 2 4 5 2 2 6 2 2 4" xfId="16944" xr:uid="{8E8085BA-4547-4373-9CEF-D27429AC6093}"/>
    <cellStyle name="Normal 2 4 5 2 2 6 2 3" xfId="29608" xr:uid="{64CB8CE0-B569-48F7-BF71-C4C0817D9B8B}"/>
    <cellStyle name="Normal 2 4 5 2 2 6 2 4" xfId="21167" xr:uid="{4293D219-7813-440B-8CCC-A4E01E7CD762}"/>
    <cellStyle name="Normal 2 4 5 2 2 6 2 5" xfId="12726" xr:uid="{093823D6-77E6-4414-AC79-EE7B9138ACB9}"/>
    <cellStyle name="Normal 2 4 5 2 2 6 3" xfId="6349" xr:uid="{00000000-0005-0000-0000-00005B100000}"/>
    <cellStyle name="Normal 2 4 5 2 2 6 3 2" xfId="31681" xr:uid="{C88B9B49-E10A-4559-AAA9-8220E16411C1}"/>
    <cellStyle name="Normal 2 4 5 2 2 6 3 3" xfId="23240" xr:uid="{31E1CB85-544C-40DB-A71E-BD6F3BEB7067}"/>
    <cellStyle name="Normal 2 4 5 2 2 6 3 4" xfId="14799" xr:uid="{471330C0-9509-4FF3-870A-890282603944}"/>
    <cellStyle name="Normal 2 4 5 2 2 6 4" xfId="27463" xr:uid="{C063C091-676D-4203-B77F-B527B9535DA9}"/>
    <cellStyle name="Normal 2 4 5 2 2 6 5" xfId="19022" xr:uid="{8A54D442-135A-4C68-9ED7-83DB5EB4DE8B}"/>
    <cellStyle name="Normal 2 4 5 2 2 6 6" xfId="10581" xr:uid="{0C8CB2EE-0EEB-4E84-9255-E673B58B5953}"/>
    <cellStyle name="Normal 2 4 5 2 2 7" xfId="2479" xr:uid="{00000000-0005-0000-0000-00005C100000}"/>
    <cellStyle name="Normal 2 4 5 2 2 7 2" xfId="6762" xr:uid="{00000000-0005-0000-0000-00005D100000}"/>
    <cellStyle name="Normal 2 4 5 2 2 7 2 2" xfId="32094" xr:uid="{E79D7F93-7E16-4772-B413-D2364756C220}"/>
    <cellStyle name="Normal 2 4 5 2 2 7 2 3" xfId="23653" xr:uid="{45E63D26-39B4-4792-9168-1898B0F6071B}"/>
    <cellStyle name="Normal 2 4 5 2 2 7 2 4" xfId="15212" xr:uid="{30AFC3DF-938B-4312-ADB0-72DB3453B885}"/>
    <cellStyle name="Normal 2 4 5 2 2 7 3" xfId="27876" xr:uid="{B33298CF-F677-4745-BF4C-E8BB0DD4A7B7}"/>
    <cellStyle name="Normal 2 4 5 2 2 7 4" xfId="19435" xr:uid="{2C1DF9C6-1DEA-485B-831C-5DC95E1D2A04}"/>
    <cellStyle name="Normal 2 4 5 2 2 7 5" xfId="10994" xr:uid="{9C5D084C-CFB7-46C5-A722-7CB5A3BF8D8C}"/>
    <cellStyle name="Normal 2 4 5 2 2 8" xfId="4696" xr:uid="{00000000-0005-0000-0000-00005E100000}"/>
    <cellStyle name="Normal 2 4 5 2 2 8 2" xfId="30028" xr:uid="{CDCBE187-C4B2-471E-86D6-50F390A24520}"/>
    <cellStyle name="Normal 2 4 5 2 2 8 3" xfId="21587" xr:uid="{ED638EDF-C0FC-4F31-8033-5C324950AAF6}"/>
    <cellStyle name="Normal 2 4 5 2 2 8 4" xfId="13146" xr:uid="{91DD80D6-69B3-4D70-9454-ABFA92D2B077}"/>
    <cellStyle name="Normal 2 4 5 2 2 9" xfId="25810" xr:uid="{9A550A67-455D-4132-B9F4-0DEF916B8DC7}"/>
    <cellStyle name="Normal 2 4 5 2 3" xfId="307" xr:uid="{00000000-0005-0000-0000-00005F100000}"/>
    <cellStyle name="Normal 2 4 5 2 3 10" xfId="8930" xr:uid="{39CAFA01-775F-498E-AB15-E8515257DEC8}"/>
    <cellStyle name="Normal 2 4 5 2 3 2" xfId="796" xr:uid="{00000000-0005-0000-0000-000060100000}"/>
    <cellStyle name="Normal 2 4 5 2 3 2 2" xfId="3035" xr:uid="{00000000-0005-0000-0000-000061100000}"/>
    <cellStyle name="Normal 2 4 5 2 3 2 2 2" xfId="7257" xr:uid="{00000000-0005-0000-0000-000062100000}"/>
    <cellStyle name="Normal 2 4 5 2 3 2 2 2 2" xfId="32589" xr:uid="{F7513F75-D93B-4B46-802C-8F4CAA25CA42}"/>
    <cellStyle name="Normal 2 4 5 2 3 2 2 2 3" xfId="24148" xr:uid="{5E324149-08B8-4A81-A0E1-BA4EA36A95CC}"/>
    <cellStyle name="Normal 2 4 5 2 3 2 2 2 4" xfId="15707" xr:uid="{1A71CC5E-5D92-4557-B12B-E98E88E5D11C}"/>
    <cellStyle name="Normal 2 4 5 2 3 2 2 3" xfId="28371" xr:uid="{BA863F10-893F-43D5-8017-0394392C7CFD}"/>
    <cellStyle name="Normal 2 4 5 2 3 2 2 4" xfId="19930" xr:uid="{DBC1A043-50E3-4CA2-924D-4E16A25D615F}"/>
    <cellStyle name="Normal 2 4 5 2 3 2 2 5" xfId="11489" xr:uid="{822CDC61-E6B3-45E3-A105-B9094DE80A69}"/>
    <cellStyle name="Normal 2 4 5 2 3 2 3" xfId="5112" xr:uid="{00000000-0005-0000-0000-000063100000}"/>
    <cellStyle name="Normal 2 4 5 2 3 2 3 2" xfId="30444" xr:uid="{472026DB-ABB5-452B-BAFF-5F7D10FA3056}"/>
    <cellStyle name="Normal 2 4 5 2 3 2 3 3" xfId="22003" xr:uid="{C988968D-1C92-426F-8FC6-9739A762BBFC}"/>
    <cellStyle name="Normal 2 4 5 2 3 2 3 4" xfId="13562" xr:uid="{7A432A84-9858-4595-8C34-FFA7409A902D}"/>
    <cellStyle name="Normal 2 4 5 2 3 2 4" xfId="26226" xr:uid="{E91B86D8-D99E-430F-A805-0754D5CD73AE}"/>
    <cellStyle name="Normal 2 4 5 2 3 2 5" xfId="17785" xr:uid="{A65F3EB7-2527-4315-88D0-0F68FCD8771F}"/>
    <cellStyle name="Normal 2 4 5 2 3 2 6" xfId="9344" xr:uid="{A157A7A0-8A5D-454B-8FCF-B829E4305204}"/>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2 2 2" xfId="33002" xr:uid="{BAA1B697-A3F9-4E36-BD0D-2A362F02AC5A}"/>
    <cellStyle name="Normal 2 4 5 2 3 3 2 2 3" xfId="24561" xr:uid="{7089F21D-84E3-4807-9932-EF46E75C6729}"/>
    <cellStyle name="Normal 2 4 5 2 3 3 2 2 4" xfId="16120" xr:uid="{D90486B2-1064-4B78-850C-FF3E55729969}"/>
    <cellStyle name="Normal 2 4 5 2 3 3 2 3" xfId="28784" xr:uid="{E417B94D-2AC7-494F-A0F3-DD12E402FF03}"/>
    <cellStyle name="Normal 2 4 5 2 3 3 2 4" xfId="20343" xr:uid="{55FE1679-F2D0-4084-9237-13BBB9EE1FD2}"/>
    <cellStyle name="Normal 2 4 5 2 3 3 2 5" xfId="11902" xr:uid="{D1AA009A-8F65-41CA-AEA6-620911FAEF4B}"/>
    <cellStyle name="Normal 2 4 5 2 3 3 3" xfId="5525" xr:uid="{00000000-0005-0000-0000-000067100000}"/>
    <cellStyle name="Normal 2 4 5 2 3 3 3 2" xfId="30857" xr:uid="{00AE2334-C7B3-456A-AB94-5929DC9CFF4A}"/>
    <cellStyle name="Normal 2 4 5 2 3 3 3 3" xfId="22416" xr:uid="{CDA8AD02-E0C6-4FAB-BE39-322BFB96966B}"/>
    <cellStyle name="Normal 2 4 5 2 3 3 3 4" xfId="13975" xr:uid="{F368484F-A579-407B-B096-0B297297A55E}"/>
    <cellStyle name="Normal 2 4 5 2 3 3 4" xfId="26639" xr:uid="{0D3004A1-C104-413A-B357-77A4851551C0}"/>
    <cellStyle name="Normal 2 4 5 2 3 3 5" xfId="18198" xr:uid="{274CF4CA-7274-454D-9E3F-A07E551DE8B9}"/>
    <cellStyle name="Normal 2 4 5 2 3 3 6" xfId="9757" xr:uid="{494796EF-C9AE-45ED-80BA-D10F99C9AEAF}"/>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2 2 2" xfId="33415" xr:uid="{29F3AF1E-69D1-4F98-9D3B-D3411F3D434D}"/>
    <cellStyle name="Normal 2 4 5 2 3 4 2 2 3" xfId="24974" xr:uid="{8BE044A7-60A0-4437-A490-E09AD3134285}"/>
    <cellStyle name="Normal 2 4 5 2 3 4 2 2 4" xfId="16533" xr:uid="{3F31F926-7FB1-4EA3-98DC-3E897FC12C28}"/>
    <cellStyle name="Normal 2 4 5 2 3 4 2 3" xfId="29197" xr:uid="{5DE5BE26-643A-4E1C-827E-8011CDC5F2E0}"/>
    <cellStyle name="Normal 2 4 5 2 3 4 2 4" xfId="20756" xr:uid="{1E576D66-1942-4B47-91F8-58D5B95955ED}"/>
    <cellStyle name="Normal 2 4 5 2 3 4 2 5" xfId="12315" xr:uid="{1256600C-BBD0-4B9D-90AB-D40F59412D08}"/>
    <cellStyle name="Normal 2 4 5 2 3 4 3" xfId="5938" xr:uid="{00000000-0005-0000-0000-00006B100000}"/>
    <cellStyle name="Normal 2 4 5 2 3 4 3 2" xfId="31270" xr:uid="{270A10BE-B518-4654-97FC-58C7EB250B71}"/>
    <cellStyle name="Normal 2 4 5 2 3 4 3 3" xfId="22829" xr:uid="{7D3E8187-8EC1-4E93-88C3-A236F0BC2B92}"/>
    <cellStyle name="Normal 2 4 5 2 3 4 3 4" xfId="14388" xr:uid="{0A649637-2EC7-44F6-9B96-2DB59809620D}"/>
    <cellStyle name="Normal 2 4 5 2 3 4 4" xfId="27052" xr:uid="{306574D2-8689-489F-A838-793A73E216EE}"/>
    <cellStyle name="Normal 2 4 5 2 3 4 5" xfId="18611" xr:uid="{1F676534-120D-4C38-B9E4-14385B5A6098}"/>
    <cellStyle name="Normal 2 4 5 2 3 4 6" xfId="10170" xr:uid="{123F0079-7A63-4AC1-92B6-27D07B0A174A}"/>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2 2 2" xfId="33828" xr:uid="{2EDA7A3A-9783-48A2-8993-DF25DF5129F2}"/>
    <cellStyle name="Normal 2 4 5 2 3 5 2 2 3" xfId="25387" xr:uid="{F8E70F76-4B92-459E-A04E-B7EFB17836C1}"/>
    <cellStyle name="Normal 2 4 5 2 3 5 2 2 4" xfId="16946" xr:uid="{2E283872-AA59-485F-8AB6-4BF27902B45C}"/>
    <cellStyle name="Normal 2 4 5 2 3 5 2 3" xfId="29610" xr:uid="{F04A9FCD-24F7-448C-8DD6-9CDB9B945229}"/>
    <cellStyle name="Normal 2 4 5 2 3 5 2 4" xfId="21169" xr:uid="{B0D57755-F639-4EED-BE32-B275AB2DE261}"/>
    <cellStyle name="Normal 2 4 5 2 3 5 2 5" xfId="12728" xr:uid="{64836FA7-25F0-4A17-AE4A-B7A9A57C1F26}"/>
    <cellStyle name="Normal 2 4 5 2 3 5 3" xfId="6351" xr:uid="{00000000-0005-0000-0000-00006F100000}"/>
    <cellStyle name="Normal 2 4 5 2 3 5 3 2" xfId="31683" xr:uid="{149C0393-8146-432E-B745-9BD793079A1A}"/>
    <cellStyle name="Normal 2 4 5 2 3 5 3 3" xfId="23242" xr:uid="{2B050AD8-32C8-4DB2-A771-2C08F60638A8}"/>
    <cellStyle name="Normal 2 4 5 2 3 5 3 4" xfId="14801" xr:uid="{86B48E8F-ECBE-46BA-9CEF-8810172C552B}"/>
    <cellStyle name="Normal 2 4 5 2 3 5 4" xfId="27465" xr:uid="{89BE17FF-4626-4B00-A587-990C834A91E7}"/>
    <cellStyle name="Normal 2 4 5 2 3 5 5" xfId="19024" xr:uid="{1A809D44-56D0-4D8E-B265-D8D613030B86}"/>
    <cellStyle name="Normal 2 4 5 2 3 5 6" xfId="10583" xr:uid="{3ACD0E67-7045-43CA-B523-95DAFEAD50C7}"/>
    <cellStyle name="Normal 2 4 5 2 3 6" xfId="2481" xr:uid="{00000000-0005-0000-0000-000070100000}"/>
    <cellStyle name="Normal 2 4 5 2 3 6 2" xfId="6764" xr:uid="{00000000-0005-0000-0000-000071100000}"/>
    <cellStyle name="Normal 2 4 5 2 3 6 2 2" xfId="32096" xr:uid="{E96D19B0-C8E9-4B35-99C4-CF00A74F3563}"/>
    <cellStyle name="Normal 2 4 5 2 3 6 2 3" xfId="23655" xr:uid="{45317D67-A612-4A25-AFE8-BEFB076FB809}"/>
    <cellStyle name="Normal 2 4 5 2 3 6 2 4" xfId="15214" xr:uid="{993BBA3C-95FC-42A5-B8BA-467BD88FA67E}"/>
    <cellStyle name="Normal 2 4 5 2 3 6 3" xfId="27878" xr:uid="{316E3E39-F16F-4DF4-A86D-346B5E0C7303}"/>
    <cellStyle name="Normal 2 4 5 2 3 6 4" xfId="19437" xr:uid="{7A68654B-462C-4E53-B81C-D1B4BDBB00E7}"/>
    <cellStyle name="Normal 2 4 5 2 3 6 5" xfId="10996" xr:uid="{674B6EE9-E66E-4C37-8FED-6A017E6BEFED}"/>
    <cellStyle name="Normal 2 4 5 2 3 7" xfId="4698" xr:uid="{00000000-0005-0000-0000-000072100000}"/>
    <cellStyle name="Normal 2 4 5 2 3 7 2" xfId="30030" xr:uid="{09E8E5B7-7A91-4567-B3F3-05C920625756}"/>
    <cellStyle name="Normal 2 4 5 2 3 7 3" xfId="21589" xr:uid="{3751D8FA-A542-46C9-ACE8-CFA94F2CBBE0}"/>
    <cellStyle name="Normal 2 4 5 2 3 7 4" xfId="13148" xr:uid="{D30540E5-9445-4C64-AABF-03C65917C0C4}"/>
    <cellStyle name="Normal 2 4 5 2 3 8" xfId="25812" xr:uid="{78B35BDA-539B-49DE-BDFD-2A26030A1AB1}"/>
    <cellStyle name="Normal 2 4 5 2 3 9" xfId="17371" xr:uid="{F6141BCD-018C-404B-9A88-A4231C810C5F}"/>
    <cellStyle name="Normal 2 4 5 2 4" xfId="793" xr:uid="{00000000-0005-0000-0000-000073100000}"/>
    <cellStyle name="Normal 2 4 5 2 4 2" xfId="3032" xr:uid="{00000000-0005-0000-0000-000074100000}"/>
    <cellStyle name="Normal 2 4 5 2 4 2 2" xfId="7254" xr:uid="{00000000-0005-0000-0000-000075100000}"/>
    <cellStyle name="Normal 2 4 5 2 4 2 2 2" xfId="32586" xr:uid="{69207A9C-6062-4852-B403-54548D227325}"/>
    <cellStyle name="Normal 2 4 5 2 4 2 2 3" xfId="24145" xr:uid="{B44E45EF-9D1F-4AA6-AD81-DA29606B0A29}"/>
    <cellStyle name="Normal 2 4 5 2 4 2 2 4" xfId="15704" xr:uid="{3CCA8E17-79A9-499B-92EE-5C619D22244F}"/>
    <cellStyle name="Normal 2 4 5 2 4 2 3" xfId="28368" xr:uid="{551B31B6-DDD9-4024-BA1B-F2A365B3FCA5}"/>
    <cellStyle name="Normal 2 4 5 2 4 2 4" xfId="19927" xr:uid="{BF00FBC0-9228-4C16-97A3-CBEB4E3B7C5E}"/>
    <cellStyle name="Normal 2 4 5 2 4 2 5" xfId="11486" xr:uid="{7E21CC3E-5DCB-4DC2-912E-AD0A4D98BE06}"/>
    <cellStyle name="Normal 2 4 5 2 4 3" xfId="5109" xr:uid="{00000000-0005-0000-0000-000076100000}"/>
    <cellStyle name="Normal 2 4 5 2 4 3 2" xfId="30441" xr:uid="{0A53FEAB-8CF7-46D1-8F0F-63DD540D9D3D}"/>
    <cellStyle name="Normal 2 4 5 2 4 3 3" xfId="22000" xr:uid="{2AA0BBD1-17FD-4F3A-86C1-167AA93A5C2D}"/>
    <cellStyle name="Normal 2 4 5 2 4 3 4" xfId="13559" xr:uid="{250B01CF-5992-4AD7-B6B3-612ABB2E81F0}"/>
    <cellStyle name="Normal 2 4 5 2 4 4" xfId="26223" xr:uid="{3731A57F-A6CA-4965-AD67-C19F3C78393A}"/>
    <cellStyle name="Normal 2 4 5 2 4 5" xfId="17782" xr:uid="{9AFB851D-7F2A-4C46-9D01-3FF1D3D2E2B0}"/>
    <cellStyle name="Normal 2 4 5 2 4 6" xfId="9341" xr:uid="{1687DF4A-F4E8-4E33-8680-42C3BA484FB5}"/>
    <cellStyle name="Normal 2 4 5 2 5" xfId="1215" xr:uid="{00000000-0005-0000-0000-000077100000}"/>
    <cellStyle name="Normal 2 4 5 2 5 2" xfId="3445" xr:uid="{00000000-0005-0000-0000-000078100000}"/>
    <cellStyle name="Normal 2 4 5 2 5 2 2" xfId="7667" xr:uid="{00000000-0005-0000-0000-000079100000}"/>
    <cellStyle name="Normal 2 4 5 2 5 2 2 2" xfId="32999" xr:uid="{23801E55-F41D-4FB1-8D63-16EED16114C4}"/>
    <cellStyle name="Normal 2 4 5 2 5 2 2 3" xfId="24558" xr:uid="{6DC2AFF5-AF2E-4553-B954-D696DDC3BDD4}"/>
    <cellStyle name="Normal 2 4 5 2 5 2 2 4" xfId="16117" xr:uid="{9116902A-1969-4ADE-B760-9718B202050D}"/>
    <cellStyle name="Normal 2 4 5 2 5 2 3" xfId="28781" xr:uid="{4A7687C4-3B14-4F86-BF3F-4D1CA85FA8E4}"/>
    <cellStyle name="Normal 2 4 5 2 5 2 4" xfId="20340" xr:uid="{BD0AB36D-53EB-414F-BF5B-F62AF07B4FE5}"/>
    <cellStyle name="Normal 2 4 5 2 5 2 5" xfId="11899" xr:uid="{CEB27F41-6331-49C1-AC48-CCFCA080A114}"/>
    <cellStyle name="Normal 2 4 5 2 5 3" xfId="5522" xr:uid="{00000000-0005-0000-0000-00007A100000}"/>
    <cellStyle name="Normal 2 4 5 2 5 3 2" xfId="30854" xr:uid="{3E3AB992-028E-496D-97DD-DDFED4ADAA9C}"/>
    <cellStyle name="Normal 2 4 5 2 5 3 3" xfId="22413" xr:uid="{C6442E10-0F1F-4D60-8CFB-1EF1B4644BE1}"/>
    <cellStyle name="Normal 2 4 5 2 5 3 4" xfId="13972" xr:uid="{A426DF5F-828D-494D-B095-A21CB1D8058E}"/>
    <cellStyle name="Normal 2 4 5 2 5 4" xfId="26636" xr:uid="{CF25C11B-7BCD-40E8-86F0-24365323ECB2}"/>
    <cellStyle name="Normal 2 4 5 2 5 5" xfId="18195" xr:uid="{3DA5F925-AF9B-4EE5-8C72-6880C7AE8665}"/>
    <cellStyle name="Normal 2 4 5 2 5 6" xfId="9754" xr:uid="{201B5E1F-B0CE-4018-B2CA-F7356634E695}"/>
    <cellStyle name="Normal 2 4 5 2 6" xfId="1628" xr:uid="{00000000-0005-0000-0000-00007B100000}"/>
    <cellStyle name="Normal 2 4 5 2 6 2" xfId="3858" xr:uid="{00000000-0005-0000-0000-00007C100000}"/>
    <cellStyle name="Normal 2 4 5 2 6 2 2" xfId="8080" xr:uid="{00000000-0005-0000-0000-00007D100000}"/>
    <cellStyle name="Normal 2 4 5 2 6 2 2 2" xfId="33412" xr:uid="{378FBF94-126D-4331-B310-161E4D1880E6}"/>
    <cellStyle name="Normal 2 4 5 2 6 2 2 3" xfId="24971" xr:uid="{07F528CE-044D-4556-9F1A-20914BFF59AA}"/>
    <cellStyle name="Normal 2 4 5 2 6 2 2 4" xfId="16530" xr:uid="{1A3EE364-471C-4255-B4C3-9784294E0FBE}"/>
    <cellStyle name="Normal 2 4 5 2 6 2 3" xfId="29194" xr:uid="{86C2C9D0-B235-4E65-96FD-CDB4C5B1A221}"/>
    <cellStyle name="Normal 2 4 5 2 6 2 4" xfId="20753" xr:uid="{1D227043-8898-45E7-9441-73F269F4CC33}"/>
    <cellStyle name="Normal 2 4 5 2 6 2 5" xfId="12312" xr:uid="{8C42DCF1-EF4B-4B41-B15D-0FC9028E97EF}"/>
    <cellStyle name="Normal 2 4 5 2 6 3" xfId="5935" xr:uid="{00000000-0005-0000-0000-00007E100000}"/>
    <cellStyle name="Normal 2 4 5 2 6 3 2" xfId="31267" xr:uid="{C566455B-95D6-4670-9F79-D27C9581A5F3}"/>
    <cellStyle name="Normal 2 4 5 2 6 3 3" xfId="22826" xr:uid="{66BD8FDA-4276-42E3-94EF-F18E13173357}"/>
    <cellStyle name="Normal 2 4 5 2 6 3 4" xfId="14385" xr:uid="{AA28BEBC-774B-430C-BF3C-F08672593F1F}"/>
    <cellStyle name="Normal 2 4 5 2 6 4" xfId="27049" xr:uid="{070496EB-F418-4B0F-AB1B-C8316734519B}"/>
    <cellStyle name="Normal 2 4 5 2 6 5" xfId="18608" xr:uid="{39729034-20E5-4AC0-825D-4F283326952C}"/>
    <cellStyle name="Normal 2 4 5 2 6 6" xfId="10167" xr:uid="{9C6FFB41-92EF-4BDC-972D-3A83C417E3B7}"/>
    <cellStyle name="Normal 2 4 5 2 7" xfId="2042" xr:uid="{00000000-0005-0000-0000-00007F100000}"/>
    <cellStyle name="Normal 2 4 5 2 7 2" xfId="4271" xr:uid="{00000000-0005-0000-0000-000080100000}"/>
    <cellStyle name="Normal 2 4 5 2 7 2 2" xfId="8493" xr:uid="{00000000-0005-0000-0000-000081100000}"/>
    <cellStyle name="Normal 2 4 5 2 7 2 2 2" xfId="33825" xr:uid="{726CD3F1-30AA-4FCA-B381-4915ED7FAF4E}"/>
    <cellStyle name="Normal 2 4 5 2 7 2 2 3" xfId="25384" xr:uid="{36D4012C-A5C7-4544-BAF9-2EF18D01153E}"/>
    <cellStyle name="Normal 2 4 5 2 7 2 2 4" xfId="16943" xr:uid="{502EE41E-4A24-4095-8820-967BE96D3508}"/>
    <cellStyle name="Normal 2 4 5 2 7 2 3" xfId="29607" xr:uid="{F040C366-B760-4FD8-B020-C2B7B8795444}"/>
    <cellStyle name="Normal 2 4 5 2 7 2 4" xfId="21166" xr:uid="{A8799FE4-D527-465F-BEFA-A95C9B57D86E}"/>
    <cellStyle name="Normal 2 4 5 2 7 2 5" xfId="12725" xr:uid="{91A70F3E-1CCE-4952-8DB2-3702D0ADAD5B}"/>
    <cellStyle name="Normal 2 4 5 2 7 3" xfId="6348" xr:uid="{00000000-0005-0000-0000-000082100000}"/>
    <cellStyle name="Normal 2 4 5 2 7 3 2" xfId="31680" xr:uid="{EEBF7DE3-6F57-4120-99E7-C1C9B9F996B5}"/>
    <cellStyle name="Normal 2 4 5 2 7 3 3" xfId="23239" xr:uid="{E63C2ABD-2397-4C0E-83A5-7CC6032E951B}"/>
    <cellStyle name="Normal 2 4 5 2 7 3 4" xfId="14798" xr:uid="{451366A1-2250-4085-99CB-F4AEF1D6AD61}"/>
    <cellStyle name="Normal 2 4 5 2 7 4" xfId="27462" xr:uid="{81A4A989-F174-4414-BD57-4E5489158E1B}"/>
    <cellStyle name="Normal 2 4 5 2 7 5" xfId="19021" xr:uid="{FF7A2BBA-BCF8-475E-AEB1-C867F91DD28C}"/>
    <cellStyle name="Normal 2 4 5 2 7 6" xfId="10580" xr:uid="{20D5A882-F71B-4554-9845-A678256DBA67}"/>
    <cellStyle name="Normal 2 4 5 2 8" xfId="2478" xr:uid="{00000000-0005-0000-0000-000083100000}"/>
    <cellStyle name="Normal 2 4 5 2 8 2" xfId="6761" xr:uid="{00000000-0005-0000-0000-000084100000}"/>
    <cellStyle name="Normal 2 4 5 2 8 2 2" xfId="32093" xr:uid="{A91FA91B-D778-419D-930F-5EFB5A5D9B36}"/>
    <cellStyle name="Normal 2 4 5 2 8 2 3" xfId="23652" xr:uid="{FAE8B4E1-3C63-485D-AED2-6DF638908EEE}"/>
    <cellStyle name="Normal 2 4 5 2 8 2 4" xfId="15211" xr:uid="{7156E434-449F-438A-BB34-759C92328C19}"/>
    <cellStyle name="Normal 2 4 5 2 8 3" xfId="27875" xr:uid="{222FFF71-7003-4178-B044-F4E13A149FEC}"/>
    <cellStyle name="Normal 2 4 5 2 8 4" xfId="19434" xr:uid="{068FF85A-321A-49DF-9F38-6FC02D1AB819}"/>
    <cellStyle name="Normal 2 4 5 2 8 5" xfId="10993" xr:uid="{A82A24FC-9265-4BC5-85E4-4EC4B6ECBD18}"/>
    <cellStyle name="Normal 2 4 5 2 9" xfId="4695" xr:uid="{00000000-0005-0000-0000-000085100000}"/>
    <cellStyle name="Normal 2 4 5 2 9 2" xfId="30027" xr:uid="{70EB2190-5974-48FB-A3C5-1D304F923090}"/>
    <cellStyle name="Normal 2 4 5 2 9 3" xfId="21586" xr:uid="{4B0074DD-FE30-4E5E-A360-6742C479B774}"/>
    <cellStyle name="Normal 2 4 5 2 9 4" xfId="13145" xr:uid="{B5619ADA-C456-4EAF-BED4-98CC3DF6F6E4}"/>
    <cellStyle name="Normal 2 4 5 3" xfId="308" xr:uid="{00000000-0005-0000-0000-000086100000}"/>
    <cellStyle name="Normal 2 4 5 3 10" xfId="17372" xr:uid="{C6F6285F-AC88-43B3-9855-BB5923941D51}"/>
    <cellStyle name="Normal 2 4 5 3 11" xfId="8931" xr:uid="{56068D46-1F32-4E4D-A6B1-EBB3319AB700}"/>
    <cellStyle name="Normal 2 4 5 3 2" xfId="309" xr:uid="{00000000-0005-0000-0000-000087100000}"/>
    <cellStyle name="Normal 2 4 5 3 2 10" xfId="8932" xr:uid="{6AF138B4-4745-4B4B-9C67-9503DC4E5ABA}"/>
    <cellStyle name="Normal 2 4 5 3 2 2" xfId="798" xr:uid="{00000000-0005-0000-0000-000088100000}"/>
    <cellStyle name="Normal 2 4 5 3 2 2 2" xfId="3037" xr:uid="{00000000-0005-0000-0000-000089100000}"/>
    <cellStyle name="Normal 2 4 5 3 2 2 2 2" xfId="7259" xr:uid="{00000000-0005-0000-0000-00008A100000}"/>
    <cellStyle name="Normal 2 4 5 3 2 2 2 2 2" xfId="32591" xr:uid="{81AD8D86-A617-4078-831D-DDEEF12DB199}"/>
    <cellStyle name="Normal 2 4 5 3 2 2 2 2 3" xfId="24150" xr:uid="{DAD68113-9ACB-45E1-A82D-F6F49ECCFB03}"/>
    <cellStyle name="Normal 2 4 5 3 2 2 2 2 4" xfId="15709" xr:uid="{1A2B14BD-D181-4D52-ABCF-D87DF7F962EC}"/>
    <cellStyle name="Normal 2 4 5 3 2 2 2 3" xfId="28373" xr:uid="{024F83DB-4097-4FA0-BA2B-FA89AEF54D48}"/>
    <cellStyle name="Normal 2 4 5 3 2 2 2 4" xfId="19932" xr:uid="{36A34948-AEBB-4E60-A410-020AC24E896E}"/>
    <cellStyle name="Normal 2 4 5 3 2 2 2 5" xfId="11491" xr:uid="{C5050484-82FB-417E-9BF9-4FD713FCEC33}"/>
    <cellStyle name="Normal 2 4 5 3 2 2 3" xfId="5114" xr:uid="{00000000-0005-0000-0000-00008B100000}"/>
    <cellStyle name="Normal 2 4 5 3 2 2 3 2" xfId="30446" xr:uid="{8F9369A4-6D0F-41B7-8F1A-61D7C67AFBDC}"/>
    <cellStyle name="Normal 2 4 5 3 2 2 3 3" xfId="22005" xr:uid="{397F612F-00F8-4671-851E-9E6E267ED794}"/>
    <cellStyle name="Normal 2 4 5 3 2 2 3 4" xfId="13564" xr:uid="{0FCFE70A-F673-4537-A4CC-0E79B76E71EC}"/>
    <cellStyle name="Normal 2 4 5 3 2 2 4" xfId="26228" xr:uid="{C7A3DB91-8E3F-4C09-BD8C-E9290DEC23DB}"/>
    <cellStyle name="Normal 2 4 5 3 2 2 5" xfId="17787" xr:uid="{72AF2D23-FC36-47FB-ACB6-E76754FBC77B}"/>
    <cellStyle name="Normal 2 4 5 3 2 2 6" xfId="9346" xr:uid="{37F71A16-C929-465F-837F-A55EB5769E51}"/>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2 2 2" xfId="33004" xr:uid="{B0A0DBCA-D2C0-40BE-9EF2-5C8800D4B6BB}"/>
    <cellStyle name="Normal 2 4 5 3 2 3 2 2 3" xfId="24563" xr:uid="{01842BCC-7DFB-4BBE-9B5B-BD18BFACD56E}"/>
    <cellStyle name="Normal 2 4 5 3 2 3 2 2 4" xfId="16122" xr:uid="{6961159C-69A7-4FF7-B6F6-2B2F4C8DC609}"/>
    <cellStyle name="Normal 2 4 5 3 2 3 2 3" xfId="28786" xr:uid="{B51EC518-2E1D-4D89-BE6D-A2937B185E95}"/>
    <cellStyle name="Normal 2 4 5 3 2 3 2 4" xfId="20345" xr:uid="{9FB66133-896D-439C-A280-5AE24AB4115F}"/>
    <cellStyle name="Normal 2 4 5 3 2 3 2 5" xfId="11904" xr:uid="{128EC06A-E773-4278-A0F4-4BEFD57C8DB2}"/>
    <cellStyle name="Normal 2 4 5 3 2 3 3" xfId="5527" xr:uid="{00000000-0005-0000-0000-00008F100000}"/>
    <cellStyle name="Normal 2 4 5 3 2 3 3 2" xfId="30859" xr:uid="{0F864A8E-A94D-4957-88B5-711C9B7E887E}"/>
    <cellStyle name="Normal 2 4 5 3 2 3 3 3" xfId="22418" xr:uid="{2406239F-4247-443A-9CF3-5BA367677C32}"/>
    <cellStyle name="Normal 2 4 5 3 2 3 3 4" xfId="13977" xr:uid="{ED8C60D1-FDA5-48CF-A397-86AD2E3929AE}"/>
    <cellStyle name="Normal 2 4 5 3 2 3 4" xfId="26641" xr:uid="{89C93CFE-5808-4279-B277-6D57589CE532}"/>
    <cellStyle name="Normal 2 4 5 3 2 3 5" xfId="18200" xr:uid="{ACD449D1-EF61-489D-B67A-23C096CC861A}"/>
    <cellStyle name="Normal 2 4 5 3 2 3 6" xfId="9759" xr:uid="{0228CDC3-7DC8-49C8-AB68-893E427C6A33}"/>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2 2 2" xfId="33417" xr:uid="{0AA2B193-68B7-4763-9F3D-E1E3080A0804}"/>
    <cellStyle name="Normal 2 4 5 3 2 4 2 2 3" xfId="24976" xr:uid="{34C7DC78-FFC5-421D-B168-28AEA716227E}"/>
    <cellStyle name="Normal 2 4 5 3 2 4 2 2 4" xfId="16535" xr:uid="{A0E356E6-EAD8-4C9C-966E-57DEEDE73C36}"/>
    <cellStyle name="Normal 2 4 5 3 2 4 2 3" xfId="29199" xr:uid="{3DC834E7-3B00-4D26-A404-5FC104BB91FD}"/>
    <cellStyle name="Normal 2 4 5 3 2 4 2 4" xfId="20758" xr:uid="{0C9508E2-0D12-43DB-AA0D-E7AD15D7B9C1}"/>
    <cellStyle name="Normal 2 4 5 3 2 4 2 5" xfId="12317" xr:uid="{AD3BEE57-686D-4D13-B90A-A3108A466076}"/>
    <cellStyle name="Normal 2 4 5 3 2 4 3" xfId="5940" xr:uid="{00000000-0005-0000-0000-000093100000}"/>
    <cellStyle name="Normal 2 4 5 3 2 4 3 2" xfId="31272" xr:uid="{A6D6902A-0567-4C0B-A814-F353B4835DBD}"/>
    <cellStyle name="Normal 2 4 5 3 2 4 3 3" xfId="22831" xr:uid="{7764706E-B204-414E-A93C-3695820B3166}"/>
    <cellStyle name="Normal 2 4 5 3 2 4 3 4" xfId="14390" xr:uid="{DF5AAC9B-267B-4FF5-90CF-2ECE4A398A4C}"/>
    <cellStyle name="Normal 2 4 5 3 2 4 4" xfId="27054" xr:uid="{9D3003CF-0892-41CB-BCB0-1C55EA9400AD}"/>
    <cellStyle name="Normal 2 4 5 3 2 4 5" xfId="18613" xr:uid="{7072FB21-6E8D-4449-A0CC-13B9703BE84D}"/>
    <cellStyle name="Normal 2 4 5 3 2 4 6" xfId="10172" xr:uid="{C968A56A-87E2-43E5-917F-FDC895CE3B93}"/>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2 2 2" xfId="33830" xr:uid="{1AFF3D12-27D5-490A-BE29-82CB9954F441}"/>
    <cellStyle name="Normal 2 4 5 3 2 5 2 2 3" xfId="25389" xr:uid="{95FD6579-6775-4457-ADE0-A4F1EEC2DD10}"/>
    <cellStyle name="Normal 2 4 5 3 2 5 2 2 4" xfId="16948" xr:uid="{7B10E762-CB02-4E65-9FA4-060249648BCB}"/>
    <cellStyle name="Normal 2 4 5 3 2 5 2 3" xfId="29612" xr:uid="{90B6348E-8530-44DB-885A-9C5105976696}"/>
    <cellStyle name="Normal 2 4 5 3 2 5 2 4" xfId="21171" xr:uid="{D0446AD2-05FF-458D-8ADB-85FBCD8883F2}"/>
    <cellStyle name="Normal 2 4 5 3 2 5 2 5" xfId="12730" xr:uid="{C79BD586-7EEB-4FD0-B5D9-3CCDE7336FBA}"/>
    <cellStyle name="Normal 2 4 5 3 2 5 3" xfId="6353" xr:uid="{00000000-0005-0000-0000-000097100000}"/>
    <cellStyle name="Normal 2 4 5 3 2 5 3 2" xfId="31685" xr:uid="{9B49B106-7F51-4A3F-B452-B152BDE17FEE}"/>
    <cellStyle name="Normal 2 4 5 3 2 5 3 3" xfId="23244" xr:uid="{ADD9E5A0-A02C-4D16-954C-D7D724C1D04B}"/>
    <cellStyle name="Normal 2 4 5 3 2 5 3 4" xfId="14803" xr:uid="{F24B0ACA-5F9E-4EBF-BEC4-A59769890A84}"/>
    <cellStyle name="Normal 2 4 5 3 2 5 4" xfId="27467" xr:uid="{420445C0-E7CE-438E-9726-157378E90F45}"/>
    <cellStyle name="Normal 2 4 5 3 2 5 5" xfId="19026" xr:uid="{128412DA-DED1-451D-B407-2E7A8A8E5059}"/>
    <cellStyle name="Normal 2 4 5 3 2 5 6" xfId="10585" xr:uid="{2C731F9D-8574-45B1-814D-CEA144824C86}"/>
    <cellStyle name="Normal 2 4 5 3 2 6" xfId="2483" xr:uid="{00000000-0005-0000-0000-000098100000}"/>
    <cellStyle name="Normal 2 4 5 3 2 6 2" xfId="6766" xr:uid="{00000000-0005-0000-0000-000099100000}"/>
    <cellStyle name="Normal 2 4 5 3 2 6 2 2" xfId="32098" xr:uid="{965A708F-7BE8-430C-A279-BA51F6F4899E}"/>
    <cellStyle name="Normal 2 4 5 3 2 6 2 3" xfId="23657" xr:uid="{0C535D15-A98A-4C6D-B7C6-4EF8F8B902A8}"/>
    <cellStyle name="Normal 2 4 5 3 2 6 2 4" xfId="15216" xr:uid="{9225EA11-E6FE-4146-B157-E36619BEEA0F}"/>
    <cellStyle name="Normal 2 4 5 3 2 6 3" xfId="27880" xr:uid="{4705A561-985F-44B9-BFD8-6FAD05AF7C7E}"/>
    <cellStyle name="Normal 2 4 5 3 2 6 4" xfId="19439" xr:uid="{BC1D962C-7053-4A93-A013-4219548D3FBB}"/>
    <cellStyle name="Normal 2 4 5 3 2 6 5" xfId="10998" xr:uid="{A113843B-6B34-4487-9DD1-003A6C1D8E0E}"/>
    <cellStyle name="Normal 2 4 5 3 2 7" xfId="4700" xr:uid="{00000000-0005-0000-0000-00009A100000}"/>
    <cellStyle name="Normal 2 4 5 3 2 7 2" xfId="30032" xr:uid="{0B5DF559-269A-4E07-B5AA-77AFB2AC17D7}"/>
    <cellStyle name="Normal 2 4 5 3 2 7 3" xfId="21591" xr:uid="{75DF419A-6BD7-4813-A55F-2542D35F2FC9}"/>
    <cellStyle name="Normal 2 4 5 3 2 7 4" xfId="13150" xr:uid="{649E35CB-D454-4AF2-B5E9-00C9509FCF65}"/>
    <cellStyle name="Normal 2 4 5 3 2 8" xfId="25814" xr:uid="{645186CD-C4A8-430A-95DB-83B7A3A468AD}"/>
    <cellStyle name="Normal 2 4 5 3 2 9" xfId="17373" xr:uid="{B79FAFB2-3B02-4A16-9CF0-82A787E5685E}"/>
    <cellStyle name="Normal 2 4 5 3 3" xfId="797" xr:uid="{00000000-0005-0000-0000-00009B100000}"/>
    <cellStyle name="Normal 2 4 5 3 3 2" xfId="3036" xr:uid="{00000000-0005-0000-0000-00009C100000}"/>
    <cellStyle name="Normal 2 4 5 3 3 2 2" xfId="7258" xr:uid="{00000000-0005-0000-0000-00009D100000}"/>
    <cellStyle name="Normal 2 4 5 3 3 2 2 2" xfId="32590" xr:uid="{4C1617F8-46D0-48AD-829A-EF0E0E2F665F}"/>
    <cellStyle name="Normal 2 4 5 3 3 2 2 3" xfId="24149" xr:uid="{4180D8F4-59D3-4C85-9DD3-2AA791AAEAB5}"/>
    <cellStyle name="Normal 2 4 5 3 3 2 2 4" xfId="15708" xr:uid="{79D9868D-9AE0-4DE1-AD54-893CBCD3EB5A}"/>
    <cellStyle name="Normal 2 4 5 3 3 2 3" xfId="28372" xr:uid="{1895C6C3-78CF-437D-B7B4-AE10BC459FB7}"/>
    <cellStyle name="Normal 2 4 5 3 3 2 4" xfId="19931" xr:uid="{C42474CE-F029-42AF-8FEA-ED680ADD96B9}"/>
    <cellStyle name="Normal 2 4 5 3 3 2 5" xfId="11490" xr:uid="{62FFAEBF-FE6C-4FA3-A372-6EB8CD40E346}"/>
    <cellStyle name="Normal 2 4 5 3 3 3" xfId="5113" xr:uid="{00000000-0005-0000-0000-00009E100000}"/>
    <cellStyle name="Normal 2 4 5 3 3 3 2" xfId="30445" xr:uid="{F21D1CD4-61F8-40A8-83E8-E90A4EB29CED}"/>
    <cellStyle name="Normal 2 4 5 3 3 3 3" xfId="22004" xr:uid="{078C83B2-8334-4F85-B1FE-52CCD648017D}"/>
    <cellStyle name="Normal 2 4 5 3 3 3 4" xfId="13563" xr:uid="{B44EF938-2725-4CED-9462-644370194C0D}"/>
    <cellStyle name="Normal 2 4 5 3 3 4" xfId="26227" xr:uid="{6B56CC68-7033-45D4-874C-EA084A2E7621}"/>
    <cellStyle name="Normal 2 4 5 3 3 5" xfId="17786" xr:uid="{3A1F83BA-092C-4625-8A3D-6A88BD4956C0}"/>
    <cellStyle name="Normal 2 4 5 3 3 6" xfId="9345" xr:uid="{C5C25C91-D156-4CAE-AB19-1C28036FD20D}"/>
    <cellStyle name="Normal 2 4 5 3 4" xfId="1219" xr:uid="{00000000-0005-0000-0000-00009F100000}"/>
    <cellStyle name="Normal 2 4 5 3 4 2" xfId="3449" xr:uid="{00000000-0005-0000-0000-0000A0100000}"/>
    <cellStyle name="Normal 2 4 5 3 4 2 2" xfId="7671" xr:uid="{00000000-0005-0000-0000-0000A1100000}"/>
    <cellStyle name="Normal 2 4 5 3 4 2 2 2" xfId="33003" xr:uid="{E84AAF99-6B79-44F6-A561-CEE49D6D5F76}"/>
    <cellStyle name="Normal 2 4 5 3 4 2 2 3" xfId="24562" xr:uid="{766EC1A5-9731-4714-8157-116EFA18C4AC}"/>
    <cellStyle name="Normal 2 4 5 3 4 2 2 4" xfId="16121" xr:uid="{195F6880-B502-4417-B1FD-D800FC792FDE}"/>
    <cellStyle name="Normal 2 4 5 3 4 2 3" xfId="28785" xr:uid="{3FF53E3A-90FA-46BA-BF7B-C695B89F13C6}"/>
    <cellStyle name="Normal 2 4 5 3 4 2 4" xfId="20344" xr:uid="{96D5B49D-D2A8-45F8-ACDA-EEF28188A307}"/>
    <cellStyle name="Normal 2 4 5 3 4 2 5" xfId="11903" xr:uid="{48BE88EC-02B8-4501-BAC1-CB2A2D91FCE8}"/>
    <cellStyle name="Normal 2 4 5 3 4 3" xfId="5526" xr:uid="{00000000-0005-0000-0000-0000A2100000}"/>
    <cellStyle name="Normal 2 4 5 3 4 3 2" xfId="30858" xr:uid="{52AFBC22-0F22-45D6-9A75-13887DE81067}"/>
    <cellStyle name="Normal 2 4 5 3 4 3 3" xfId="22417" xr:uid="{41F546EE-9C2E-490C-887B-85FAD9816BBF}"/>
    <cellStyle name="Normal 2 4 5 3 4 3 4" xfId="13976" xr:uid="{679E769A-88A1-476C-BAF3-61212A4763FD}"/>
    <cellStyle name="Normal 2 4 5 3 4 4" xfId="26640" xr:uid="{F030DC17-7D10-44E7-91CB-4257FD7C7666}"/>
    <cellStyle name="Normal 2 4 5 3 4 5" xfId="18199" xr:uid="{07608B7A-E0AA-49EB-8650-45C03BAD009B}"/>
    <cellStyle name="Normal 2 4 5 3 4 6" xfId="9758" xr:uid="{C9F98383-41FE-49F9-B36E-DFC56268EE45}"/>
    <cellStyle name="Normal 2 4 5 3 5" xfId="1632" xr:uid="{00000000-0005-0000-0000-0000A3100000}"/>
    <cellStyle name="Normal 2 4 5 3 5 2" xfId="3862" xr:uid="{00000000-0005-0000-0000-0000A4100000}"/>
    <cellStyle name="Normal 2 4 5 3 5 2 2" xfId="8084" xr:uid="{00000000-0005-0000-0000-0000A5100000}"/>
    <cellStyle name="Normal 2 4 5 3 5 2 2 2" xfId="33416" xr:uid="{4AC7729A-55C0-4D3A-810A-3BBBAB1648BF}"/>
    <cellStyle name="Normal 2 4 5 3 5 2 2 3" xfId="24975" xr:uid="{E616084F-D5A6-4914-98B5-541CD8018334}"/>
    <cellStyle name="Normal 2 4 5 3 5 2 2 4" xfId="16534" xr:uid="{1A8641FD-121B-4E72-8C50-A61278791542}"/>
    <cellStyle name="Normal 2 4 5 3 5 2 3" xfId="29198" xr:uid="{B158E948-9AAA-4453-BD3A-34A0F35735F8}"/>
    <cellStyle name="Normal 2 4 5 3 5 2 4" xfId="20757" xr:uid="{37CFFB3C-8A75-4FA4-8333-F952BAD4E2EC}"/>
    <cellStyle name="Normal 2 4 5 3 5 2 5" xfId="12316" xr:uid="{A1B86023-D919-4DE8-BC8B-57A51F8D6A2F}"/>
    <cellStyle name="Normal 2 4 5 3 5 3" xfId="5939" xr:uid="{00000000-0005-0000-0000-0000A6100000}"/>
    <cellStyle name="Normal 2 4 5 3 5 3 2" xfId="31271" xr:uid="{BA4957E3-C267-4391-BD63-6BC76E886E49}"/>
    <cellStyle name="Normal 2 4 5 3 5 3 3" xfId="22830" xr:uid="{5921F5BB-4FE5-4BDB-927C-F8864A65A87D}"/>
    <cellStyle name="Normal 2 4 5 3 5 3 4" xfId="14389" xr:uid="{7FF70CB7-2A03-4AFD-AF72-B1472993BEAF}"/>
    <cellStyle name="Normal 2 4 5 3 5 4" xfId="27053" xr:uid="{92DCEEE5-421F-4A4F-AA84-07445B7A2A53}"/>
    <cellStyle name="Normal 2 4 5 3 5 5" xfId="18612" xr:uid="{132E9CB5-229B-4709-9DDE-218DA67AAB97}"/>
    <cellStyle name="Normal 2 4 5 3 5 6" xfId="10171" xr:uid="{9FBDD92A-4F12-4FC0-BE1D-A889BE209F4E}"/>
    <cellStyle name="Normal 2 4 5 3 6" xfId="2046" xr:uid="{00000000-0005-0000-0000-0000A7100000}"/>
    <cellStyle name="Normal 2 4 5 3 6 2" xfId="4275" xr:uid="{00000000-0005-0000-0000-0000A8100000}"/>
    <cellStyle name="Normal 2 4 5 3 6 2 2" xfId="8497" xr:uid="{00000000-0005-0000-0000-0000A9100000}"/>
    <cellStyle name="Normal 2 4 5 3 6 2 2 2" xfId="33829" xr:uid="{AA2A396E-1BB0-4C9C-93CF-B2B2CBBA1794}"/>
    <cellStyle name="Normal 2 4 5 3 6 2 2 3" xfId="25388" xr:uid="{868E85E0-C67E-4DF8-ACFB-C02C690C513F}"/>
    <cellStyle name="Normal 2 4 5 3 6 2 2 4" xfId="16947" xr:uid="{CC68C15C-EAE4-458B-B6B5-FD6B493C6C0D}"/>
    <cellStyle name="Normal 2 4 5 3 6 2 3" xfId="29611" xr:uid="{4795E06E-3184-4088-BC2F-A912F871B513}"/>
    <cellStyle name="Normal 2 4 5 3 6 2 4" xfId="21170" xr:uid="{4E905B52-5483-421B-A649-CC92CBA7D20C}"/>
    <cellStyle name="Normal 2 4 5 3 6 2 5" xfId="12729" xr:uid="{469CA59D-2DEE-4C55-82CF-74DC15B3D007}"/>
    <cellStyle name="Normal 2 4 5 3 6 3" xfId="6352" xr:uid="{00000000-0005-0000-0000-0000AA100000}"/>
    <cellStyle name="Normal 2 4 5 3 6 3 2" xfId="31684" xr:uid="{3D48BE9C-A7D9-4767-B7F0-0E02878C72C8}"/>
    <cellStyle name="Normal 2 4 5 3 6 3 3" xfId="23243" xr:uid="{C9A8F85D-CB21-4F56-A254-90DCFA38FA38}"/>
    <cellStyle name="Normal 2 4 5 3 6 3 4" xfId="14802" xr:uid="{9C2AD2DE-B121-4291-BF1A-12C97D713800}"/>
    <cellStyle name="Normal 2 4 5 3 6 4" xfId="27466" xr:uid="{1AA1690F-B779-42F4-999A-6B452D6C884E}"/>
    <cellStyle name="Normal 2 4 5 3 6 5" xfId="19025" xr:uid="{C16906A8-92CA-402D-98FC-47017C12C631}"/>
    <cellStyle name="Normal 2 4 5 3 6 6" xfId="10584" xr:uid="{FAE31AE7-33D6-4AC3-93AD-7886403A2A6E}"/>
    <cellStyle name="Normal 2 4 5 3 7" xfId="2482" xr:uid="{00000000-0005-0000-0000-0000AB100000}"/>
    <cellStyle name="Normal 2 4 5 3 7 2" xfId="6765" xr:uid="{00000000-0005-0000-0000-0000AC100000}"/>
    <cellStyle name="Normal 2 4 5 3 7 2 2" xfId="32097" xr:uid="{7D6D21EE-82DD-4BD9-8F98-2C9872C39857}"/>
    <cellStyle name="Normal 2 4 5 3 7 2 3" xfId="23656" xr:uid="{07D1C15F-DB6A-4E49-B980-EFF6CA50577C}"/>
    <cellStyle name="Normal 2 4 5 3 7 2 4" xfId="15215" xr:uid="{013584E9-D11D-4ECA-B877-5EB966FACCA6}"/>
    <cellStyle name="Normal 2 4 5 3 7 3" xfId="27879" xr:uid="{907FFC0B-2335-4C03-81FF-A075F7F8A6D3}"/>
    <cellStyle name="Normal 2 4 5 3 7 4" xfId="19438" xr:uid="{5BCEC7D2-0C5B-4E4E-A818-224ED64C77DA}"/>
    <cellStyle name="Normal 2 4 5 3 7 5" xfId="10997" xr:uid="{C4CA5E03-6105-45D6-9BDC-9FB0E442FA8A}"/>
    <cellStyle name="Normal 2 4 5 3 8" xfId="4699" xr:uid="{00000000-0005-0000-0000-0000AD100000}"/>
    <cellStyle name="Normal 2 4 5 3 8 2" xfId="30031" xr:uid="{0BF4CF10-1556-4BC6-B854-08761B2C23ED}"/>
    <cellStyle name="Normal 2 4 5 3 8 3" xfId="21590" xr:uid="{32CE7665-B1BA-4997-81EB-7BED551E67E0}"/>
    <cellStyle name="Normal 2 4 5 3 8 4" xfId="13149" xr:uid="{8087EA40-52C0-4E6C-9967-E2090255BBB6}"/>
    <cellStyle name="Normal 2 4 5 3 9" xfId="25813" xr:uid="{07855464-22E0-4B4B-AE83-9DB40513C4B6}"/>
    <cellStyle name="Normal 2 4 5 4" xfId="310" xr:uid="{00000000-0005-0000-0000-0000AE100000}"/>
    <cellStyle name="Normal 2 4 5 4 10" xfId="8933" xr:uid="{BCC12C9E-2986-4F46-A729-97880600C53E}"/>
    <cellStyle name="Normal 2 4 5 4 2" xfId="799" xr:uid="{00000000-0005-0000-0000-0000AF100000}"/>
    <cellStyle name="Normal 2 4 5 4 2 2" xfId="3038" xr:uid="{00000000-0005-0000-0000-0000B0100000}"/>
    <cellStyle name="Normal 2 4 5 4 2 2 2" xfId="7260" xr:uid="{00000000-0005-0000-0000-0000B1100000}"/>
    <cellStyle name="Normal 2 4 5 4 2 2 2 2" xfId="32592" xr:uid="{F7BA0F33-73E6-4FE9-8F10-961B540376D9}"/>
    <cellStyle name="Normal 2 4 5 4 2 2 2 3" xfId="24151" xr:uid="{208E183E-EB1C-4216-A2D3-57DC97826AF9}"/>
    <cellStyle name="Normal 2 4 5 4 2 2 2 4" xfId="15710" xr:uid="{089DA6E7-2789-4C63-8E9E-3EF2212F6016}"/>
    <cellStyle name="Normal 2 4 5 4 2 2 3" xfId="28374" xr:uid="{DC26B75D-6D96-4002-B12D-5F7502C8F790}"/>
    <cellStyle name="Normal 2 4 5 4 2 2 4" xfId="19933" xr:uid="{C9A1ED65-354D-40C8-9E65-A99EFCC13BFC}"/>
    <cellStyle name="Normal 2 4 5 4 2 2 5" xfId="11492" xr:uid="{E652B72F-E942-48DF-989F-5A7E8AAB8D8F}"/>
    <cellStyle name="Normal 2 4 5 4 2 3" xfId="5115" xr:uid="{00000000-0005-0000-0000-0000B2100000}"/>
    <cellStyle name="Normal 2 4 5 4 2 3 2" xfId="30447" xr:uid="{BA437164-69B5-4D10-9762-B3B75F29FFE6}"/>
    <cellStyle name="Normal 2 4 5 4 2 3 3" xfId="22006" xr:uid="{CE788BDA-BFBE-49F3-8767-A47F728148CE}"/>
    <cellStyle name="Normal 2 4 5 4 2 3 4" xfId="13565" xr:uid="{197BFBB9-6A2E-4A17-96F7-DFF45C88AB68}"/>
    <cellStyle name="Normal 2 4 5 4 2 4" xfId="26229" xr:uid="{F2AA0CA0-F37C-4BF7-A0C3-86A67209C44F}"/>
    <cellStyle name="Normal 2 4 5 4 2 5" xfId="17788" xr:uid="{9ADEB377-30AC-4ABB-9D75-8F51F03FC40D}"/>
    <cellStyle name="Normal 2 4 5 4 2 6" xfId="9347" xr:uid="{A56C4566-F26C-4CC9-8D8D-A01108BB28FA}"/>
    <cellStyle name="Normal 2 4 5 4 3" xfId="1221" xr:uid="{00000000-0005-0000-0000-0000B3100000}"/>
    <cellStyle name="Normal 2 4 5 4 3 2" xfId="3451" xr:uid="{00000000-0005-0000-0000-0000B4100000}"/>
    <cellStyle name="Normal 2 4 5 4 3 2 2" xfId="7673" xr:uid="{00000000-0005-0000-0000-0000B5100000}"/>
    <cellStyle name="Normal 2 4 5 4 3 2 2 2" xfId="33005" xr:uid="{9EECBA2B-FF7C-4E38-BB32-61FA31A9B94F}"/>
    <cellStyle name="Normal 2 4 5 4 3 2 2 3" xfId="24564" xr:uid="{9CEE06F0-1107-4A80-AC34-45F52F8124AD}"/>
    <cellStyle name="Normal 2 4 5 4 3 2 2 4" xfId="16123" xr:uid="{50551F12-2380-43E4-95A9-BF45AA75ABB4}"/>
    <cellStyle name="Normal 2 4 5 4 3 2 3" xfId="28787" xr:uid="{C4914EDF-334C-496B-81E7-3D1B8A843AE7}"/>
    <cellStyle name="Normal 2 4 5 4 3 2 4" xfId="20346" xr:uid="{4495D383-C9F6-4E07-82BA-A6A5C38E4D60}"/>
    <cellStyle name="Normal 2 4 5 4 3 2 5" xfId="11905" xr:uid="{C85CAD1B-C8C2-4583-A553-03EF13AFBF4F}"/>
    <cellStyle name="Normal 2 4 5 4 3 3" xfId="5528" xr:uid="{00000000-0005-0000-0000-0000B6100000}"/>
    <cellStyle name="Normal 2 4 5 4 3 3 2" xfId="30860" xr:uid="{B1FAF16D-723C-4B55-AD5A-726879AAEA61}"/>
    <cellStyle name="Normal 2 4 5 4 3 3 3" xfId="22419" xr:uid="{9B87B858-A323-4D30-9799-A6E2BA32AC9A}"/>
    <cellStyle name="Normal 2 4 5 4 3 3 4" xfId="13978" xr:uid="{6F312D1B-2DA2-4A1C-BBF2-188C17BE351B}"/>
    <cellStyle name="Normal 2 4 5 4 3 4" xfId="26642" xr:uid="{94DF9FEF-FEC9-4B0B-BA5E-B6DE878F5070}"/>
    <cellStyle name="Normal 2 4 5 4 3 5" xfId="18201" xr:uid="{74B86FAE-D54C-416C-8B07-622C8663B56C}"/>
    <cellStyle name="Normal 2 4 5 4 3 6" xfId="9760" xr:uid="{D2C95D8C-35FC-4906-B702-64ACA5DFF409}"/>
    <cellStyle name="Normal 2 4 5 4 4" xfId="1634" xr:uid="{00000000-0005-0000-0000-0000B7100000}"/>
    <cellStyle name="Normal 2 4 5 4 4 2" xfId="3864" xr:uid="{00000000-0005-0000-0000-0000B8100000}"/>
    <cellStyle name="Normal 2 4 5 4 4 2 2" xfId="8086" xr:uid="{00000000-0005-0000-0000-0000B9100000}"/>
    <cellStyle name="Normal 2 4 5 4 4 2 2 2" xfId="33418" xr:uid="{67364411-D70F-4DDE-9EE4-261E2494844C}"/>
    <cellStyle name="Normal 2 4 5 4 4 2 2 3" xfId="24977" xr:uid="{AB74777F-9684-42F8-B5F3-4F8E53A39FDA}"/>
    <cellStyle name="Normal 2 4 5 4 4 2 2 4" xfId="16536" xr:uid="{3B3E3FCA-5448-413C-9B57-3D254CEEF6FC}"/>
    <cellStyle name="Normal 2 4 5 4 4 2 3" xfId="29200" xr:uid="{5D4DB042-88BA-48B0-9A92-7E36BB9D12CE}"/>
    <cellStyle name="Normal 2 4 5 4 4 2 4" xfId="20759" xr:uid="{8A722800-18C1-4BA5-BA78-C5F00C2DD334}"/>
    <cellStyle name="Normal 2 4 5 4 4 2 5" xfId="12318" xr:uid="{E357F0CB-50D6-466B-9713-43E0C4640B58}"/>
    <cellStyle name="Normal 2 4 5 4 4 3" xfId="5941" xr:uid="{00000000-0005-0000-0000-0000BA100000}"/>
    <cellStyle name="Normal 2 4 5 4 4 3 2" xfId="31273" xr:uid="{1B34FFE2-78ED-4DEE-A990-58FD5CBBE89A}"/>
    <cellStyle name="Normal 2 4 5 4 4 3 3" xfId="22832" xr:uid="{A4F39BB6-368D-4E30-BE52-B539E0D1F39E}"/>
    <cellStyle name="Normal 2 4 5 4 4 3 4" xfId="14391" xr:uid="{877E497B-117D-4EB0-B26A-C1EC0009AB3F}"/>
    <cellStyle name="Normal 2 4 5 4 4 4" xfId="27055" xr:uid="{5B0DBFC5-3969-49B9-9955-38274D42DF38}"/>
    <cellStyle name="Normal 2 4 5 4 4 5" xfId="18614" xr:uid="{45968F6A-B81E-4DF9-881D-F1E8D48C40A5}"/>
    <cellStyle name="Normal 2 4 5 4 4 6" xfId="10173" xr:uid="{A886F189-EE5D-4BCF-A1D7-104754AC4CDE}"/>
    <cellStyle name="Normal 2 4 5 4 5" xfId="2048" xr:uid="{00000000-0005-0000-0000-0000BB100000}"/>
    <cellStyle name="Normal 2 4 5 4 5 2" xfId="4277" xr:uid="{00000000-0005-0000-0000-0000BC100000}"/>
    <cellStyle name="Normal 2 4 5 4 5 2 2" xfId="8499" xr:uid="{00000000-0005-0000-0000-0000BD100000}"/>
    <cellStyle name="Normal 2 4 5 4 5 2 2 2" xfId="33831" xr:uid="{CBC9B4CB-CB6F-4034-A6A1-7DBF515ABDD3}"/>
    <cellStyle name="Normal 2 4 5 4 5 2 2 3" xfId="25390" xr:uid="{8C0F197A-183D-45DF-B302-7145809B9B64}"/>
    <cellStyle name="Normal 2 4 5 4 5 2 2 4" xfId="16949" xr:uid="{24ED0BD0-B6AB-45A9-8258-8C5DAB170EEE}"/>
    <cellStyle name="Normal 2 4 5 4 5 2 3" xfId="29613" xr:uid="{75804BD5-016E-482B-BBBD-57B7E6AF88F1}"/>
    <cellStyle name="Normal 2 4 5 4 5 2 4" xfId="21172" xr:uid="{495F079B-5021-489A-8511-ABA446433CC0}"/>
    <cellStyle name="Normal 2 4 5 4 5 2 5" xfId="12731" xr:uid="{EA4932B8-E954-47E8-88D4-DFA322A32CB9}"/>
    <cellStyle name="Normal 2 4 5 4 5 3" xfId="6354" xr:uid="{00000000-0005-0000-0000-0000BE100000}"/>
    <cellStyle name="Normal 2 4 5 4 5 3 2" xfId="31686" xr:uid="{668ED983-DC85-4E18-A105-98730685A219}"/>
    <cellStyle name="Normal 2 4 5 4 5 3 3" xfId="23245" xr:uid="{0D26D7CB-C592-4ECB-AD78-9F16DDCACC0C}"/>
    <cellStyle name="Normal 2 4 5 4 5 3 4" xfId="14804" xr:uid="{75B6D6A9-EBD7-4D8E-A7A1-9CFD10B95503}"/>
    <cellStyle name="Normal 2 4 5 4 5 4" xfId="27468" xr:uid="{289EFAA4-E177-410C-9BB6-7E3253893993}"/>
    <cellStyle name="Normal 2 4 5 4 5 5" xfId="19027" xr:uid="{C798248C-1064-4CC5-A642-D22457C91E04}"/>
    <cellStyle name="Normal 2 4 5 4 5 6" xfId="10586" xr:uid="{E7364B5E-BED4-4DF5-9210-E20F59FBB46B}"/>
    <cellStyle name="Normal 2 4 5 4 6" xfId="2484" xr:uid="{00000000-0005-0000-0000-0000BF100000}"/>
    <cellStyle name="Normal 2 4 5 4 6 2" xfId="6767" xr:uid="{00000000-0005-0000-0000-0000C0100000}"/>
    <cellStyle name="Normal 2 4 5 4 6 2 2" xfId="32099" xr:uid="{639A569C-88A1-4BA9-A198-DD47A9F6620C}"/>
    <cellStyle name="Normal 2 4 5 4 6 2 3" xfId="23658" xr:uid="{6299D4C1-C08F-49DA-B2E2-C19AA1C301D9}"/>
    <cellStyle name="Normal 2 4 5 4 6 2 4" xfId="15217" xr:uid="{C4E69D19-F0EA-4E38-8C58-477036431140}"/>
    <cellStyle name="Normal 2 4 5 4 6 3" xfId="27881" xr:uid="{02398A12-684B-40FB-830D-997075980C1A}"/>
    <cellStyle name="Normal 2 4 5 4 6 4" xfId="19440" xr:uid="{B61BF2EF-423E-4C4B-BF23-EC16893E2368}"/>
    <cellStyle name="Normal 2 4 5 4 6 5" xfId="10999" xr:uid="{C5E58424-82C6-4E3B-83CD-7C4104424FEB}"/>
    <cellStyle name="Normal 2 4 5 4 7" xfId="4701" xr:uid="{00000000-0005-0000-0000-0000C1100000}"/>
    <cellStyle name="Normal 2 4 5 4 7 2" xfId="30033" xr:uid="{F9664511-78A8-45E0-B60F-6AA56CCE4C13}"/>
    <cellStyle name="Normal 2 4 5 4 7 3" xfId="21592" xr:uid="{454A1C6C-C9E3-4B98-8620-D350737C9454}"/>
    <cellStyle name="Normal 2 4 5 4 7 4" xfId="13151" xr:uid="{455067D4-FD97-443A-8CDD-4F17C2AE9BBC}"/>
    <cellStyle name="Normal 2 4 5 4 8" xfId="25815" xr:uid="{9C69BDA2-593E-40B4-9268-D66F7C318A48}"/>
    <cellStyle name="Normal 2 4 5 4 9" xfId="17374" xr:uid="{E1208D7D-A88C-4764-8336-DD47F915862D}"/>
    <cellStyle name="Normal 2 4 5 5" xfId="792" xr:uid="{00000000-0005-0000-0000-0000C2100000}"/>
    <cellStyle name="Normal 2 4 5 5 2" xfId="3031" xr:uid="{00000000-0005-0000-0000-0000C3100000}"/>
    <cellStyle name="Normal 2 4 5 5 2 2" xfId="7253" xr:uid="{00000000-0005-0000-0000-0000C4100000}"/>
    <cellStyle name="Normal 2 4 5 5 2 2 2" xfId="32585" xr:uid="{77ECF198-5601-4F78-B9E8-7D464B5D40B0}"/>
    <cellStyle name="Normal 2 4 5 5 2 2 3" xfId="24144" xr:uid="{356486D9-467E-4E46-B8F4-921F929C5E75}"/>
    <cellStyle name="Normal 2 4 5 5 2 2 4" xfId="15703" xr:uid="{84E19D0E-E72A-4C00-BAA4-D27B3E189692}"/>
    <cellStyle name="Normal 2 4 5 5 2 3" xfId="28367" xr:uid="{1CF66172-1D93-48AF-A5B6-7A090051399F}"/>
    <cellStyle name="Normal 2 4 5 5 2 4" xfId="19926" xr:uid="{0D9F9113-A44D-4439-9AF6-30AD149A2374}"/>
    <cellStyle name="Normal 2 4 5 5 2 5" xfId="11485" xr:uid="{5EB4EDBB-A14E-4DF5-BE91-3A76C0BB0FB8}"/>
    <cellStyle name="Normal 2 4 5 5 3" xfId="5108" xr:uid="{00000000-0005-0000-0000-0000C5100000}"/>
    <cellStyle name="Normal 2 4 5 5 3 2" xfId="30440" xr:uid="{09A38F1A-54AD-47EE-A3CE-2DE41A0E1EE3}"/>
    <cellStyle name="Normal 2 4 5 5 3 3" xfId="21999" xr:uid="{09DABE5D-B679-4398-BBEB-C3DDA23CE6FE}"/>
    <cellStyle name="Normal 2 4 5 5 3 4" xfId="13558" xr:uid="{22313D42-33D8-42ED-B85D-F448A4102D77}"/>
    <cellStyle name="Normal 2 4 5 5 4" xfId="26222" xr:uid="{C792B2EC-A0F4-47C6-8726-B07C10FD15F8}"/>
    <cellStyle name="Normal 2 4 5 5 5" xfId="17781" xr:uid="{75914951-0868-46C5-A377-143C98E1DC00}"/>
    <cellStyle name="Normal 2 4 5 5 6" xfId="9340" xr:uid="{4D7CC77A-2C39-4518-A748-CD896F65FD8D}"/>
    <cellStyle name="Normal 2 4 5 6" xfId="1214" xr:uid="{00000000-0005-0000-0000-0000C6100000}"/>
    <cellStyle name="Normal 2 4 5 6 2" xfId="3444" xr:uid="{00000000-0005-0000-0000-0000C7100000}"/>
    <cellStyle name="Normal 2 4 5 6 2 2" xfId="7666" xr:uid="{00000000-0005-0000-0000-0000C8100000}"/>
    <cellStyle name="Normal 2 4 5 6 2 2 2" xfId="32998" xr:uid="{7512C5FE-CAF3-419F-A9AE-87DD143B238A}"/>
    <cellStyle name="Normal 2 4 5 6 2 2 3" xfId="24557" xr:uid="{C489CE02-07DF-4BD0-B9B0-907A6433F5B8}"/>
    <cellStyle name="Normal 2 4 5 6 2 2 4" xfId="16116" xr:uid="{5F47DA40-D22F-473E-8657-A27A56ED61B0}"/>
    <cellStyle name="Normal 2 4 5 6 2 3" xfId="28780" xr:uid="{DB699D67-E4AD-4870-A92A-2A8335873FA6}"/>
    <cellStyle name="Normal 2 4 5 6 2 4" xfId="20339" xr:uid="{12F25116-7469-468D-B4CA-84247E161D10}"/>
    <cellStyle name="Normal 2 4 5 6 2 5" xfId="11898" xr:uid="{621EEC62-B7D7-4DC1-AD22-E77F6E4F5AA1}"/>
    <cellStyle name="Normal 2 4 5 6 3" xfId="5521" xr:uid="{00000000-0005-0000-0000-0000C9100000}"/>
    <cellStyle name="Normal 2 4 5 6 3 2" xfId="30853" xr:uid="{696D7108-1B4F-478C-96C4-AAF6BFCE5D3E}"/>
    <cellStyle name="Normal 2 4 5 6 3 3" xfId="22412" xr:uid="{DAF640F3-CF8B-422B-9241-6C46A57A21C6}"/>
    <cellStyle name="Normal 2 4 5 6 3 4" xfId="13971" xr:uid="{BF0E51F0-FC44-4670-AD94-522C5B590136}"/>
    <cellStyle name="Normal 2 4 5 6 4" xfId="26635" xr:uid="{5179B2E2-44BA-47D8-9F46-AEF9FEF1930B}"/>
    <cellStyle name="Normal 2 4 5 6 5" xfId="18194" xr:uid="{54AE8C04-BB8A-4E49-9BC5-DDE6DA73A260}"/>
    <cellStyle name="Normal 2 4 5 6 6" xfId="9753" xr:uid="{1BBA4111-511B-4CC8-A567-AFF4962DFB45}"/>
    <cellStyle name="Normal 2 4 5 7" xfId="1627" xr:uid="{00000000-0005-0000-0000-0000CA100000}"/>
    <cellStyle name="Normal 2 4 5 7 2" xfId="3857" xr:uid="{00000000-0005-0000-0000-0000CB100000}"/>
    <cellStyle name="Normal 2 4 5 7 2 2" xfId="8079" xr:uid="{00000000-0005-0000-0000-0000CC100000}"/>
    <cellStyle name="Normal 2 4 5 7 2 2 2" xfId="33411" xr:uid="{BE31F74B-7180-45DE-BA52-B936D92D1279}"/>
    <cellStyle name="Normal 2 4 5 7 2 2 3" xfId="24970" xr:uid="{49747DCA-85D9-4C52-A921-71DF15800DA9}"/>
    <cellStyle name="Normal 2 4 5 7 2 2 4" xfId="16529" xr:uid="{77E51F18-D684-4E09-85C7-6815DA41B757}"/>
    <cellStyle name="Normal 2 4 5 7 2 3" xfId="29193" xr:uid="{38B183FF-5167-4F2B-A74E-EF4F1427BE14}"/>
    <cellStyle name="Normal 2 4 5 7 2 4" xfId="20752" xr:uid="{CEE2E7A5-9A26-4105-99C7-5A6D5F708E7F}"/>
    <cellStyle name="Normal 2 4 5 7 2 5" xfId="12311" xr:uid="{4B02E5AE-89BF-451C-9816-56BA7174559A}"/>
    <cellStyle name="Normal 2 4 5 7 3" xfId="5934" xr:uid="{00000000-0005-0000-0000-0000CD100000}"/>
    <cellStyle name="Normal 2 4 5 7 3 2" xfId="31266" xr:uid="{907AB0BD-3922-4270-ABD0-8A4440AF313A}"/>
    <cellStyle name="Normal 2 4 5 7 3 3" xfId="22825" xr:uid="{34389231-DD30-446A-B530-E00C3EF44350}"/>
    <cellStyle name="Normal 2 4 5 7 3 4" xfId="14384" xr:uid="{1BC74D75-5E34-4885-95B6-11DB47AEF2CB}"/>
    <cellStyle name="Normal 2 4 5 7 4" xfId="27048" xr:uid="{5E9FE881-5005-4C00-9F6E-534A8067D89C}"/>
    <cellStyle name="Normal 2 4 5 7 5" xfId="18607" xr:uid="{88253827-9488-4892-94B1-61EE9DBF44EC}"/>
    <cellStyle name="Normal 2 4 5 7 6" xfId="10166" xr:uid="{DB362C41-0674-4142-A53D-61669DCC5546}"/>
    <cellStyle name="Normal 2 4 5 8" xfId="2041" xr:uid="{00000000-0005-0000-0000-0000CE100000}"/>
    <cellStyle name="Normal 2 4 5 8 2" xfId="4270" xr:uid="{00000000-0005-0000-0000-0000CF100000}"/>
    <cellStyle name="Normal 2 4 5 8 2 2" xfId="8492" xr:uid="{00000000-0005-0000-0000-0000D0100000}"/>
    <cellStyle name="Normal 2 4 5 8 2 2 2" xfId="33824" xr:uid="{05A9B53A-49CD-4496-9BDD-481B0055DC69}"/>
    <cellStyle name="Normal 2 4 5 8 2 2 3" xfId="25383" xr:uid="{BB7D21BF-E15A-4A77-B5C7-1234F1C88DCA}"/>
    <cellStyle name="Normal 2 4 5 8 2 2 4" xfId="16942" xr:uid="{995AD50B-1E0C-455C-BBC8-0DCAF353EF28}"/>
    <cellStyle name="Normal 2 4 5 8 2 3" xfId="29606" xr:uid="{65450015-35E8-4B67-8A5D-BB62A41AC308}"/>
    <cellStyle name="Normal 2 4 5 8 2 4" xfId="21165" xr:uid="{BB68326E-06BC-47FC-8483-6DE358813A69}"/>
    <cellStyle name="Normal 2 4 5 8 2 5" xfId="12724" xr:uid="{0D0396B0-9A12-4B38-92C2-4AEBA91744DD}"/>
    <cellStyle name="Normal 2 4 5 8 3" xfId="6347" xr:uid="{00000000-0005-0000-0000-0000D1100000}"/>
    <cellStyle name="Normal 2 4 5 8 3 2" xfId="31679" xr:uid="{0018F10E-3EDF-4844-8F20-0A89E44CFA1B}"/>
    <cellStyle name="Normal 2 4 5 8 3 3" xfId="23238" xr:uid="{9959C432-6672-4271-802A-13C2BDB64933}"/>
    <cellStyle name="Normal 2 4 5 8 3 4" xfId="14797" xr:uid="{CB29ABBB-687B-479A-B75A-8F7AB1A8CF9F}"/>
    <cellStyle name="Normal 2 4 5 8 4" xfId="27461" xr:uid="{19018601-73EC-45E0-BA57-8FDBFABD219D}"/>
    <cellStyle name="Normal 2 4 5 8 5" xfId="19020" xr:uid="{35A41FFF-D74A-4356-8722-8DC35323AE89}"/>
    <cellStyle name="Normal 2 4 5 8 6" xfId="10579" xr:uid="{049DD0B1-6269-4C9D-8088-99FDEF7676B1}"/>
    <cellStyle name="Normal 2 4 5 9" xfId="2477" xr:uid="{00000000-0005-0000-0000-0000D2100000}"/>
    <cellStyle name="Normal 2 4 5 9 2" xfId="6760" xr:uid="{00000000-0005-0000-0000-0000D3100000}"/>
    <cellStyle name="Normal 2 4 5 9 2 2" xfId="32092" xr:uid="{C158BE89-07A6-4D3E-9B9F-54BF456DA7F2}"/>
    <cellStyle name="Normal 2 4 5 9 2 3" xfId="23651" xr:uid="{AA34F6D3-7E7B-4FAB-9D47-597C796085EA}"/>
    <cellStyle name="Normal 2 4 5 9 2 4" xfId="15210" xr:uid="{2BFFE3B3-80B4-4EE0-8DBD-182CB78A2F60}"/>
    <cellStyle name="Normal 2 4 5 9 3" xfId="27874" xr:uid="{B33F3592-5862-4A8D-B83C-38EDC3D12D04}"/>
    <cellStyle name="Normal 2 4 5 9 4" xfId="19433" xr:uid="{A2091B31-6DC2-43A0-808C-E932C50361DE}"/>
    <cellStyle name="Normal 2 4 5 9 5" xfId="10992" xr:uid="{733C0D87-C8B4-410A-861A-EBEFCE0834CC}"/>
    <cellStyle name="Normal 2 4 6" xfId="311" xr:uid="{00000000-0005-0000-0000-0000D4100000}"/>
    <cellStyle name="Normal 2 4 7" xfId="312" xr:uid="{00000000-0005-0000-0000-0000D5100000}"/>
    <cellStyle name="Normal 2 4 7 10" xfId="17375" xr:uid="{A5B4E152-93EB-4A49-B27C-C2E35AB5DEA1}"/>
    <cellStyle name="Normal 2 4 7 11" xfId="8934" xr:uid="{6A17D5E3-E8FF-47E4-BDB7-2FB812862382}"/>
    <cellStyle name="Normal 2 4 7 2" xfId="313" xr:uid="{00000000-0005-0000-0000-0000D6100000}"/>
    <cellStyle name="Normal 2 4 7 2 10" xfId="8935" xr:uid="{12DF6B3E-C208-4707-982A-58CD6D1BB33F}"/>
    <cellStyle name="Normal 2 4 7 2 2" xfId="801" xr:uid="{00000000-0005-0000-0000-0000D7100000}"/>
    <cellStyle name="Normal 2 4 7 2 2 2" xfId="3040" xr:uid="{00000000-0005-0000-0000-0000D8100000}"/>
    <cellStyle name="Normal 2 4 7 2 2 2 2" xfId="7262" xr:uid="{00000000-0005-0000-0000-0000D9100000}"/>
    <cellStyle name="Normal 2 4 7 2 2 2 2 2" xfId="32594" xr:uid="{75FACD4D-EA9B-4888-9D6D-BB8C72C3F1A9}"/>
    <cellStyle name="Normal 2 4 7 2 2 2 2 3" xfId="24153" xr:uid="{A68AA4BD-8F02-4954-AA70-E0FCFD2EDA30}"/>
    <cellStyle name="Normal 2 4 7 2 2 2 2 4" xfId="15712" xr:uid="{93F442B9-8410-44C9-A883-2DC2BE20A093}"/>
    <cellStyle name="Normal 2 4 7 2 2 2 3" xfId="28376" xr:uid="{92026B0A-A066-4D7E-B674-297DF039873F}"/>
    <cellStyle name="Normal 2 4 7 2 2 2 4" xfId="19935" xr:uid="{FADE24E5-27AF-437D-BF79-739278AFDDE5}"/>
    <cellStyle name="Normal 2 4 7 2 2 2 5" xfId="11494" xr:uid="{FF654A00-2AB1-4417-852E-42EB42369550}"/>
    <cellStyle name="Normal 2 4 7 2 2 3" xfId="5117" xr:uid="{00000000-0005-0000-0000-0000DA100000}"/>
    <cellStyle name="Normal 2 4 7 2 2 3 2" xfId="30449" xr:uid="{83C4B24D-CDB5-419A-8F55-63D261009D58}"/>
    <cellStyle name="Normal 2 4 7 2 2 3 3" xfId="22008" xr:uid="{F95B37A6-8448-4D6D-B201-DF047448DA49}"/>
    <cellStyle name="Normal 2 4 7 2 2 3 4" xfId="13567" xr:uid="{EACBFA91-9A90-4427-A1CE-2C9A7F651299}"/>
    <cellStyle name="Normal 2 4 7 2 2 4" xfId="26231" xr:uid="{6A447CAF-9605-4D15-8854-88917FEA5D2D}"/>
    <cellStyle name="Normal 2 4 7 2 2 5" xfId="17790" xr:uid="{7BD502B2-B1FC-4C04-9B5E-D49543639988}"/>
    <cellStyle name="Normal 2 4 7 2 2 6" xfId="9349" xr:uid="{5366D816-AB0A-4308-B658-685134B6CB11}"/>
    <cellStyle name="Normal 2 4 7 2 3" xfId="1223" xr:uid="{00000000-0005-0000-0000-0000DB100000}"/>
    <cellStyle name="Normal 2 4 7 2 3 2" xfId="3453" xr:uid="{00000000-0005-0000-0000-0000DC100000}"/>
    <cellStyle name="Normal 2 4 7 2 3 2 2" xfId="7675" xr:uid="{00000000-0005-0000-0000-0000DD100000}"/>
    <cellStyle name="Normal 2 4 7 2 3 2 2 2" xfId="33007" xr:uid="{B992A661-D599-4E58-8C08-B54A22F91E8C}"/>
    <cellStyle name="Normal 2 4 7 2 3 2 2 3" xfId="24566" xr:uid="{A5214F45-AC69-4C6B-BD97-758BBA2433C4}"/>
    <cellStyle name="Normal 2 4 7 2 3 2 2 4" xfId="16125" xr:uid="{E1001B3A-0824-4457-852B-7D8B2588A3CA}"/>
    <cellStyle name="Normal 2 4 7 2 3 2 3" xfId="28789" xr:uid="{932D6EEB-F8DC-4285-98E9-2D15D35DCEA7}"/>
    <cellStyle name="Normal 2 4 7 2 3 2 4" xfId="20348" xr:uid="{CC2B1363-E854-4DBB-8ECA-BDF187940665}"/>
    <cellStyle name="Normal 2 4 7 2 3 2 5" xfId="11907" xr:uid="{FE9A3E3F-9EE6-4FFA-8CF4-80626129C92E}"/>
    <cellStyle name="Normal 2 4 7 2 3 3" xfId="5530" xr:uid="{00000000-0005-0000-0000-0000DE100000}"/>
    <cellStyle name="Normal 2 4 7 2 3 3 2" xfId="30862" xr:uid="{E189E254-CB18-4616-828E-179E57F47311}"/>
    <cellStyle name="Normal 2 4 7 2 3 3 3" xfId="22421" xr:uid="{8C4B4360-69C5-4A7F-AC56-D60CC869243F}"/>
    <cellStyle name="Normal 2 4 7 2 3 3 4" xfId="13980" xr:uid="{0CD9C2CE-5A19-4F40-88CD-CD6AE1A8D892}"/>
    <cellStyle name="Normal 2 4 7 2 3 4" xfId="26644" xr:uid="{F072BCBE-2023-49B8-9F45-5AF30C201022}"/>
    <cellStyle name="Normal 2 4 7 2 3 5" xfId="18203" xr:uid="{9DA6F054-325E-4FA1-98D8-1C05F07A514B}"/>
    <cellStyle name="Normal 2 4 7 2 3 6" xfId="9762" xr:uid="{28F1B802-609A-4BDE-AE0F-39CDE52A00A6}"/>
    <cellStyle name="Normal 2 4 7 2 4" xfId="1636" xr:uid="{00000000-0005-0000-0000-0000DF100000}"/>
    <cellStyle name="Normal 2 4 7 2 4 2" xfId="3866" xr:uid="{00000000-0005-0000-0000-0000E0100000}"/>
    <cellStyle name="Normal 2 4 7 2 4 2 2" xfId="8088" xr:uid="{00000000-0005-0000-0000-0000E1100000}"/>
    <cellStyle name="Normal 2 4 7 2 4 2 2 2" xfId="33420" xr:uid="{775FA986-D098-4E64-8342-3069F93F05CD}"/>
    <cellStyle name="Normal 2 4 7 2 4 2 2 3" xfId="24979" xr:uid="{C1DD612B-9250-4C01-8819-EA96D7BE2600}"/>
    <cellStyle name="Normal 2 4 7 2 4 2 2 4" xfId="16538" xr:uid="{D37CC256-AD60-4601-A4EB-9F04CF1EF836}"/>
    <cellStyle name="Normal 2 4 7 2 4 2 3" xfId="29202" xr:uid="{A32110B3-5F04-498A-8218-BD5E98E50918}"/>
    <cellStyle name="Normal 2 4 7 2 4 2 4" xfId="20761" xr:uid="{0304A9F5-61AD-4EA3-8478-84B38C4754A4}"/>
    <cellStyle name="Normal 2 4 7 2 4 2 5" xfId="12320" xr:uid="{5778C8E2-C7C0-469E-BD18-B7961B413716}"/>
    <cellStyle name="Normal 2 4 7 2 4 3" xfId="5943" xr:uid="{00000000-0005-0000-0000-0000E2100000}"/>
    <cellStyle name="Normal 2 4 7 2 4 3 2" xfId="31275" xr:uid="{3B419A70-BFA9-4DFF-AFF8-1DD3B1264B70}"/>
    <cellStyle name="Normal 2 4 7 2 4 3 3" xfId="22834" xr:uid="{8EB13975-3ACD-4527-AAD1-24EF5FD79F3B}"/>
    <cellStyle name="Normal 2 4 7 2 4 3 4" xfId="14393" xr:uid="{300B0B0B-5409-4263-8048-0A22287F679E}"/>
    <cellStyle name="Normal 2 4 7 2 4 4" xfId="27057" xr:uid="{049F5082-13BB-43D3-9166-F8AEF57E2FCD}"/>
    <cellStyle name="Normal 2 4 7 2 4 5" xfId="18616" xr:uid="{13C448D3-0EAC-48A4-BF89-347DEE7E34AA}"/>
    <cellStyle name="Normal 2 4 7 2 4 6" xfId="10175" xr:uid="{96C947E9-FAA5-4DC9-8841-BC39DDA862BE}"/>
    <cellStyle name="Normal 2 4 7 2 5" xfId="2050" xr:uid="{00000000-0005-0000-0000-0000E3100000}"/>
    <cellStyle name="Normal 2 4 7 2 5 2" xfId="4279" xr:uid="{00000000-0005-0000-0000-0000E4100000}"/>
    <cellStyle name="Normal 2 4 7 2 5 2 2" xfId="8501" xr:uid="{00000000-0005-0000-0000-0000E5100000}"/>
    <cellStyle name="Normal 2 4 7 2 5 2 2 2" xfId="33833" xr:uid="{9633F36A-A6D0-4C74-9BD5-8E1B01FC5BB2}"/>
    <cellStyle name="Normal 2 4 7 2 5 2 2 3" xfId="25392" xr:uid="{902691E7-8632-4748-92CC-4D4DC27C24B9}"/>
    <cellStyle name="Normal 2 4 7 2 5 2 2 4" xfId="16951" xr:uid="{91412252-BE85-46F7-99B3-4F526BAA0EC2}"/>
    <cellStyle name="Normal 2 4 7 2 5 2 3" xfId="29615" xr:uid="{CD901E2F-2DD9-4297-81DA-14F62BD91E07}"/>
    <cellStyle name="Normal 2 4 7 2 5 2 4" xfId="21174" xr:uid="{F7D68185-BEE8-4247-A3BB-38C573E26509}"/>
    <cellStyle name="Normal 2 4 7 2 5 2 5" xfId="12733" xr:uid="{3B13E59D-4908-429D-953A-862D9DFE41E8}"/>
    <cellStyle name="Normal 2 4 7 2 5 3" xfId="6356" xr:uid="{00000000-0005-0000-0000-0000E6100000}"/>
    <cellStyle name="Normal 2 4 7 2 5 3 2" xfId="31688" xr:uid="{5E42C37F-7F28-4C07-9A37-43B9BC52FEDC}"/>
    <cellStyle name="Normal 2 4 7 2 5 3 3" xfId="23247" xr:uid="{FEA1CA2B-946F-4320-8A0D-F3FF7F384C51}"/>
    <cellStyle name="Normal 2 4 7 2 5 3 4" xfId="14806" xr:uid="{4BB416A8-2CD1-424A-9C93-BC08C740C282}"/>
    <cellStyle name="Normal 2 4 7 2 5 4" xfId="27470" xr:uid="{266F2090-C458-45A4-8AC0-E901196ADE3C}"/>
    <cellStyle name="Normal 2 4 7 2 5 5" xfId="19029" xr:uid="{186AB7B1-14F0-4702-BEFD-03A55C74696E}"/>
    <cellStyle name="Normal 2 4 7 2 5 6" xfId="10588" xr:uid="{56E58AC7-C62A-41AF-A34F-9E6879F54D26}"/>
    <cellStyle name="Normal 2 4 7 2 6" xfId="2486" xr:uid="{00000000-0005-0000-0000-0000E7100000}"/>
    <cellStyle name="Normal 2 4 7 2 6 2" xfId="6769" xr:uid="{00000000-0005-0000-0000-0000E8100000}"/>
    <cellStyle name="Normal 2 4 7 2 6 2 2" xfId="32101" xr:uid="{0B9B8766-7320-4929-98F3-C23C2A3D6014}"/>
    <cellStyle name="Normal 2 4 7 2 6 2 3" xfId="23660" xr:uid="{58B51DC5-72AB-41B4-9733-2FCBBED41BEF}"/>
    <cellStyle name="Normal 2 4 7 2 6 2 4" xfId="15219" xr:uid="{D2704F21-A413-4F24-9017-AA869271580A}"/>
    <cellStyle name="Normal 2 4 7 2 6 3" xfId="27883" xr:uid="{45BC38DC-63F1-4514-98E8-9A89DD608711}"/>
    <cellStyle name="Normal 2 4 7 2 6 4" xfId="19442" xr:uid="{CB0EAF28-431B-4015-832F-3F135D918B9D}"/>
    <cellStyle name="Normal 2 4 7 2 6 5" xfId="11001" xr:uid="{2C391370-C444-41DA-AAD0-EF5AFD28A41E}"/>
    <cellStyle name="Normal 2 4 7 2 7" xfId="4703" xr:uid="{00000000-0005-0000-0000-0000E9100000}"/>
    <cellStyle name="Normal 2 4 7 2 7 2" xfId="30035" xr:uid="{86E10032-47F2-4180-B5A3-FC617F720011}"/>
    <cellStyle name="Normal 2 4 7 2 7 3" xfId="21594" xr:uid="{B499F2DD-31B4-40A1-8E3C-F11E81E66A9F}"/>
    <cellStyle name="Normal 2 4 7 2 7 4" xfId="13153" xr:uid="{B33FCDC0-F460-450C-AEEC-EEC25FB2EFEF}"/>
    <cellStyle name="Normal 2 4 7 2 8" xfId="25817" xr:uid="{A7AD429C-A75F-4650-8C85-C7E3ECE40C1A}"/>
    <cellStyle name="Normal 2 4 7 2 9" xfId="17376" xr:uid="{8BF86FE9-D826-4E20-8E44-8105323BF5B3}"/>
    <cellStyle name="Normal 2 4 7 3" xfId="800" xr:uid="{00000000-0005-0000-0000-0000EA100000}"/>
    <cellStyle name="Normal 2 4 7 3 2" xfId="3039" xr:uid="{00000000-0005-0000-0000-0000EB100000}"/>
    <cellStyle name="Normal 2 4 7 3 2 2" xfId="7261" xr:uid="{00000000-0005-0000-0000-0000EC100000}"/>
    <cellStyle name="Normal 2 4 7 3 2 2 2" xfId="32593" xr:uid="{31BEF998-A02C-4C06-9C46-39DCE26C814F}"/>
    <cellStyle name="Normal 2 4 7 3 2 2 3" xfId="24152" xr:uid="{B7E9A705-CA8A-46BD-92FB-6B2A79EAA0C0}"/>
    <cellStyle name="Normal 2 4 7 3 2 2 4" xfId="15711" xr:uid="{6ED6E806-969D-4E11-98F3-96C7EE222EAF}"/>
    <cellStyle name="Normal 2 4 7 3 2 3" xfId="28375" xr:uid="{6CCC46DE-143B-46DB-86EF-478D9FCF24A4}"/>
    <cellStyle name="Normal 2 4 7 3 2 4" xfId="19934" xr:uid="{C0192F0E-01F8-45A8-8880-445F7A364054}"/>
    <cellStyle name="Normal 2 4 7 3 2 5" xfId="11493" xr:uid="{88F1C06B-FB66-41B3-8A9A-7E85925B8910}"/>
    <cellStyle name="Normal 2 4 7 3 3" xfId="5116" xr:uid="{00000000-0005-0000-0000-0000ED100000}"/>
    <cellStyle name="Normal 2 4 7 3 3 2" xfId="30448" xr:uid="{7A6663D0-CFAE-4367-8E5E-C579649269AE}"/>
    <cellStyle name="Normal 2 4 7 3 3 3" xfId="22007" xr:uid="{D2EA5B0E-6A6E-44F5-ABEF-7EECD510C4C4}"/>
    <cellStyle name="Normal 2 4 7 3 3 4" xfId="13566" xr:uid="{4E969845-DD54-46E7-9A26-6DA6745CED21}"/>
    <cellStyle name="Normal 2 4 7 3 4" xfId="26230" xr:uid="{D946AB45-4235-4853-899E-E28063D8A0BB}"/>
    <cellStyle name="Normal 2 4 7 3 5" xfId="17789" xr:uid="{2F422B44-4386-447C-B05F-18BFA3641A9C}"/>
    <cellStyle name="Normal 2 4 7 3 6" xfId="9348" xr:uid="{41627CFA-7569-46C5-B40B-D9248F7263FE}"/>
    <cellStyle name="Normal 2 4 7 4" xfId="1222" xr:uid="{00000000-0005-0000-0000-0000EE100000}"/>
    <cellStyle name="Normal 2 4 7 4 2" xfId="3452" xr:uid="{00000000-0005-0000-0000-0000EF100000}"/>
    <cellStyle name="Normal 2 4 7 4 2 2" xfId="7674" xr:uid="{00000000-0005-0000-0000-0000F0100000}"/>
    <cellStyle name="Normal 2 4 7 4 2 2 2" xfId="33006" xr:uid="{E5E0B2EC-B4EF-4C90-9473-6A515DC72186}"/>
    <cellStyle name="Normal 2 4 7 4 2 2 3" xfId="24565" xr:uid="{D30F9340-943D-4ADF-95AB-D1A03F1EB57E}"/>
    <cellStyle name="Normal 2 4 7 4 2 2 4" xfId="16124" xr:uid="{08901B07-1768-4171-8EA3-224F09CDBD9A}"/>
    <cellStyle name="Normal 2 4 7 4 2 3" xfId="28788" xr:uid="{BC000095-0C54-4ECF-AA99-3EC726DF4B49}"/>
    <cellStyle name="Normal 2 4 7 4 2 4" xfId="20347" xr:uid="{0C70CCB2-7432-44F4-9A97-CA150BA6DB1A}"/>
    <cellStyle name="Normal 2 4 7 4 2 5" xfId="11906" xr:uid="{C3192E34-5819-4FC9-A9AB-8DBAE1BEEBF5}"/>
    <cellStyle name="Normal 2 4 7 4 3" xfId="5529" xr:uid="{00000000-0005-0000-0000-0000F1100000}"/>
    <cellStyle name="Normal 2 4 7 4 3 2" xfId="30861" xr:uid="{96F965CC-EDC7-4D50-ADED-D5A887C3D810}"/>
    <cellStyle name="Normal 2 4 7 4 3 3" xfId="22420" xr:uid="{9B75C96C-A2CB-44D7-8BCA-935AAE523FF9}"/>
    <cellStyle name="Normal 2 4 7 4 3 4" xfId="13979" xr:uid="{76388721-D56E-4C0B-9DB0-07B65E45807F}"/>
    <cellStyle name="Normal 2 4 7 4 4" xfId="26643" xr:uid="{B602166D-9C81-49A8-AC94-2E304FF9B62D}"/>
    <cellStyle name="Normal 2 4 7 4 5" xfId="18202" xr:uid="{029117B1-642F-40B6-B868-749DC28B7F58}"/>
    <cellStyle name="Normal 2 4 7 4 6" xfId="9761" xr:uid="{31FE5327-6E74-4D47-944C-8E704986B1FA}"/>
    <cellStyle name="Normal 2 4 7 5" xfId="1635" xr:uid="{00000000-0005-0000-0000-0000F2100000}"/>
    <cellStyle name="Normal 2 4 7 5 2" xfId="3865" xr:uid="{00000000-0005-0000-0000-0000F3100000}"/>
    <cellStyle name="Normal 2 4 7 5 2 2" xfId="8087" xr:uid="{00000000-0005-0000-0000-0000F4100000}"/>
    <cellStyle name="Normal 2 4 7 5 2 2 2" xfId="33419" xr:uid="{19721255-CB7C-4641-BB54-39453D6F075B}"/>
    <cellStyle name="Normal 2 4 7 5 2 2 3" xfId="24978" xr:uid="{A00D36ED-FFFE-46D4-B275-9BD7EA1B97BA}"/>
    <cellStyle name="Normal 2 4 7 5 2 2 4" xfId="16537" xr:uid="{825AEA6B-D98D-4587-8403-C6B659CE604E}"/>
    <cellStyle name="Normal 2 4 7 5 2 3" xfId="29201" xr:uid="{66629995-41FF-45FE-BD5A-ED61CE9F6B3B}"/>
    <cellStyle name="Normal 2 4 7 5 2 4" xfId="20760" xr:uid="{195DE12A-CB39-4B36-9455-CFB0F4414705}"/>
    <cellStyle name="Normal 2 4 7 5 2 5" xfId="12319" xr:uid="{B0FCF570-AF26-467A-8D6A-CB315EBE3132}"/>
    <cellStyle name="Normal 2 4 7 5 3" xfId="5942" xr:uid="{00000000-0005-0000-0000-0000F5100000}"/>
    <cellStyle name="Normal 2 4 7 5 3 2" xfId="31274" xr:uid="{C9B3AC8C-8DAF-4C16-A7FA-026855A9EB6D}"/>
    <cellStyle name="Normal 2 4 7 5 3 3" xfId="22833" xr:uid="{970292FF-BA2D-4505-AE7E-E3934EBD799E}"/>
    <cellStyle name="Normal 2 4 7 5 3 4" xfId="14392" xr:uid="{EE29B16E-ADE8-44FC-B695-03D05969AB11}"/>
    <cellStyle name="Normal 2 4 7 5 4" xfId="27056" xr:uid="{8C7DFE38-8E5D-4096-8E2B-36A7AEF30487}"/>
    <cellStyle name="Normal 2 4 7 5 5" xfId="18615" xr:uid="{98D0865D-F316-47D1-8308-96E4FF674E75}"/>
    <cellStyle name="Normal 2 4 7 5 6" xfId="10174" xr:uid="{80D06152-8747-45FD-95ED-978189640732}"/>
    <cellStyle name="Normal 2 4 7 6" xfId="2049" xr:uid="{00000000-0005-0000-0000-0000F6100000}"/>
    <cellStyle name="Normal 2 4 7 6 2" xfId="4278" xr:uid="{00000000-0005-0000-0000-0000F7100000}"/>
    <cellStyle name="Normal 2 4 7 6 2 2" xfId="8500" xr:uid="{00000000-0005-0000-0000-0000F8100000}"/>
    <cellStyle name="Normal 2 4 7 6 2 2 2" xfId="33832" xr:uid="{4732E377-4A05-4078-951C-AD45F32F54DC}"/>
    <cellStyle name="Normal 2 4 7 6 2 2 3" xfId="25391" xr:uid="{D9764926-BED4-445D-9BBD-814428559B60}"/>
    <cellStyle name="Normal 2 4 7 6 2 2 4" xfId="16950" xr:uid="{6E810618-E8FA-4AC6-8BA6-9002B1571522}"/>
    <cellStyle name="Normal 2 4 7 6 2 3" xfId="29614" xr:uid="{0DD3A2EF-B895-4573-8BB4-FEFB162527A0}"/>
    <cellStyle name="Normal 2 4 7 6 2 4" xfId="21173" xr:uid="{AD80FA6C-9876-460F-A55D-2641B612E335}"/>
    <cellStyle name="Normal 2 4 7 6 2 5" xfId="12732" xr:uid="{C0262C66-31EE-4F01-931E-12C1F3C0F34F}"/>
    <cellStyle name="Normal 2 4 7 6 3" xfId="6355" xr:uid="{00000000-0005-0000-0000-0000F9100000}"/>
    <cellStyle name="Normal 2 4 7 6 3 2" xfId="31687" xr:uid="{8B8750B0-A584-438A-B39B-7E0F577F11A5}"/>
    <cellStyle name="Normal 2 4 7 6 3 3" xfId="23246" xr:uid="{7912A8B5-FBBA-4306-93C0-8E371C922B11}"/>
    <cellStyle name="Normal 2 4 7 6 3 4" xfId="14805" xr:uid="{956AEBF4-2F4C-47F4-B5C0-E03E9571B81B}"/>
    <cellStyle name="Normal 2 4 7 6 4" xfId="27469" xr:uid="{D48FA070-EACA-499D-A402-B9BC6AC424FF}"/>
    <cellStyle name="Normal 2 4 7 6 5" xfId="19028" xr:uid="{FF23F88E-BC33-4B28-8F9B-C2701CA97A65}"/>
    <cellStyle name="Normal 2 4 7 6 6" xfId="10587" xr:uid="{0C106E99-145A-4209-95EB-0DEB9EF08AA3}"/>
    <cellStyle name="Normal 2 4 7 7" xfId="2485" xr:uid="{00000000-0005-0000-0000-0000FA100000}"/>
    <cellStyle name="Normal 2 4 7 7 2" xfId="6768" xr:uid="{00000000-0005-0000-0000-0000FB100000}"/>
    <cellStyle name="Normal 2 4 7 7 2 2" xfId="32100" xr:uid="{5D1C92C6-3571-4774-9D36-C565A7895FFF}"/>
    <cellStyle name="Normal 2 4 7 7 2 3" xfId="23659" xr:uid="{21C96F82-AC8E-4EBB-A63F-0D29881825EE}"/>
    <cellStyle name="Normal 2 4 7 7 2 4" xfId="15218" xr:uid="{B05D8729-00C2-43F5-8F61-41FFAC0F872C}"/>
    <cellStyle name="Normal 2 4 7 7 3" xfId="27882" xr:uid="{5EBEC77D-3CDC-43FF-96E1-F85569BBAF5D}"/>
    <cellStyle name="Normal 2 4 7 7 4" xfId="19441" xr:uid="{0F470013-DC34-424B-ADB4-84773673D92E}"/>
    <cellStyle name="Normal 2 4 7 7 5" xfId="11000" xr:uid="{BB6E0E20-76E8-4086-871B-50335BFCA83F}"/>
    <cellStyle name="Normal 2 4 7 8" xfId="4702" xr:uid="{00000000-0005-0000-0000-0000FC100000}"/>
    <cellStyle name="Normal 2 4 7 8 2" xfId="30034" xr:uid="{378B2A80-4F8E-42FA-90BF-603270DB87C6}"/>
    <cellStyle name="Normal 2 4 7 8 3" xfId="21593" xr:uid="{02D31EBF-35CC-4A43-ADE9-628C42F3AF8A}"/>
    <cellStyle name="Normal 2 4 7 8 4" xfId="13152" xr:uid="{345D7C31-7C7B-496E-BE06-1942C8144AE7}"/>
    <cellStyle name="Normal 2 4 7 9" xfId="25816" xr:uid="{5F0786B0-3F1C-453D-ACC5-6DE6CD226C8F}"/>
    <cellStyle name="Normal 2 4 8" xfId="314" xr:uid="{00000000-0005-0000-0000-0000FD100000}"/>
    <cellStyle name="Normal 2 4 8 10" xfId="8936" xr:uid="{6A7E53E7-365F-489C-9F72-7119E8824037}"/>
    <cellStyle name="Normal 2 4 8 2" xfId="802" xr:uid="{00000000-0005-0000-0000-0000FE100000}"/>
    <cellStyle name="Normal 2 4 8 2 2" xfId="3041" xr:uid="{00000000-0005-0000-0000-0000FF100000}"/>
    <cellStyle name="Normal 2 4 8 2 2 2" xfId="7263" xr:uid="{00000000-0005-0000-0000-000000110000}"/>
    <cellStyle name="Normal 2 4 8 2 2 2 2" xfId="32595" xr:uid="{67E40549-BFF9-4443-AD50-A65475AB8ADA}"/>
    <cellStyle name="Normal 2 4 8 2 2 2 3" xfId="24154" xr:uid="{226D2CB0-F0D9-49D1-B89B-B3A89C906FC1}"/>
    <cellStyle name="Normal 2 4 8 2 2 2 4" xfId="15713" xr:uid="{322E4957-B898-4B83-BC16-EBFF0922FB16}"/>
    <cellStyle name="Normal 2 4 8 2 2 3" xfId="28377" xr:uid="{9159396D-2A80-4835-8168-C4B1BBD78EC6}"/>
    <cellStyle name="Normal 2 4 8 2 2 4" xfId="19936" xr:uid="{3BD4AAF8-3B48-47A7-B9F4-CB25E8B3646A}"/>
    <cellStyle name="Normal 2 4 8 2 2 5" xfId="11495" xr:uid="{8014210A-E718-4BE0-ABC0-27CE2FE21A48}"/>
    <cellStyle name="Normal 2 4 8 2 3" xfId="5118" xr:uid="{00000000-0005-0000-0000-000001110000}"/>
    <cellStyle name="Normal 2 4 8 2 3 2" xfId="30450" xr:uid="{297E0AC3-553C-4C63-A793-39EB0147D57D}"/>
    <cellStyle name="Normal 2 4 8 2 3 3" xfId="22009" xr:uid="{3FA9731D-7E7E-42F6-AA17-DD938FF8BF07}"/>
    <cellStyle name="Normal 2 4 8 2 3 4" xfId="13568" xr:uid="{2EA985F5-0841-4694-9510-7CBBA9CB4397}"/>
    <cellStyle name="Normal 2 4 8 2 4" xfId="26232" xr:uid="{C28978F8-EB88-4C21-86F6-96C45A087CE0}"/>
    <cellStyle name="Normal 2 4 8 2 5" xfId="17791" xr:uid="{C0FEA5C1-2ABB-4AB6-820A-D73C65B4A289}"/>
    <cellStyle name="Normal 2 4 8 2 6" xfId="9350" xr:uid="{026D545C-81EC-416C-9798-ADFD8A1106B3}"/>
    <cellStyle name="Normal 2 4 8 3" xfId="1224" xr:uid="{00000000-0005-0000-0000-000002110000}"/>
    <cellStyle name="Normal 2 4 8 3 2" xfId="3454" xr:uid="{00000000-0005-0000-0000-000003110000}"/>
    <cellStyle name="Normal 2 4 8 3 2 2" xfId="7676" xr:uid="{00000000-0005-0000-0000-000004110000}"/>
    <cellStyle name="Normal 2 4 8 3 2 2 2" xfId="33008" xr:uid="{0DF99C75-A057-4FB1-A498-60D21C52599E}"/>
    <cellStyle name="Normal 2 4 8 3 2 2 3" xfId="24567" xr:uid="{CDDD26DC-EF72-4832-B283-D5ECC509B039}"/>
    <cellStyle name="Normal 2 4 8 3 2 2 4" xfId="16126" xr:uid="{418E8850-AB92-48C7-8EC5-E4D8B7B180A1}"/>
    <cellStyle name="Normal 2 4 8 3 2 3" xfId="28790" xr:uid="{E199E1E2-85A8-457D-9B0B-E0341BE78ACF}"/>
    <cellStyle name="Normal 2 4 8 3 2 4" xfId="20349" xr:uid="{10AEAD87-C795-408B-94CC-269C7BEC44A6}"/>
    <cellStyle name="Normal 2 4 8 3 2 5" xfId="11908" xr:uid="{6FF358D0-1E84-4123-B046-7321834D7418}"/>
    <cellStyle name="Normal 2 4 8 3 3" xfId="5531" xr:uid="{00000000-0005-0000-0000-000005110000}"/>
    <cellStyle name="Normal 2 4 8 3 3 2" xfId="30863" xr:uid="{22D1F155-2F79-4E8F-BCC4-88DB6025FEA6}"/>
    <cellStyle name="Normal 2 4 8 3 3 3" xfId="22422" xr:uid="{929C1BC7-EFF0-4A01-A715-EF0AF71A5E21}"/>
    <cellStyle name="Normal 2 4 8 3 3 4" xfId="13981" xr:uid="{F35586CD-1585-4D6E-85B2-C0A74EAC01CF}"/>
    <cellStyle name="Normal 2 4 8 3 4" xfId="26645" xr:uid="{07B6108D-54EC-4D30-BA58-ACDE75939A5B}"/>
    <cellStyle name="Normal 2 4 8 3 5" xfId="18204" xr:uid="{34C44779-EC22-4842-8967-D28952533B49}"/>
    <cellStyle name="Normal 2 4 8 3 6" xfId="9763" xr:uid="{2EFAA398-8DF8-4024-8749-60CDD8078EF2}"/>
    <cellStyle name="Normal 2 4 8 4" xfId="1637" xr:uid="{00000000-0005-0000-0000-000006110000}"/>
    <cellStyle name="Normal 2 4 8 4 2" xfId="3867" xr:uid="{00000000-0005-0000-0000-000007110000}"/>
    <cellStyle name="Normal 2 4 8 4 2 2" xfId="8089" xr:uid="{00000000-0005-0000-0000-000008110000}"/>
    <cellStyle name="Normal 2 4 8 4 2 2 2" xfId="33421" xr:uid="{4509B774-ABAA-4D60-844F-BCD455D1C9FA}"/>
    <cellStyle name="Normal 2 4 8 4 2 2 3" xfId="24980" xr:uid="{18B400B1-C9DF-4A9A-A12D-8FFAC391FA48}"/>
    <cellStyle name="Normal 2 4 8 4 2 2 4" xfId="16539" xr:uid="{AF9C9EB3-6D17-46EB-99D2-94BBC1DA2CAD}"/>
    <cellStyle name="Normal 2 4 8 4 2 3" xfId="29203" xr:uid="{693070D7-FA0B-44DB-9CCD-5BDE337331D2}"/>
    <cellStyle name="Normal 2 4 8 4 2 4" xfId="20762" xr:uid="{216F7F7D-1F08-4B30-BB6D-2638AA5D1F4D}"/>
    <cellStyle name="Normal 2 4 8 4 2 5" xfId="12321" xr:uid="{8D517CF9-3E4A-4436-9344-5D11DB2BEAF8}"/>
    <cellStyle name="Normal 2 4 8 4 3" xfId="5944" xr:uid="{00000000-0005-0000-0000-000009110000}"/>
    <cellStyle name="Normal 2 4 8 4 3 2" xfId="31276" xr:uid="{117A7D35-B5AF-4103-A767-20C6082A6B7E}"/>
    <cellStyle name="Normal 2 4 8 4 3 3" xfId="22835" xr:uid="{79B39634-21A5-4512-9E39-D3126A587F02}"/>
    <cellStyle name="Normal 2 4 8 4 3 4" xfId="14394" xr:uid="{5103B197-291F-4B1E-AAC8-413FFFDEF650}"/>
    <cellStyle name="Normal 2 4 8 4 4" xfId="27058" xr:uid="{B01384E3-FE25-4E18-B7A3-51375FD5D465}"/>
    <cellStyle name="Normal 2 4 8 4 5" xfId="18617" xr:uid="{0EDC8726-0586-46DA-BEBE-E416762DBE95}"/>
    <cellStyle name="Normal 2 4 8 4 6" xfId="10176" xr:uid="{AC8E1176-6EC7-438F-95D9-0ED5B1BDCECF}"/>
    <cellStyle name="Normal 2 4 8 5" xfId="2051" xr:uid="{00000000-0005-0000-0000-00000A110000}"/>
    <cellStyle name="Normal 2 4 8 5 2" xfId="4280" xr:uid="{00000000-0005-0000-0000-00000B110000}"/>
    <cellStyle name="Normal 2 4 8 5 2 2" xfId="8502" xr:uid="{00000000-0005-0000-0000-00000C110000}"/>
    <cellStyle name="Normal 2 4 8 5 2 2 2" xfId="33834" xr:uid="{3D4A45CA-5C79-403B-817B-6DE1911DE410}"/>
    <cellStyle name="Normal 2 4 8 5 2 2 3" xfId="25393" xr:uid="{051FFD0C-2A1E-4D93-86A9-08A856FA4DC4}"/>
    <cellStyle name="Normal 2 4 8 5 2 2 4" xfId="16952" xr:uid="{37814115-8B1D-4A1E-86FA-C288851F3D69}"/>
    <cellStyle name="Normal 2 4 8 5 2 3" xfId="29616" xr:uid="{4CC7E446-516D-432B-AB06-C2EE50ED077C}"/>
    <cellStyle name="Normal 2 4 8 5 2 4" xfId="21175" xr:uid="{1E39D7B2-1C20-445C-9852-9D1B36058EDD}"/>
    <cellStyle name="Normal 2 4 8 5 2 5" xfId="12734" xr:uid="{3A7D6BA6-09DC-46C3-93A2-545C11ECFD9B}"/>
    <cellStyle name="Normal 2 4 8 5 3" xfId="6357" xr:uid="{00000000-0005-0000-0000-00000D110000}"/>
    <cellStyle name="Normal 2 4 8 5 3 2" xfId="31689" xr:uid="{CD961354-3F07-4013-A41C-E95406A46F56}"/>
    <cellStyle name="Normal 2 4 8 5 3 3" xfId="23248" xr:uid="{C065B68B-CF78-487A-91B4-C83DB37EF561}"/>
    <cellStyle name="Normal 2 4 8 5 3 4" xfId="14807" xr:uid="{C4C241AC-1E31-4DDE-8841-D57FDE438A49}"/>
    <cellStyle name="Normal 2 4 8 5 4" xfId="27471" xr:uid="{CE38EDB9-7CBD-4D81-983A-172215AC87B9}"/>
    <cellStyle name="Normal 2 4 8 5 5" xfId="19030" xr:uid="{43FAE8FD-BDBD-43EB-B666-B98A378C76F4}"/>
    <cellStyle name="Normal 2 4 8 5 6" xfId="10589" xr:uid="{E0B6A068-7648-4266-AA58-C6227B79185C}"/>
    <cellStyle name="Normal 2 4 8 6" xfId="2487" xr:uid="{00000000-0005-0000-0000-00000E110000}"/>
    <cellStyle name="Normal 2 4 8 6 2" xfId="6770" xr:uid="{00000000-0005-0000-0000-00000F110000}"/>
    <cellStyle name="Normal 2 4 8 6 2 2" xfId="32102" xr:uid="{46BCCD13-9497-460D-BD0F-50B7ECB1D216}"/>
    <cellStyle name="Normal 2 4 8 6 2 3" xfId="23661" xr:uid="{1FB81938-BC26-45D6-9134-60D7F144A39C}"/>
    <cellStyle name="Normal 2 4 8 6 2 4" xfId="15220" xr:uid="{198996AA-3235-421D-85ED-9683897377AD}"/>
    <cellStyle name="Normal 2 4 8 6 3" xfId="27884" xr:uid="{525B2DD6-B1C4-4D7B-8154-8B67497BA36D}"/>
    <cellStyle name="Normal 2 4 8 6 4" xfId="19443" xr:uid="{26160DCE-A149-48BF-B394-54B2EEE801BF}"/>
    <cellStyle name="Normal 2 4 8 6 5" xfId="11002" xr:uid="{63C1B27D-CDFB-436E-AEAD-B0B300EA90F0}"/>
    <cellStyle name="Normal 2 4 8 7" xfId="4704" xr:uid="{00000000-0005-0000-0000-000010110000}"/>
    <cellStyle name="Normal 2 4 8 7 2" xfId="30036" xr:uid="{6D0C07D9-97AC-4051-B815-C98688566D41}"/>
    <cellStyle name="Normal 2 4 8 7 3" xfId="21595" xr:uid="{5261A324-EE1E-4C5B-AC3F-01043C2E83CB}"/>
    <cellStyle name="Normal 2 4 8 7 4" xfId="13154" xr:uid="{EF6532D1-AA1C-4698-8C97-44DD03C8E191}"/>
    <cellStyle name="Normal 2 4 8 8" xfId="25818" xr:uid="{E1C04ABE-3567-4665-89F0-7CF42A17C115}"/>
    <cellStyle name="Normal 2 4 8 9" xfId="17377" xr:uid="{DA82B913-80F5-482D-A11A-481AF64F8761}"/>
    <cellStyle name="Normal 2 5" xfId="315" xr:uid="{00000000-0005-0000-0000-000011110000}"/>
    <cellStyle name="Normal 2 5 10" xfId="4705" xr:uid="{00000000-0005-0000-0000-000012110000}"/>
    <cellStyle name="Normal 2 5 10 2" xfId="30037" xr:uid="{D75DDAFA-D32C-4B00-9D34-DE330FCE3405}"/>
    <cellStyle name="Normal 2 5 10 3" xfId="21596" xr:uid="{C93A9BFE-97CD-493B-9474-1261378D5B8F}"/>
    <cellStyle name="Normal 2 5 10 4" xfId="13155" xr:uid="{1188C286-24D9-4E9E-9E98-29D406071F32}"/>
    <cellStyle name="Normal 2 5 11" xfId="25819" xr:uid="{2A16E9AE-0E29-499B-AD67-006BCF91ABAB}"/>
    <cellStyle name="Normal 2 5 12" xfId="17378" xr:uid="{B992C8E7-1DA9-4CDE-AC42-548162D765E7}"/>
    <cellStyle name="Normal 2 5 13" xfId="8937" xr:uid="{83BAB228-5489-47D9-8996-EAD6163D18C0}"/>
    <cellStyle name="Normal 2 5 2" xfId="316" xr:uid="{00000000-0005-0000-0000-000013110000}"/>
    <cellStyle name="Normal 2 5 3" xfId="317" xr:uid="{00000000-0005-0000-0000-000014110000}"/>
    <cellStyle name="Normal 2 5 4" xfId="318" xr:uid="{00000000-0005-0000-0000-000015110000}"/>
    <cellStyle name="Normal 2 5 4 10" xfId="25820" xr:uid="{D3812310-EB43-447F-9CE1-3501D22708F6}"/>
    <cellStyle name="Normal 2 5 4 11" xfId="17379" xr:uid="{1A6199A7-7103-4772-9A26-069C4AE2D6A2}"/>
    <cellStyle name="Normal 2 5 4 12" xfId="8938" xr:uid="{E8175531-79C9-4B82-BFDE-0EC376061C0C}"/>
    <cellStyle name="Normal 2 5 4 2" xfId="319" xr:uid="{00000000-0005-0000-0000-000016110000}"/>
    <cellStyle name="Normal 2 5 4 2 10" xfId="17380" xr:uid="{41484B38-6B40-4E45-BF75-DDE9AD6DE958}"/>
    <cellStyle name="Normal 2 5 4 2 11" xfId="8939" xr:uid="{4ECA1FAA-5281-4821-AF48-7AEE4AE13CE6}"/>
    <cellStyle name="Normal 2 5 4 2 2" xfId="320" xr:uid="{00000000-0005-0000-0000-000017110000}"/>
    <cellStyle name="Normal 2 5 4 2 2 10" xfId="8940" xr:uid="{9FB2F92B-EE2C-4597-8B64-22C5F8DDF994}"/>
    <cellStyle name="Normal 2 5 4 2 2 2" xfId="806" xr:uid="{00000000-0005-0000-0000-000018110000}"/>
    <cellStyle name="Normal 2 5 4 2 2 2 2" xfId="3045" xr:uid="{00000000-0005-0000-0000-000019110000}"/>
    <cellStyle name="Normal 2 5 4 2 2 2 2 2" xfId="7267" xr:uid="{00000000-0005-0000-0000-00001A110000}"/>
    <cellStyle name="Normal 2 5 4 2 2 2 2 2 2" xfId="32599" xr:uid="{E1778F91-DE9F-4161-90AB-627D07716303}"/>
    <cellStyle name="Normal 2 5 4 2 2 2 2 2 3" xfId="24158" xr:uid="{FDD7FB8F-7B20-4553-B3AE-E2A928E3CB28}"/>
    <cellStyle name="Normal 2 5 4 2 2 2 2 2 4" xfId="15717" xr:uid="{6890AFC6-13C4-49F7-A7D0-364037DFB885}"/>
    <cellStyle name="Normal 2 5 4 2 2 2 2 3" xfId="28381" xr:uid="{F56A93E9-D99F-4B22-872F-FAFF3E52EFFA}"/>
    <cellStyle name="Normal 2 5 4 2 2 2 2 4" xfId="19940" xr:uid="{6943F33E-00F8-498F-8AD7-62804120280E}"/>
    <cellStyle name="Normal 2 5 4 2 2 2 2 5" xfId="11499" xr:uid="{131E4E5F-D5C8-4805-B137-4F4656893A0E}"/>
    <cellStyle name="Normal 2 5 4 2 2 2 3" xfId="5122" xr:uid="{00000000-0005-0000-0000-00001B110000}"/>
    <cellStyle name="Normal 2 5 4 2 2 2 3 2" xfId="30454" xr:uid="{A9FE30F5-F42F-4E74-9483-69ABF30AE851}"/>
    <cellStyle name="Normal 2 5 4 2 2 2 3 3" xfId="22013" xr:uid="{0E8D712F-C87E-45A2-B588-FE50EEF48F4C}"/>
    <cellStyle name="Normal 2 5 4 2 2 2 3 4" xfId="13572" xr:uid="{E3182267-637E-469F-92AA-BB7342936728}"/>
    <cellStyle name="Normal 2 5 4 2 2 2 4" xfId="26236" xr:uid="{2436C236-AF04-45A3-AE45-8CBF64BFEE55}"/>
    <cellStyle name="Normal 2 5 4 2 2 2 5" xfId="17795" xr:uid="{6AB1386F-F495-4425-8BC8-2FA0ED08EF02}"/>
    <cellStyle name="Normal 2 5 4 2 2 2 6" xfId="9354" xr:uid="{22B7C51C-41A4-4182-B3B5-CD626FBB3E1A}"/>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2 2 2" xfId="33012" xr:uid="{67DD45CE-6B01-45B3-ABEE-9DFA51538DAD}"/>
    <cellStyle name="Normal 2 5 4 2 2 3 2 2 3" xfId="24571" xr:uid="{EBFB38D2-05E6-4AD0-8C2B-ED8EE29DD4F6}"/>
    <cellStyle name="Normal 2 5 4 2 2 3 2 2 4" xfId="16130" xr:uid="{BE99F317-86AF-4929-B9EE-D86619F55F59}"/>
    <cellStyle name="Normal 2 5 4 2 2 3 2 3" xfId="28794" xr:uid="{8C005582-7507-40B0-B861-55776DF9E340}"/>
    <cellStyle name="Normal 2 5 4 2 2 3 2 4" xfId="20353" xr:uid="{5F5405AC-E0FF-4A78-A004-2CB9CFB8A6A8}"/>
    <cellStyle name="Normal 2 5 4 2 2 3 2 5" xfId="11912" xr:uid="{A4FF08D5-7118-46AD-B7EF-CB1916F64510}"/>
    <cellStyle name="Normal 2 5 4 2 2 3 3" xfId="5535" xr:uid="{00000000-0005-0000-0000-00001F110000}"/>
    <cellStyle name="Normal 2 5 4 2 2 3 3 2" xfId="30867" xr:uid="{0E89F7F9-FCA7-4CA0-8330-4F7ABE9F4AE6}"/>
    <cellStyle name="Normal 2 5 4 2 2 3 3 3" xfId="22426" xr:uid="{4CA84B86-A5D2-4576-84F6-C2BD70A832A0}"/>
    <cellStyle name="Normal 2 5 4 2 2 3 3 4" xfId="13985" xr:uid="{8E5086E9-23E9-475A-8B34-DE53D918D8EB}"/>
    <cellStyle name="Normal 2 5 4 2 2 3 4" xfId="26649" xr:uid="{34324D02-47E9-4487-AC25-4474234C18A1}"/>
    <cellStyle name="Normal 2 5 4 2 2 3 5" xfId="18208" xr:uid="{27CBD099-CE8E-4F41-A541-A4BC343EB0FF}"/>
    <cellStyle name="Normal 2 5 4 2 2 3 6" xfId="9767" xr:uid="{9D07FB6E-6687-49A6-9C20-035F7A4F5A2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2 2 2" xfId="33425" xr:uid="{9A0AA3BC-31A6-4B89-88FD-AF4EF483B8A1}"/>
    <cellStyle name="Normal 2 5 4 2 2 4 2 2 3" xfId="24984" xr:uid="{6114C9F6-106B-442C-96BC-E1AAEB053580}"/>
    <cellStyle name="Normal 2 5 4 2 2 4 2 2 4" xfId="16543" xr:uid="{420C3A3D-9E49-4ACD-B1AF-9A4BDBA2D726}"/>
    <cellStyle name="Normal 2 5 4 2 2 4 2 3" xfId="29207" xr:uid="{77FF41E6-DDF1-4F6F-8D1B-C09614094FF9}"/>
    <cellStyle name="Normal 2 5 4 2 2 4 2 4" xfId="20766" xr:uid="{A0A08589-DA06-4A28-A2C2-04E41F1FF22A}"/>
    <cellStyle name="Normal 2 5 4 2 2 4 2 5" xfId="12325" xr:uid="{9FA72EB4-C4F6-45CE-9E78-5C7C70F7E4E3}"/>
    <cellStyle name="Normal 2 5 4 2 2 4 3" xfId="5948" xr:uid="{00000000-0005-0000-0000-000023110000}"/>
    <cellStyle name="Normal 2 5 4 2 2 4 3 2" xfId="31280" xr:uid="{CD0CD46C-948F-444D-B636-E5AD892279C0}"/>
    <cellStyle name="Normal 2 5 4 2 2 4 3 3" xfId="22839" xr:uid="{F120014C-67AC-4125-89A9-FA3DD54B278F}"/>
    <cellStyle name="Normal 2 5 4 2 2 4 3 4" xfId="14398" xr:uid="{992AD164-45A8-47DE-B798-05A094D585E5}"/>
    <cellStyle name="Normal 2 5 4 2 2 4 4" xfId="27062" xr:uid="{47EF2F4C-A6A6-44D7-8EF9-EC56B31F1D32}"/>
    <cellStyle name="Normal 2 5 4 2 2 4 5" xfId="18621" xr:uid="{00D3A5F0-A534-404A-8D7A-9220BEC39983}"/>
    <cellStyle name="Normal 2 5 4 2 2 4 6" xfId="10180" xr:uid="{26034FDD-5840-43D5-9525-2FDF24159C81}"/>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2 2 2" xfId="33838" xr:uid="{0170409B-05C7-4CB7-B78D-705A7A744208}"/>
    <cellStyle name="Normal 2 5 4 2 2 5 2 2 3" xfId="25397" xr:uid="{3CBE0DFD-53D5-4531-BC4C-0099F00D4D12}"/>
    <cellStyle name="Normal 2 5 4 2 2 5 2 2 4" xfId="16956" xr:uid="{FE50222C-1882-4481-9F30-8A7ACB351008}"/>
    <cellStyle name="Normal 2 5 4 2 2 5 2 3" xfId="29620" xr:uid="{BC74BA75-229A-4C21-A49D-3E0362958125}"/>
    <cellStyle name="Normal 2 5 4 2 2 5 2 4" xfId="21179" xr:uid="{CE5537EE-6703-4B4E-8F39-E693872E5A54}"/>
    <cellStyle name="Normal 2 5 4 2 2 5 2 5" xfId="12738" xr:uid="{1543491E-874A-427A-97A3-CA1ADB88C056}"/>
    <cellStyle name="Normal 2 5 4 2 2 5 3" xfId="6361" xr:uid="{00000000-0005-0000-0000-000027110000}"/>
    <cellStyle name="Normal 2 5 4 2 2 5 3 2" xfId="31693" xr:uid="{364CD218-168B-4ADA-98B7-131725034F4E}"/>
    <cellStyle name="Normal 2 5 4 2 2 5 3 3" xfId="23252" xr:uid="{EFD65EDE-0ABF-4BDB-99DA-CF915E10CCD0}"/>
    <cellStyle name="Normal 2 5 4 2 2 5 3 4" xfId="14811" xr:uid="{86613439-4F46-4DED-B628-5423AAF2AB38}"/>
    <cellStyle name="Normal 2 5 4 2 2 5 4" xfId="27475" xr:uid="{EBE86038-05D4-4CBE-9A10-34306F76B522}"/>
    <cellStyle name="Normal 2 5 4 2 2 5 5" xfId="19034" xr:uid="{0CDED510-D7F4-41AE-BDE5-BB45D4DF6F15}"/>
    <cellStyle name="Normal 2 5 4 2 2 5 6" xfId="10593" xr:uid="{6D493E80-DD49-4CC7-B6CA-2E075B325F26}"/>
    <cellStyle name="Normal 2 5 4 2 2 6" xfId="2491" xr:uid="{00000000-0005-0000-0000-000028110000}"/>
    <cellStyle name="Normal 2 5 4 2 2 6 2" xfId="6774" xr:uid="{00000000-0005-0000-0000-000029110000}"/>
    <cellStyle name="Normal 2 5 4 2 2 6 2 2" xfId="32106" xr:uid="{13CB2DD0-8FF5-4282-BC8D-E8BEEBF4A859}"/>
    <cellStyle name="Normal 2 5 4 2 2 6 2 3" xfId="23665" xr:uid="{CF60C348-C95B-4945-B92A-3CC7D973DA40}"/>
    <cellStyle name="Normal 2 5 4 2 2 6 2 4" xfId="15224" xr:uid="{58767658-63A7-4111-80AE-ACFE8A04DFDB}"/>
    <cellStyle name="Normal 2 5 4 2 2 6 3" xfId="27888" xr:uid="{8E70789E-D894-481F-B834-E191DB5737ED}"/>
    <cellStyle name="Normal 2 5 4 2 2 6 4" xfId="19447" xr:uid="{A8A5AF5B-59CF-481A-AC1F-939A93F38E39}"/>
    <cellStyle name="Normal 2 5 4 2 2 6 5" xfId="11006" xr:uid="{91E833E6-58CC-4154-9E52-246FF8973641}"/>
    <cellStyle name="Normal 2 5 4 2 2 7" xfId="4708" xr:uid="{00000000-0005-0000-0000-00002A110000}"/>
    <cellStyle name="Normal 2 5 4 2 2 7 2" xfId="30040" xr:uid="{363D337B-C541-4403-86BB-37AEC75894B0}"/>
    <cellStyle name="Normal 2 5 4 2 2 7 3" xfId="21599" xr:uid="{8AA00652-5898-48D1-ACA6-EA66E42D99E2}"/>
    <cellStyle name="Normal 2 5 4 2 2 7 4" xfId="13158" xr:uid="{0DDB65C7-3936-48FF-B7B2-98ABE832AF3C}"/>
    <cellStyle name="Normal 2 5 4 2 2 8" xfId="25822" xr:uid="{ACE6BDD3-461C-4DCE-B4CA-12F7D42813BB}"/>
    <cellStyle name="Normal 2 5 4 2 2 9" xfId="17381" xr:uid="{87A856E3-BAE3-43F6-AA9E-AC48704824F6}"/>
    <cellStyle name="Normal 2 5 4 2 3" xfId="805" xr:uid="{00000000-0005-0000-0000-00002B110000}"/>
    <cellStyle name="Normal 2 5 4 2 3 2" xfId="3044" xr:uid="{00000000-0005-0000-0000-00002C110000}"/>
    <cellStyle name="Normal 2 5 4 2 3 2 2" xfId="7266" xr:uid="{00000000-0005-0000-0000-00002D110000}"/>
    <cellStyle name="Normal 2 5 4 2 3 2 2 2" xfId="32598" xr:uid="{ACD24003-B59D-4814-985F-02F579CB5EB6}"/>
    <cellStyle name="Normal 2 5 4 2 3 2 2 3" xfId="24157" xr:uid="{0951CD34-88E6-4AFB-8F0A-41048D350695}"/>
    <cellStyle name="Normal 2 5 4 2 3 2 2 4" xfId="15716" xr:uid="{21F60C2E-37FB-4B07-8E9D-E60A037C68C2}"/>
    <cellStyle name="Normal 2 5 4 2 3 2 3" xfId="28380" xr:uid="{363AFBA2-F6E6-4E21-8A77-739B03F0FC2A}"/>
    <cellStyle name="Normal 2 5 4 2 3 2 4" xfId="19939" xr:uid="{24B53905-AD05-475D-B4E9-DDD0239888A0}"/>
    <cellStyle name="Normal 2 5 4 2 3 2 5" xfId="11498" xr:uid="{667EF08F-94D4-442E-894F-6AB49262E331}"/>
    <cellStyle name="Normal 2 5 4 2 3 3" xfId="5121" xr:uid="{00000000-0005-0000-0000-00002E110000}"/>
    <cellStyle name="Normal 2 5 4 2 3 3 2" xfId="30453" xr:uid="{7A1917E4-73AD-4B3F-AD93-EB0F11C2576E}"/>
    <cellStyle name="Normal 2 5 4 2 3 3 3" xfId="22012" xr:uid="{E77ADA21-33EE-43F9-B021-BE40737FB487}"/>
    <cellStyle name="Normal 2 5 4 2 3 3 4" xfId="13571" xr:uid="{C1B5BEC3-B9E1-433A-9044-B31E6951F995}"/>
    <cellStyle name="Normal 2 5 4 2 3 4" xfId="26235" xr:uid="{66584CFF-85AB-457E-AE9C-8718B221818D}"/>
    <cellStyle name="Normal 2 5 4 2 3 5" xfId="17794" xr:uid="{A88816E9-2941-46F9-B850-27272DC5F4B1}"/>
    <cellStyle name="Normal 2 5 4 2 3 6" xfId="9353" xr:uid="{1B44190C-9798-4B6B-9A87-81DA90C72A6F}"/>
    <cellStyle name="Normal 2 5 4 2 4" xfId="1227" xr:uid="{00000000-0005-0000-0000-00002F110000}"/>
    <cellStyle name="Normal 2 5 4 2 4 2" xfId="3457" xr:uid="{00000000-0005-0000-0000-000030110000}"/>
    <cellStyle name="Normal 2 5 4 2 4 2 2" xfId="7679" xr:uid="{00000000-0005-0000-0000-000031110000}"/>
    <cellStyle name="Normal 2 5 4 2 4 2 2 2" xfId="33011" xr:uid="{D967A302-1720-444E-9210-EDE5D194A7AD}"/>
    <cellStyle name="Normal 2 5 4 2 4 2 2 3" xfId="24570" xr:uid="{FA49AACA-64BE-4395-9A59-885AD6046BDF}"/>
    <cellStyle name="Normal 2 5 4 2 4 2 2 4" xfId="16129" xr:uid="{788AA6C5-646E-48EE-AF14-3F6C7A7A5664}"/>
    <cellStyle name="Normal 2 5 4 2 4 2 3" xfId="28793" xr:uid="{6FC27041-C0F5-4C25-8340-E1351445C0D8}"/>
    <cellStyle name="Normal 2 5 4 2 4 2 4" xfId="20352" xr:uid="{C5B37AD3-696D-4485-80E4-7A3E5ECB9C9B}"/>
    <cellStyle name="Normal 2 5 4 2 4 2 5" xfId="11911" xr:uid="{39C9F993-C4CE-4D7F-AD90-E58E3DCF9682}"/>
    <cellStyle name="Normal 2 5 4 2 4 3" xfId="5534" xr:uid="{00000000-0005-0000-0000-000032110000}"/>
    <cellStyle name="Normal 2 5 4 2 4 3 2" xfId="30866" xr:uid="{C9D94721-617B-470F-B86E-83A0B9243EB0}"/>
    <cellStyle name="Normal 2 5 4 2 4 3 3" xfId="22425" xr:uid="{67BBBA23-9CBE-4AE7-A4F0-C546B90D42D8}"/>
    <cellStyle name="Normal 2 5 4 2 4 3 4" xfId="13984" xr:uid="{D65DF740-54A6-4B5A-8BCD-076DB9125CC1}"/>
    <cellStyle name="Normal 2 5 4 2 4 4" xfId="26648" xr:uid="{A454034A-0112-4D43-BE86-A2D3E6FBBD42}"/>
    <cellStyle name="Normal 2 5 4 2 4 5" xfId="18207" xr:uid="{065F6BB3-7EF5-41BB-B8E2-A77406DC1B56}"/>
    <cellStyle name="Normal 2 5 4 2 4 6" xfId="9766" xr:uid="{0BB349E1-5C24-4624-9DE7-B97AE3074137}"/>
    <cellStyle name="Normal 2 5 4 2 5" xfId="1640" xr:uid="{00000000-0005-0000-0000-000033110000}"/>
    <cellStyle name="Normal 2 5 4 2 5 2" xfId="3870" xr:uid="{00000000-0005-0000-0000-000034110000}"/>
    <cellStyle name="Normal 2 5 4 2 5 2 2" xfId="8092" xr:uid="{00000000-0005-0000-0000-000035110000}"/>
    <cellStyle name="Normal 2 5 4 2 5 2 2 2" xfId="33424" xr:uid="{96D7A084-2D58-400B-9667-AB72B2A03EE6}"/>
    <cellStyle name="Normal 2 5 4 2 5 2 2 3" xfId="24983" xr:uid="{3EFB354D-355E-40AC-950D-4ABFBEAEF2B9}"/>
    <cellStyle name="Normal 2 5 4 2 5 2 2 4" xfId="16542" xr:uid="{2F40562C-FEDE-480F-8B8E-86D613A00E05}"/>
    <cellStyle name="Normal 2 5 4 2 5 2 3" xfId="29206" xr:uid="{4A46A3C3-E142-4BAE-B90B-314CD1FA223B}"/>
    <cellStyle name="Normal 2 5 4 2 5 2 4" xfId="20765" xr:uid="{ABEBCBF2-AC9E-4C25-9992-A424090AC8B8}"/>
    <cellStyle name="Normal 2 5 4 2 5 2 5" xfId="12324" xr:uid="{249E09A2-3455-4DB9-B098-0BD791E31988}"/>
    <cellStyle name="Normal 2 5 4 2 5 3" xfId="5947" xr:uid="{00000000-0005-0000-0000-000036110000}"/>
    <cellStyle name="Normal 2 5 4 2 5 3 2" xfId="31279" xr:uid="{BE5CF039-659D-4719-833F-A941D4ECEC7E}"/>
    <cellStyle name="Normal 2 5 4 2 5 3 3" xfId="22838" xr:uid="{3F575807-8332-4709-83DB-4E42857D69E2}"/>
    <cellStyle name="Normal 2 5 4 2 5 3 4" xfId="14397" xr:uid="{BCA3C58F-1544-4260-BB1C-D65FF72913F1}"/>
    <cellStyle name="Normal 2 5 4 2 5 4" xfId="27061" xr:uid="{E4A84A12-7BD2-4F5D-8408-4C7EC48CCF4E}"/>
    <cellStyle name="Normal 2 5 4 2 5 5" xfId="18620" xr:uid="{B841AD57-0447-451C-9871-64AFDD399346}"/>
    <cellStyle name="Normal 2 5 4 2 5 6" xfId="10179" xr:uid="{C7A649AD-9A43-463E-87F8-E4325FC0D44B}"/>
    <cellStyle name="Normal 2 5 4 2 6" xfId="2054" xr:uid="{00000000-0005-0000-0000-000037110000}"/>
    <cellStyle name="Normal 2 5 4 2 6 2" xfId="4283" xr:uid="{00000000-0005-0000-0000-000038110000}"/>
    <cellStyle name="Normal 2 5 4 2 6 2 2" xfId="8505" xr:uid="{00000000-0005-0000-0000-000039110000}"/>
    <cellStyle name="Normal 2 5 4 2 6 2 2 2" xfId="33837" xr:uid="{36EDE217-81F6-45D9-B574-B3633B1F42CF}"/>
    <cellStyle name="Normal 2 5 4 2 6 2 2 3" xfId="25396" xr:uid="{F8C3F280-CE84-431D-BF65-653941CF290C}"/>
    <cellStyle name="Normal 2 5 4 2 6 2 2 4" xfId="16955" xr:uid="{772CBA88-6DF9-4DD9-AD1B-57497E7945EC}"/>
    <cellStyle name="Normal 2 5 4 2 6 2 3" xfId="29619" xr:uid="{A302B5AD-7E02-4296-B99E-F71034A66FB7}"/>
    <cellStyle name="Normal 2 5 4 2 6 2 4" xfId="21178" xr:uid="{901228B5-0BC5-4D2F-B727-2EA71C44D68B}"/>
    <cellStyle name="Normal 2 5 4 2 6 2 5" xfId="12737" xr:uid="{7A6CE20B-AC0B-480E-89CB-4930F5635739}"/>
    <cellStyle name="Normal 2 5 4 2 6 3" xfId="6360" xr:uid="{00000000-0005-0000-0000-00003A110000}"/>
    <cellStyle name="Normal 2 5 4 2 6 3 2" xfId="31692" xr:uid="{793E4643-B304-4DB5-9A87-61B5565D7F85}"/>
    <cellStyle name="Normal 2 5 4 2 6 3 3" xfId="23251" xr:uid="{D48ECF3B-8039-45A6-A259-3EB3EA8FBB21}"/>
    <cellStyle name="Normal 2 5 4 2 6 3 4" xfId="14810" xr:uid="{A8891D96-3894-4AED-B6FF-7AD070075441}"/>
    <cellStyle name="Normal 2 5 4 2 6 4" xfId="27474" xr:uid="{8710E294-E6CF-4258-B74B-22BAEAF7215B}"/>
    <cellStyle name="Normal 2 5 4 2 6 5" xfId="19033" xr:uid="{BB38A789-F0C0-4D97-88C8-E221F22EB331}"/>
    <cellStyle name="Normal 2 5 4 2 6 6" xfId="10592" xr:uid="{E8DF7BF5-E214-4F99-AA9C-6CA358443DCE}"/>
    <cellStyle name="Normal 2 5 4 2 7" xfId="2490" xr:uid="{00000000-0005-0000-0000-00003B110000}"/>
    <cellStyle name="Normal 2 5 4 2 7 2" xfId="6773" xr:uid="{00000000-0005-0000-0000-00003C110000}"/>
    <cellStyle name="Normal 2 5 4 2 7 2 2" xfId="32105" xr:uid="{1FA17A30-EBC4-452A-BD8F-A60F335C5DB4}"/>
    <cellStyle name="Normal 2 5 4 2 7 2 3" xfId="23664" xr:uid="{2F779052-85A7-416D-A5D7-5232D422184E}"/>
    <cellStyle name="Normal 2 5 4 2 7 2 4" xfId="15223" xr:uid="{DCA21EA5-6200-4C52-BBBB-01A9E69C68C5}"/>
    <cellStyle name="Normal 2 5 4 2 7 3" xfId="27887" xr:uid="{C277C2EC-EEA4-491A-A812-1FA08FFF92C7}"/>
    <cellStyle name="Normal 2 5 4 2 7 4" xfId="19446" xr:uid="{53E36963-B5AC-4E87-B566-24A758F54847}"/>
    <cellStyle name="Normal 2 5 4 2 7 5" xfId="11005" xr:uid="{EE7BC202-66C0-4FBD-8A2F-719DAEBB6561}"/>
    <cellStyle name="Normal 2 5 4 2 8" xfId="4707" xr:uid="{00000000-0005-0000-0000-00003D110000}"/>
    <cellStyle name="Normal 2 5 4 2 8 2" xfId="30039" xr:uid="{EA4A6B90-F726-4125-9B24-C4EC57D17D11}"/>
    <cellStyle name="Normal 2 5 4 2 8 3" xfId="21598" xr:uid="{70DF327B-BDA9-451E-A79E-F7ABF51290B9}"/>
    <cellStyle name="Normal 2 5 4 2 8 4" xfId="13157" xr:uid="{9AA2142F-AE4D-4517-B79B-A1D2C959F9D8}"/>
    <cellStyle name="Normal 2 5 4 2 9" xfId="25821" xr:uid="{0AAC0046-9298-457F-B638-AE8F0A9871B5}"/>
    <cellStyle name="Normal 2 5 4 3" xfId="321" xr:uid="{00000000-0005-0000-0000-00003E110000}"/>
    <cellStyle name="Normal 2 5 4 3 10" xfId="8941" xr:uid="{848C1808-BEC7-4237-9BF8-F6E700E429E9}"/>
    <cellStyle name="Normal 2 5 4 3 2" xfId="807" xr:uid="{00000000-0005-0000-0000-00003F110000}"/>
    <cellStyle name="Normal 2 5 4 3 2 2" xfId="3046" xr:uid="{00000000-0005-0000-0000-000040110000}"/>
    <cellStyle name="Normal 2 5 4 3 2 2 2" xfId="7268" xr:uid="{00000000-0005-0000-0000-000041110000}"/>
    <cellStyle name="Normal 2 5 4 3 2 2 2 2" xfId="32600" xr:uid="{4E607401-92FB-424D-9AE2-5F85598930A4}"/>
    <cellStyle name="Normal 2 5 4 3 2 2 2 3" xfId="24159" xr:uid="{F16DF204-F2CC-4674-8D52-909305E1389C}"/>
    <cellStyle name="Normal 2 5 4 3 2 2 2 4" xfId="15718" xr:uid="{5588DACA-7AE9-47D1-80FD-A21AAF956213}"/>
    <cellStyle name="Normal 2 5 4 3 2 2 3" xfId="28382" xr:uid="{E1E3A208-2D3D-492E-9749-38149BE9DAD9}"/>
    <cellStyle name="Normal 2 5 4 3 2 2 4" xfId="19941" xr:uid="{8EDC238A-918E-421A-9790-9E2460E0A63A}"/>
    <cellStyle name="Normal 2 5 4 3 2 2 5" xfId="11500" xr:uid="{1ACF12DA-7A03-4390-B157-B2AD1BA928BF}"/>
    <cellStyle name="Normal 2 5 4 3 2 3" xfId="5123" xr:uid="{00000000-0005-0000-0000-000042110000}"/>
    <cellStyle name="Normal 2 5 4 3 2 3 2" xfId="30455" xr:uid="{3ACAC303-F9B1-482F-B913-BAB67C736A79}"/>
    <cellStyle name="Normal 2 5 4 3 2 3 3" xfId="22014" xr:uid="{B5BF8E0B-E99E-43E6-B2EA-B9AFC61CA441}"/>
    <cellStyle name="Normal 2 5 4 3 2 3 4" xfId="13573" xr:uid="{6AEB0E31-5A5E-46D2-B3E0-416C5FE67ED7}"/>
    <cellStyle name="Normal 2 5 4 3 2 4" xfId="26237" xr:uid="{9969B756-E81F-4D78-8B6D-5403D83D0922}"/>
    <cellStyle name="Normal 2 5 4 3 2 5" xfId="17796" xr:uid="{B85C92F9-5D82-43D0-A62A-EDEAC92455A1}"/>
    <cellStyle name="Normal 2 5 4 3 2 6" xfId="9355" xr:uid="{6BDC5641-6016-45DE-9C44-46B261E967A0}"/>
    <cellStyle name="Normal 2 5 4 3 3" xfId="1229" xr:uid="{00000000-0005-0000-0000-000043110000}"/>
    <cellStyle name="Normal 2 5 4 3 3 2" xfId="3459" xr:uid="{00000000-0005-0000-0000-000044110000}"/>
    <cellStyle name="Normal 2 5 4 3 3 2 2" xfId="7681" xr:uid="{00000000-0005-0000-0000-000045110000}"/>
    <cellStyle name="Normal 2 5 4 3 3 2 2 2" xfId="33013" xr:uid="{8A9CA25A-01AE-4B40-8104-471C1FF70962}"/>
    <cellStyle name="Normal 2 5 4 3 3 2 2 3" xfId="24572" xr:uid="{0BB2E78D-4424-4004-8A74-6E59464AAD4B}"/>
    <cellStyle name="Normal 2 5 4 3 3 2 2 4" xfId="16131" xr:uid="{7D83E1C5-041F-422A-90B8-15BEBCD4AAAD}"/>
    <cellStyle name="Normal 2 5 4 3 3 2 3" xfId="28795" xr:uid="{43C5AA7A-5E89-4287-A082-D317ED4C6558}"/>
    <cellStyle name="Normal 2 5 4 3 3 2 4" xfId="20354" xr:uid="{99B5A1CD-0B6F-4CAD-A2ED-AFAE55A1D56D}"/>
    <cellStyle name="Normal 2 5 4 3 3 2 5" xfId="11913" xr:uid="{09C5BEAF-C119-4A36-A5E9-97C4F2B4F4A6}"/>
    <cellStyle name="Normal 2 5 4 3 3 3" xfId="5536" xr:uid="{00000000-0005-0000-0000-000046110000}"/>
    <cellStyle name="Normal 2 5 4 3 3 3 2" xfId="30868" xr:uid="{83150CDA-2EC0-4333-9DDF-A8062854B664}"/>
    <cellStyle name="Normal 2 5 4 3 3 3 3" xfId="22427" xr:uid="{1DD7B383-6375-4C8C-A1C1-D382B86AA273}"/>
    <cellStyle name="Normal 2 5 4 3 3 3 4" xfId="13986" xr:uid="{21B200D9-D154-47D3-87AC-A3B65E9BFC23}"/>
    <cellStyle name="Normal 2 5 4 3 3 4" xfId="26650" xr:uid="{E67E0FCE-F396-4376-B1D0-B90AF13D288D}"/>
    <cellStyle name="Normal 2 5 4 3 3 5" xfId="18209" xr:uid="{19AC2B00-E703-4C01-8DD2-44D333A54BC6}"/>
    <cellStyle name="Normal 2 5 4 3 3 6" xfId="9768" xr:uid="{C0085AA4-B1A9-411A-AD41-C0B4A7EB71B1}"/>
    <cellStyle name="Normal 2 5 4 3 4" xfId="1642" xr:uid="{00000000-0005-0000-0000-000047110000}"/>
    <cellStyle name="Normal 2 5 4 3 4 2" xfId="3872" xr:uid="{00000000-0005-0000-0000-000048110000}"/>
    <cellStyle name="Normal 2 5 4 3 4 2 2" xfId="8094" xr:uid="{00000000-0005-0000-0000-000049110000}"/>
    <cellStyle name="Normal 2 5 4 3 4 2 2 2" xfId="33426" xr:uid="{CBA2945E-05E4-4D90-9933-CB80BE2EE63B}"/>
    <cellStyle name="Normal 2 5 4 3 4 2 2 3" xfId="24985" xr:uid="{6F6EA4F4-924B-42F6-BA36-2DECB6FFEABC}"/>
    <cellStyle name="Normal 2 5 4 3 4 2 2 4" xfId="16544" xr:uid="{C98D83E4-F2E4-42D2-9EEB-153AE52E7C44}"/>
    <cellStyle name="Normal 2 5 4 3 4 2 3" xfId="29208" xr:uid="{EDADAB5E-E809-4B42-9CE7-57E777A2A586}"/>
    <cellStyle name="Normal 2 5 4 3 4 2 4" xfId="20767" xr:uid="{EBC60690-7C1C-48CD-87C4-46EECC0272B2}"/>
    <cellStyle name="Normal 2 5 4 3 4 2 5" xfId="12326" xr:uid="{60A2EF9C-6952-4755-9D75-67B8F888431A}"/>
    <cellStyle name="Normal 2 5 4 3 4 3" xfId="5949" xr:uid="{00000000-0005-0000-0000-00004A110000}"/>
    <cellStyle name="Normal 2 5 4 3 4 3 2" xfId="31281" xr:uid="{B07F67F0-A95C-47AD-A381-9F53A20F34D9}"/>
    <cellStyle name="Normal 2 5 4 3 4 3 3" xfId="22840" xr:uid="{C685255B-A15B-4F23-B1B3-4D22990A1087}"/>
    <cellStyle name="Normal 2 5 4 3 4 3 4" xfId="14399" xr:uid="{A628EEEF-BF13-470E-8261-B8B2A072DF90}"/>
    <cellStyle name="Normal 2 5 4 3 4 4" xfId="27063" xr:uid="{14035EC1-BB88-4A84-BD74-EA537673E1E4}"/>
    <cellStyle name="Normal 2 5 4 3 4 5" xfId="18622" xr:uid="{4E14D651-16D0-414E-817C-4A8E149BD5D2}"/>
    <cellStyle name="Normal 2 5 4 3 4 6" xfId="10181" xr:uid="{489FE512-3468-4650-AFEC-B6CE2E636EC3}"/>
    <cellStyle name="Normal 2 5 4 3 5" xfId="2056" xr:uid="{00000000-0005-0000-0000-00004B110000}"/>
    <cellStyle name="Normal 2 5 4 3 5 2" xfId="4285" xr:uid="{00000000-0005-0000-0000-00004C110000}"/>
    <cellStyle name="Normal 2 5 4 3 5 2 2" xfId="8507" xr:uid="{00000000-0005-0000-0000-00004D110000}"/>
    <cellStyle name="Normal 2 5 4 3 5 2 2 2" xfId="33839" xr:uid="{2BE1BA92-DBB5-40D8-8288-5B81D5BFFE3A}"/>
    <cellStyle name="Normal 2 5 4 3 5 2 2 3" xfId="25398" xr:uid="{6C5EB3B4-1D8D-4A6B-9ADB-6F60D61E1301}"/>
    <cellStyle name="Normal 2 5 4 3 5 2 2 4" xfId="16957" xr:uid="{41978E40-489A-4FFD-92B6-9ED0263519C3}"/>
    <cellStyle name="Normal 2 5 4 3 5 2 3" xfId="29621" xr:uid="{803F0260-4909-41F8-BCD8-60179B3DD8E0}"/>
    <cellStyle name="Normal 2 5 4 3 5 2 4" xfId="21180" xr:uid="{3CE4CB4C-C62A-4CE7-99D3-5093FA7E975F}"/>
    <cellStyle name="Normal 2 5 4 3 5 2 5" xfId="12739" xr:uid="{90409C2A-8237-4B35-B324-2DE25E93A7FD}"/>
    <cellStyle name="Normal 2 5 4 3 5 3" xfId="6362" xr:uid="{00000000-0005-0000-0000-00004E110000}"/>
    <cellStyle name="Normal 2 5 4 3 5 3 2" xfId="31694" xr:uid="{ACFD2AE1-A284-4AD1-9220-6D86E9DDC681}"/>
    <cellStyle name="Normal 2 5 4 3 5 3 3" xfId="23253" xr:uid="{1D7D73F5-8E6A-46F6-86CC-568D9F0E18B2}"/>
    <cellStyle name="Normal 2 5 4 3 5 3 4" xfId="14812" xr:uid="{A29E15C7-F121-4A73-8482-B6286E3129EC}"/>
    <cellStyle name="Normal 2 5 4 3 5 4" xfId="27476" xr:uid="{38FFE2D0-60C2-4F4D-B7E9-3CF6D04B9790}"/>
    <cellStyle name="Normal 2 5 4 3 5 5" xfId="19035" xr:uid="{DFDBF0C9-B240-4071-BF02-80B2C5A56B45}"/>
    <cellStyle name="Normal 2 5 4 3 5 6" xfId="10594" xr:uid="{377E2B67-3966-4E03-96D0-A8BA788C26AB}"/>
    <cellStyle name="Normal 2 5 4 3 6" xfId="2492" xr:uid="{00000000-0005-0000-0000-00004F110000}"/>
    <cellStyle name="Normal 2 5 4 3 6 2" xfId="6775" xr:uid="{00000000-0005-0000-0000-000050110000}"/>
    <cellStyle name="Normal 2 5 4 3 6 2 2" xfId="32107" xr:uid="{8ED00E26-4BC5-4065-8A88-20078499109C}"/>
    <cellStyle name="Normal 2 5 4 3 6 2 3" xfId="23666" xr:uid="{A84034C9-7FB2-4CB7-B81D-D7DF56F51B57}"/>
    <cellStyle name="Normal 2 5 4 3 6 2 4" xfId="15225" xr:uid="{A287319E-25E1-458E-BDAB-68A0F45C5D2D}"/>
    <cellStyle name="Normal 2 5 4 3 6 3" xfId="27889" xr:uid="{91C2B5E8-1BD9-41AF-AEEA-3FCA5CE79220}"/>
    <cellStyle name="Normal 2 5 4 3 6 4" xfId="19448" xr:uid="{DA9471DA-665D-4A06-B5AF-40513DF71D37}"/>
    <cellStyle name="Normal 2 5 4 3 6 5" xfId="11007" xr:uid="{FDD167C0-1109-4AC5-A10A-4C367A7A8034}"/>
    <cellStyle name="Normal 2 5 4 3 7" xfId="4709" xr:uid="{00000000-0005-0000-0000-000051110000}"/>
    <cellStyle name="Normal 2 5 4 3 7 2" xfId="30041" xr:uid="{2A6DC076-E1C2-4DD7-8D75-DA30097C5339}"/>
    <cellStyle name="Normal 2 5 4 3 7 3" xfId="21600" xr:uid="{04F3FB91-FB6A-4B60-9335-A741DBD906E5}"/>
    <cellStyle name="Normal 2 5 4 3 7 4" xfId="13159" xr:uid="{9379B867-3837-42F1-B0C1-AC645BA5BB6B}"/>
    <cellStyle name="Normal 2 5 4 3 8" xfId="25823" xr:uid="{55C32DD6-C0D5-4F9B-AC5D-1CF131B1B99C}"/>
    <cellStyle name="Normal 2 5 4 3 9" xfId="17382" xr:uid="{8976E939-F22D-4DFE-9F62-12782184E10A}"/>
    <cellStyle name="Normal 2 5 4 4" xfId="804" xr:uid="{00000000-0005-0000-0000-000052110000}"/>
    <cellStyle name="Normal 2 5 4 4 2" xfId="3043" xr:uid="{00000000-0005-0000-0000-000053110000}"/>
    <cellStyle name="Normal 2 5 4 4 2 2" xfId="7265" xr:uid="{00000000-0005-0000-0000-000054110000}"/>
    <cellStyle name="Normal 2 5 4 4 2 2 2" xfId="32597" xr:uid="{E8232134-2ABD-4B59-83CB-87ECEE89C47E}"/>
    <cellStyle name="Normal 2 5 4 4 2 2 3" xfId="24156" xr:uid="{4213F918-967C-4626-9DDE-4D97FE1E8597}"/>
    <cellStyle name="Normal 2 5 4 4 2 2 4" xfId="15715" xr:uid="{C57D323E-3F2D-48F9-8667-689B539C1914}"/>
    <cellStyle name="Normal 2 5 4 4 2 3" xfId="28379" xr:uid="{3DC10106-1217-4A26-B18E-473D375E5925}"/>
    <cellStyle name="Normal 2 5 4 4 2 4" xfId="19938" xr:uid="{A1BEAB24-AF07-455E-8F2F-FF6ED307760F}"/>
    <cellStyle name="Normal 2 5 4 4 2 5" xfId="11497" xr:uid="{222DB713-76B5-4E1E-9AD2-2209F4C96B42}"/>
    <cellStyle name="Normal 2 5 4 4 3" xfId="5120" xr:uid="{00000000-0005-0000-0000-000055110000}"/>
    <cellStyle name="Normal 2 5 4 4 3 2" xfId="30452" xr:uid="{E6BA5B9E-EC5D-4BB5-BE50-DBBF04774A22}"/>
    <cellStyle name="Normal 2 5 4 4 3 3" xfId="22011" xr:uid="{93BEB40D-EDE9-4B46-BE0C-EB2801E8E33A}"/>
    <cellStyle name="Normal 2 5 4 4 3 4" xfId="13570" xr:uid="{885CF2F3-AA56-42CA-8688-A349ACDEEF17}"/>
    <cellStyle name="Normal 2 5 4 4 4" xfId="26234" xr:uid="{446695D4-2156-4734-8095-AAFCEA1F4268}"/>
    <cellStyle name="Normal 2 5 4 4 5" xfId="17793" xr:uid="{43B213D0-B379-488C-A023-9CCFFB843BCD}"/>
    <cellStyle name="Normal 2 5 4 4 6" xfId="9352" xr:uid="{E0B9D921-3D53-4846-BEA9-AC584BD98DEF}"/>
    <cellStyle name="Normal 2 5 4 5" xfId="1226" xr:uid="{00000000-0005-0000-0000-000056110000}"/>
    <cellStyle name="Normal 2 5 4 5 2" xfId="3456" xr:uid="{00000000-0005-0000-0000-000057110000}"/>
    <cellStyle name="Normal 2 5 4 5 2 2" xfId="7678" xr:uid="{00000000-0005-0000-0000-000058110000}"/>
    <cellStyle name="Normal 2 5 4 5 2 2 2" xfId="33010" xr:uid="{9B28F69E-BF67-460C-8976-8022E3FC560E}"/>
    <cellStyle name="Normal 2 5 4 5 2 2 3" xfId="24569" xr:uid="{560AD304-EF2C-4EE8-AE6C-E42C83490044}"/>
    <cellStyle name="Normal 2 5 4 5 2 2 4" xfId="16128" xr:uid="{E2EAED8B-E7FB-46C5-AAD9-988C8FE966AD}"/>
    <cellStyle name="Normal 2 5 4 5 2 3" xfId="28792" xr:uid="{1AC3F13E-2436-464C-A602-C1F518F099CF}"/>
    <cellStyle name="Normal 2 5 4 5 2 4" xfId="20351" xr:uid="{68E106F0-A5A0-4714-B706-BF83E934419E}"/>
    <cellStyle name="Normal 2 5 4 5 2 5" xfId="11910" xr:uid="{A06D53B9-7EE5-427B-AB4B-52AFF776798B}"/>
    <cellStyle name="Normal 2 5 4 5 3" xfId="5533" xr:uid="{00000000-0005-0000-0000-000059110000}"/>
    <cellStyle name="Normal 2 5 4 5 3 2" xfId="30865" xr:uid="{B58CB7E8-4F76-487F-9AFC-0B960C2A5D17}"/>
    <cellStyle name="Normal 2 5 4 5 3 3" xfId="22424" xr:uid="{E6046A44-0F2D-453C-B28D-072B94A1A59D}"/>
    <cellStyle name="Normal 2 5 4 5 3 4" xfId="13983" xr:uid="{D3B42225-C774-443F-8EA9-3A953965B0B1}"/>
    <cellStyle name="Normal 2 5 4 5 4" xfId="26647" xr:uid="{0909B1D6-C4A7-4AA5-9CE8-F76971C36BD4}"/>
    <cellStyle name="Normal 2 5 4 5 5" xfId="18206" xr:uid="{36569103-D21E-4BAC-9E38-1E28540D43F4}"/>
    <cellStyle name="Normal 2 5 4 5 6" xfId="9765" xr:uid="{B872B5B1-14A4-4FE4-B58B-607A45297503}"/>
    <cellStyle name="Normal 2 5 4 6" xfId="1639" xr:uid="{00000000-0005-0000-0000-00005A110000}"/>
    <cellStyle name="Normal 2 5 4 6 2" xfId="3869" xr:uid="{00000000-0005-0000-0000-00005B110000}"/>
    <cellStyle name="Normal 2 5 4 6 2 2" xfId="8091" xr:uid="{00000000-0005-0000-0000-00005C110000}"/>
    <cellStyle name="Normal 2 5 4 6 2 2 2" xfId="33423" xr:uid="{B8C095A3-B891-448B-A04E-1FB23988C49D}"/>
    <cellStyle name="Normal 2 5 4 6 2 2 3" xfId="24982" xr:uid="{52245692-4796-4AAE-836D-E57124A12442}"/>
    <cellStyle name="Normal 2 5 4 6 2 2 4" xfId="16541" xr:uid="{B7DBAA2E-8A8B-49E9-ADF6-B354DB7CD3C3}"/>
    <cellStyle name="Normal 2 5 4 6 2 3" xfId="29205" xr:uid="{EC5B3659-56DE-4773-B1C2-86A92E4FC0DF}"/>
    <cellStyle name="Normal 2 5 4 6 2 4" xfId="20764" xr:uid="{CF28DC2B-9812-4CC1-AE3E-68F325493D76}"/>
    <cellStyle name="Normal 2 5 4 6 2 5" xfId="12323" xr:uid="{78E93FA0-1F9A-4846-885B-8AA5571B37BD}"/>
    <cellStyle name="Normal 2 5 4 6 3" xfId="5946" xr:uid="{00000000-0005-0000-0000-00005D110000}"/>
    <cellStyle name="Normal 2 5 4 6 3 2" xfId="31278" xr:uid="{7B0F18A6-E784-4C2B-9C45-9E7DA4F09163}"/>
    <cellStyle name="Normal 2 5 4 6 3 3" xfId="22837" xr:uid="{E7CAACAF-285F-446A-93AA-F22A932D1F65}"/>
    <cellStyle name="Normal 2 5 4 6 3 4" xfId="14396" xr:uid="{CC27B3F3-A0F2-4E9B-AB50-AF2C76765183}"/>
    <cellStyle name="Normal 2 5 4 6 4" xfId="27060" xr:uid="{3B6B2B4E-F0AC-4437-B870-3257774EAE75}"/>
    <cellStyle name="Normal 2 5 4 6 5" xfId="18619" xr:uid="{986FA936-9194-4663-A04C-299D1F4E8517}"/>
    <cellStyle name="Normal 2 5 4 6 6" xfId="10178" xr:uid="{2F4A3B4D-45BA-46DD-BC46-679B434736BD}"/>
    <cellStyle name="Normal 2 5 4 7" xfId="2053" xr:uid="{00000000-0005-0000-0000-00005E110000}"/>
    <cellStyle name="Normal 2 5 4 7 2" xfId="4282" xr:uid="{00000000-0005-0000-0000-00005F110000}"/>
    <cellStyle name="Normal 2 5 4 7 2 2" xfId="8504" xr:uid="{00000000-0005-0000-0000-000060110000}"/>
    <cellStyle name="Normal 2 5 4 7 2 2 2" xfId="33836" xr:uid="{5337A1C9-D6AC-44A4-B939-408E8DFFAD30}"/>
    <cellStyle name="Normal 2 5 4 7 2 2 3" xfId="25395" xr:uid="{E902220E-17B0-4535-AC76-6C247B58EA9E}"/>
    <cellStyle name="Normal 2 5 4 7 2 2 4" xfId="16954" xr:uid="{F0602EEA-F719-4C32-B3DE-FE1432A0D02F}"/>
    <cellStyle name="Normal 2 5 4 7 2 3" xfId="29618" xr:uid="{DF5832FE-7676-4EF0-9B21-AD35CF7D1096}"/>
    <cellStyle name="Normal 2 5 4 7 2 4" xfId="21177" xr:uid="{C76FBDCE-17B0-4ED5-870C-55255D0A19DF}"/>
    <cellStyle name="Normal 2 5 4 7 2 5" xfId="12736" xr:uid="{70B61256-C12E-4507-A9A6-EA58A84DB9EF}"/>
    <cellStyle name="Normal 2 5 4 7 3" xfId="6359" xr:uid="{00000000-0005-0000-0000-000061110000}"/>
    <cellStyle name="Normal 2 5 4 7 3 2" xfId="31691" xr:uid="{9A3A5A64-F599-4E76-95BA-54C6E73BE691}"/>
    <cellStyle name="Normal 2 5 4 7 3 3" xfId="23250" xr:uid="{06EF18EF-6619-4078-8382-3AA2DEF8E343}"/>
    <cellStyle name="Normal 2 5 4 7 3 4" xfId="14809" xr:uid="{A746D5F7-7C0D-4029-A0F2-7A01276E0F07}"/>
    <cellStyle name="Normal 2 5 4 7 4" xfId="27473" xr:uid="{8E290B7A-6063-4F77-A9D6-76A08C0B087B}"/>
    <cellStyle name="Normal 2 5 4 7 5" xfId="19032" xr:uid="{AB72EAEF-D7FF-4279-BA94-EA0B7D5764A6}"/>
    <cellStyle name="Normal 2 5 4 7 6" xfId="10591" xr:uid="{CF1ABCE5-50F6-4007-926F-C1D5EAB4ED4F}"/>
    <cellStyle name="Normal 2 5 4 8" xfId="2489" xr:uid="{00000000-0005-0000-0000-000062110000}"/>
    <cellStyle name="Normal 2 5 4 8 2" xfId="6772" xr:uid="{00000000-0005-0000-0000-000063110000}"/>
    <cellStyle name="Normal 2 5 4 8 2 2" xfId="32104" xr:uid="{0B13F0A8-0908-4FAD-9E3C-83DC24430FEF}"/>
    <cellStyle name="Normal 2 5 4 8 2 3" xfId="23663" xr:uid="{C0B16976-4803-41E8-B073-F303B5D6EFD5}"/>
    <cellStyle name="Normal 2 5 4 8 2 4" xfId="15222" xr:uid="{A9D22315-1F4D-43BD-85B9-1D0A87DE78A1}"/>
    <cellStyle name="Normal 2 5 4 8 3" xfId="27886" xr:uid="{27FF1816-3CB5-44DC-B405-E01CEDFE72E6}"/>
    <cellStyle name="Normal 2 5 4 8 4" xfId="19445" xr:uid="{6B3C3965-912A-4330-A2E7-0099404D7792}"/>
    <cellStyle name="Normal 2 5 4 8 5" xfId="11004" xr:uid="{98298264-1AB3-4F4E-96F3-E61EC68A012E}"/>
    <cellStyle name="Normal 2 5 4 9" xfId="4706" xr:uid="{00000000-0005-0000-0000-000064110000}"/>
    <cellStyle name="Normal 2 5 4 9 2" xfId="30038" xr:uid="{8EEC7746-6558-4991-A650-60409A714568}"/>
    <cellStyle name="Normal 2 5 4 9 3" xfId="21597" xr:uid="{256B3327-BC90-4502-98C7-20D717EC3E00}"/>
    <cellStyle name="Normal 2 5 4 9 4" xfId="13156" xr:uid="{F88C9698-F55C-4AC1-B06D-2CC642AF55E9}"/>
    <cellStyle name="Normal 2 5 5" xfId="803" xr:uid="{00000000-0005-0000-0000-000065110000}"/>
    <cellStyle name="Normal 2 5 5 2" xfId="3042" xr:uid="{00000000-0005-0000-0000-000066110000}"/>
    <cellStyle name="Normal 2 5 5 2 2" xfId="7264" xr:uid="{00000000-0005-0000-0000-000067110000}"/>
    <cellStyle name="Normal 2 5 5 2 2 2" xfId="32596" xr:uid="{30998D5F-956E-4ED1-B3C0-BF71B83A0C17}"/>
    <cellStyle name="Normal 2 5 5 2 2 3" xfId="24155" xr:uid="{1646819D-2FF7-4919-9D69-C4978E77D8A1}"/>
    <cellStyle name="Normal 2 5 5 2 2 4" xfId="15714" xr:uid="{2351EDAD-41AD-40FA-BD25-263B04EE42E9}"/>
    <cellStyle name="Normal 2 5 5 2 3" xfId="28378" xr:uid="{A22F727C-67BE-457B-801C-13250ED73080}"/>
    <cellStyle name="Normal 2 5 5 2 4" xfId="19937" xr:uid="{7B7F0AFA-9135-4C8D-B4BA-B5CD83C16379}"/>
    <cellStyle name="Normal 2 5 5 2 5" xfId="11496" xr:uid="{D6E53D3D-2ADD-42EE-90F6-C05139F4D62D}"/>
    <cellStyle name="Normal 2 5 5 3" xfId="5119" xr:uid="{00000000-0005-0000-0000-000068110000}"/>
    <cellStyle name="Normal 2 5 5 3 2" xfId="30451" xr:uid="{CA605502-8BA0-422E-8FA2-E55C4DFCA4E6}"/>
    <cellStyle name="Normal 2 5 5 3 3" xfId="22010" xr:uid="{694B384F-C4A7-495F-ACFC-CC1B65ED4433}"/>
    <cellStyle name="Normal 2 5 5 3 4" xfId="13569" xr:uid="{793DDD23-42DA-4230-B94D-22AED4F5E178}"/>
    <cellStyle name="Normal 2 5 5 4" xfId="26233" xr:uid="{B9012087-A1BB-4C90-930D-BEAAF99E7DF8}"/>
    <cellStyle name="Normal 2 5 5 5" xfId="17792" xr:uid="{3DA28D2B-51E9-40A3-A0A3-17DD1F3E9EBE}"/>
    <cellStyle name="Normal 2 5 5 6" xfId="9351" xr:uid="{9E5AB984-2628-4A2F-A48D-F195A6CDBBA4}"/>
    <cellStyle name="Normal 2 5 6" xfId="1225" xr:uid="{00000000-0005-0000-0000-000069110000}"/>
    <cellStyle name="Normal 2 5 6 2" xfId="3455" xr:uid="{00000000-0005-0000-0000-00006A110000}"/>
    <cellStyle name="Normal 2 5 6 2 2" xfId="7677" xr:uid="{00000000-0005-0000-0000-00006B110000}"/>
    <cellStyle name="Normal 2 5 6 2 2 2" xfId="33009" xr:uid="{D074BB0C-F335-4772-889A-63EA12A97829}"/>
    <cellStyle name="Normal 2 5 6 2 2 3" xfId="24568" xr:uid="{028171BD-9845-496F-ABF2-DFE55C4A179F}"/>
    <cellStyle name="Normal 2 5 6 2 2 4" xfId="16127" xr:uid="{7551485B-CB06-4081-B188-46DE79F614F3}"/>
    <cellStyle name="Normal 2 5 6 2 3" xfId="28791" xr:uid="{83028FA5-2F13-4ABC-9CCF-77704DD91C9C}"/>
    <cellStyle name="Normal 2 5 6 2 4" xfId="20350" xr:uid="{37EB331E-3A8D-45DD-93BF-8FAFA7C5201E}"/>
    <cellStyle name="Normal 2 5 6 2 5" xfId="11909" xr:uid="{31BE0988-F801-4893-A283-50B17E2A849A}"/>
    <cellStyle name="Normal 2 5 6 3" xfId="5532" xr:uid="{00000000-0005-0000-0000-00006C110000}"/>
    <cellStyle name="Normal 2 5 6 3 2" xfId="30864" xr:uid="{31A99B8A-563E-4A6F-81EC-0AA405E6A560}"/>
    <cellStyle name="Normal 2 5 6 3 3" xfId="22423" xr:uid="{0E6BE58B-E595-436D-8ECE-1BE5C6ACD025}"/>
    <cellStyle name="Normal 2 5 6 3 4" xfId="13982" xr:uid="{186FB6A0-CAF4-4161-9268-E02433E3FDA1}"/>
    <cellStyle name="Normal 2 5 6 4" xfId="26646" xr:uid="{9DE79FCD-8DF0-4B8C-87FE-5D797367CFDC}"/>
    <cellStyle name="Normal 2 5 6 5" xfId="18205" xr:uid="{61091AA8-8BB5-45AB-8DE7-27FEAB7F76BF}"/>
    <cellStyle name="Normal 2 5 6 6" xfId="9764" xr:uid="{6D6CAD2F-2009-4235-9C93-4EB3289AAFB1}"/>
    <cellStyle name="Normal 2 5 7" xfId="1638" xr:uid="{00000000-0005-0000-0000-00006D110000}"/>
    <cellStyle name="Normal 2 5 7 2" xfId="3868" xr:uid="{00000000-0005-0000-0000-00006E110000}"/>
    <cellStyle name="Normal 2 5 7 2 2" xfId="8090" xr:uid="{00000000-0005-0000-0000-00006F110000}"/>
    <cellStyle name="Normal 2 5 7 2 2 2" xfId="33422" xr:uid="{FB533A9D-5BE5-4872-833D-36BF88D9BDDE}"/>
    <cellStyle name="Normal 2 5 7 2 2 3" xfId="24981" xr:uid="{A53739AB-9A6B-4381-BE50-44959610D0B9}"/>
    <cellStyle name="Normal 2 5 7 2 2 4" xfId="16540" xr:uid="{C807FB37-2518-4F99-A45F-AE7525E1A42C}"/>
    <cellStyle name="Normal 2 5 7 2 3" xfId="29204" xr:uid="{26B6024D-B6D3-4B37-AE65-8B6EF46A2ECB}"/>
    <cellStyle name="Normal 2 5 7 2 4" xfId="20763" xr:uid="{5514118C-A32D-4D3D-95BD-6119305FEFE7}"/>
    <cellStyle name="Normal 2 5 7 2 5" xfId="12322" xr:uid="{6D899AA6-8335-449A-BA87-EDCFF97F1A2F}"/>
    <cellStyle name="Normal 2 5 7 3" xfId="5945" xr:uid="{00000000-0005-0000-0000-000070110000}"/>
    <cellStyle name="Normal 2 5 7 3 2" xfId="31277" xr:uid="{249CACA4-D076-4A5A-AC8C-3B7D08508063}"/>
    <cellStyle name="Normal 2 5 7 3 3" xfId="22836" xr:uid="{80F3EA48-CA4B-43B8-8A1A-4FBE71102425}"/>
    <cellStyle name="Normal 2 5 7 3 4" xfId="14395" xr:uid="{7E58C758-72E2-4671-975D-F4384A2E7BF1}"/>
    <cellStyle name="Normal 2 5 7 4" xfId="27059" xr:uid="{0422D11F-3FB8-4B12-BA59-DD5D67F7CB01}"/>
    <cellStyle name="Normal 2 5 7 5" xfId="18618" xr:uid="{347D1DC1-80B1-46CE-99EA-CC0280D62676}"/>
    <cellStyle name="Normal 2 5 7 6" xfId="10177" xr:uid="{4A9054DE-7526-4898-9E83-8D169D9A221B}"/>
    <cellStyle name="Normal 2 5 8" xfId="2052" xr:uid="{00000000-0005-0000-0000-000071110000}"/>
    <cellStyle name="Normal 2 5 8 2" xfId="4281" xr:uid="{00000000-0005-0000-0000-000072110000}"/>
    <cellStyle name="Normal 2 5 8 2 2" xfId="8503" xr:uid="{00000000-0005-0000-0000-000073110000}"/>
    <cellStyle name="Normal 2 5 8 2 2 2" xfId="33835" xr:uid="{1BAD9145-A76E-4899-8F37-24BB1EA20B6C}"/>
    <cellStyle name="Normal 2 5 8 2 2 3" xfId="25394" xr:uid="{79616E2C-7A3C-466F-B24A-5476A594F691}"/>
    <cellStyle name="Normal 2 5 8 2 2 4" xfId="16953" xr:uid="{5DFF9A7E-9BDD-4E66-A406-BAEE486E3349}"/>
    <cellStyle name="Normal 2 5 8 2 3" xfId="29617" xr:uid="{5877E915-1ECA-4ABC-BD9D-72EC395190E5}"/>
    <cellStyle name="Normal 2 5 8 2 4" xfId="21176" xr:uid="{818D100F-C483-4C32-8986-EF72984F8FB2}"/>
    <cellStyle name="Normal 2 5 8 2 5" xfId="12735" xr:uid="{2FF47789-2D08-44A4-BB92-5B4136CC469E}"/>
    <cellStyle name="Normal 2 5 8 3" xfId="6358" xr:uid="{00000000-0005-0000-0000-000074110000}"/>
    <cellStyle name="Normal 2 5 8 3 2" xfId="31690" xr:uid="{B4628EC1-381E-4613-BCFE-D41A1DE33D40}"/>
    <cellStyle name="Normal 2 5 8 3 3" xfId="23249" xr:uid="{1969AE31-1D35-44B1-8052-E17065DC988F}"/>
    <cellStyle name="Normal 2 5 8 3 4" xfId="14808" xr:uid="{90E64ED2-E511-4751-9941-7811A6A73954}"/>
    <cellStyle name="Normal 2 5 8 4" xfId="27472" xr:uid="{F2D5D4F2-272C-4155-9885-A98695250552}"/>
    <cellStyle name="Normal 2 5 8 5" xfId="19031" xr:uid="{524E2F71-C0E1-45D9-BC4C-A9C2BE18A770}"/>
    <cellStyle name="Normal 2 5 8 6" xfId="10590" xr:uid="{A8B2FA88-6ABB-4746-8E56-4A8F47D9ECEB}"/>
    <cellStyle name="Normal 2 5 9" xfId="2488" xr:uid="{00000000-0005-0000-0000-000075110000}"/>
    <cellStyle name="Normal 2 5 9 2" xfId="6771" xr:uid="{00000000-0005-0000-0000-000076110000}"/>
    <cellStyle name="Normal 2 5 9 2 2" xfId="32103" xr:uid="{3377387C-E6F5-465A-9248-F54A6CC6DDB2}"/>
    <cellStyle name="Normal 2 5 9 2 3" xfId="23662" xr:uid="{D4285F32-4F10-4E88-89E5-FEBFDE733AA4}"/>
    <cellStyle name="Normal 2 5 9 2 4" xfId="15221" xr:uid="{420AE9A2-E963-446D-BFE8-7F0DB6A489D8}"/>
    <cellStyle name="Normal 2 5 9 3" xfId="27885" xr:uid="{8F98E2C8-5D71-4926-BA6F-50D542971C7B}"/>
    <cellStyle name="Normal 2 5 9 4" xfId="19444" xr:uid="{CA8B1230-252A-4B31-B977-6ED0F59861C1}"/>
    <cellStyle name="Normal 2 5 9 5" xfId="11003" xr:uid="{D52D9A50-C045-4751-8297-FA4B194B5684}"/>
    <cellStyle name="Normal 2 6" xfId="322" xr:uid="{00000000-0005-0000-0000-000077110000}"/>
    <cellStyle name="Normal 2 7" xfId="769" xr:uid="{00000000-0005-0000-0000-000078110000}"/>
    <cellStyle name="Normal 2 8" xfId="4495" xr:uid="{00000000-0005-0000-0000-000079110000}"/>
    <cellStyle name="Normal 2 8 2" xfId="29829" xr:uid="{C93EF885-419F-4F5E-9FA0-621014375484}"/>
    <cellStyle name="Normal 2 8 3" xfId="21388" xr:uid="{287720D1-3128-46A3-B1FE-F547948505E2}"/>
    <cellStyle name="Normal 2 8 4" xfId="12947" xr:uid="{F558AAC1-D775-4C9C-B13B-4EB4DC07B424}"/>
    <cellStyle name="Normal 3" xfId="323" xr:uid="{00000000-0005-0000-0000-00007A110000}"/>
    <cellStyle name="Normal 3 2" xfId="324" xr:uid="{00000000-0005-0000-0000-00007B110000}"/>
    <cellStyle name="Normal 3 2 10" xfId="25824" xr:uid="{EF315C86-3B1A-49D4-9587-8F3AC4640F3B}"/>
    <cellStyle name="Normal 3 2 11" xfId="17383" xr:uid="{F1970F04-6883-4D6D-8942-A15A33873069}"/>
    <cellStyle name="Normal 3 2 12" xfId="8942" xr:uid="{574CDE8F-E3CE-4CB6-987D-8B04933B4AAD}"/>
    <cellStyle name="Normal 3 2 2" xfId="325" xr:uid="{00000000-0005-0000-0000-00007C110000}"/>
    <cellStyle name="Normal 3 2 2 2" xfId="810" xr:uid="{00000000-0005-0000-0000-00007D110000}"/>
    <cellStyle name="Normal 3 2 3" xfId="326" xr:uid="{00000000-0005-0000-0000-00007E110000}"/>
    <cellStyle name="Normal 3 2 3 10" xfId="25825" xr:uid="{E34CB4D4-F8BB-4851-B821-F60D3A7434AB}"/>
    <cellStyle name="Normal 3 2 3 11" xfId="17384" xr:uid="{76354E48-A1A7-48B3-A635-C3EF848CE68E}"/>
    <cellStyle name="Normal 3 2 3 12" xfId="8943" xr:uid="{41753B69-8073-4B6D-8EA4-C533BC44E2CC}"/>
    <cellStyle name="Normal 3 2 3 2" xfId="327" xr:uid="{00000000-0005-0000-0000-00007F110000}"/>
    <cellStyle name="Normal 3 2 3 2 10" xfId="17385" xr:uid="{6EB5FB53-9338-40AB-8ABA-3EE710B00656}"/>
    <cellStyle name="Normal 3 2 3 2 11" xfId="8944" xr:uid="{5900CCC5-0070-4C2A-BD14-A4FD17BD3515}"/>
    <cellStyle name="Normal 3 2 3 2 2" xfId="328" xr:uid="{00000000-0005-0000-0000-000080110000}"/>
    <cellStyle name="Normal 3 2 3 2 2 10" xfId="8945" xr:uid="{E9709003-4774-4F52-8F00-ADFE90863713}"/>
    <cellStyle name="Normal 3 2 3 2 2 2" xfId="813" xr:uid="{00000000-0005-0000-0000-000081110000}"/>
    <cellStyle name="Normal 3 2 3 2 2 2 2" xfId="3050" xr:uid="{00000000-0005-0000-0000-000082110000}"/>
    <cellStyle name="Normal 3 2 3 2 2 2 2 2" xfId="7272" xr:uid="{00000000-0005-0000-0000-000083110000}"/>
    <cellStyle name="Normal 3 2 3 2 2 2 2 2 2" xfId="32604" xr:uid="{88BD71EF-AE00-4068-AF5A-72BF21F9E8B2}"/>
    <cellStyle name="Normal 3 2 3 2 2 2 2 2 3" xfId="24163" xr:uid="{077E66CC-701C-4535-A383-FCC5E235E7E7}"/>
    <cellStyle name="Normal 3 2 3 2 2 2 2 2 4" xfId="15722" xr:uid="{1F4C397D-DFD5-46E4-8CA4-514E0055ACFA}"/>
    <cellStyle name="Normal 3 2 3 2 2 2 2 3" xfId="28386" xr:uid="{5F2F9896-7ABE-43A7-B9FF-723F3EE12D51}"/>
    <cellStyle name="Normal 3 2 3 2 2 2 2 4" xfId="19945" xr:uid="{721B29BD-EA08-4B0C-B845-C1FE061B6E78}"/>
    <cellStyle name="Normal 3 2 3 2 2 2 2 5" xfId="11504" xr:uid="{39C10B73-1049-4AA0-B315-91555FA1023A}"/>
    <cellStyle name="Normal 3 2 3 2 2 2 3" xfId="5127" xr:uid="{00000000-0005-0000-0000-000084110000}"/>
    <cellStyle name="Normal 3 2 3 2 2 2 3 2" xfId="30459" xr:uid="{F2BAEF60-6C38-4436-8251-500B0B76D0C7}"/>
    <cellStyle name="Normal 3 2 3 2 2 2 3 3" xfId="22018" xr:uid="{884C8ED5-FA99-4784-843E-6393BB1D7209}"/>
    <cellStyle name="Normal 3 2 3 2 2 2 3 4" xfId="13577" xr:uid="{A636F5E9-76F7-4ACF-8D7A-44DD03301FF3}"/>
    <cellStyle name="Normal 3 2 3 2 2 2 4" xfId="26241" xr:uid="{EC130344-3F80-4C50-AC9D-BA1F27C49CCE}"/>
    <cellStyle name="Normal 3 2 3 2 2 2 5" xfId="17800" xr:uid="{A9EE3BCE-A8D8-46F7-809A-761B39402C60}"/>
    <cellStyle name="Normal 3 2 3 2 2 2 6" xfId="9359" xr:uid="{B7856432-E60F-4051-8751-8F2F90B52888}"/>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2 2 2" xfId="33017" xr:uid="{CCAF5435-78E1-4EFF-B76A-0913EE83001C}"/>
    <cellStyle name="Normal 3 2 3 2 2 3 2 2 3" xfId="24576" xr:uid="{7B0CF670-49D8-4ECD-BDF0-DEE7234C3E2A}"/>
    <cellStyle name="Normal 3 2 3 2 2 3 2 2 4" xfId="16135" xr:uid="{8E5E606E-8917-49CC-AA2F-91F4E90F438A}"/>
    <cellStyle name="Normal 3 2 3 2 2 3 2 3" xfId="28799" xr:uid="{915D60AA-E1A2-4AA5-8FAC-1BAB6A9D3E66}"/>
    <cellStyle name="Normal 3 2 3 2 2 3 2 4" xfId="20358" xr:uid="{7E9C9F61-71BB-49FE-96CC-488445493ECB}"/>
    <cellStyle name="Normal 3 2 3 2 2 3 2 5" xfId="11917" xr:uid="{47D75E4D-2412-4760-9C09-F607C1E43E4A}"/>
    <cellStyle name="Normal 3 2 3 2 2 3 3" xfId="5540" xr:uid="{00000000-0005-0000-0000-000088110000}"/>
    <cellStyle name="Normal 3 2 3 2 2 3 3 2" xfId="30872" xr:uid="{D471F479-9972-4DAA-BF77-E4D360D43EEA}"/>
    <cellStyle name="Normal 3 2 3 2 2 3 3 3" xfId="22431" xr:uid="{CB546C6A-2A6B-49A1-8A3D-51FB9BE36257}"/>
    <cellStyle name="Normal 3 2 3 2 2 3 3 4" xfId="13990" xr:uid="{602CCD05-758F-497D-99F5-54ACF61EF9BA}"/>
    <cellStyle name="Normal 3 2 3 2 2 3 4" xfId="26654" xr:uid="{6AFF51B2-5E22-4007-BC99-CE514BFA1A7B}"/>
    <cellStyle name="Normal 3 2 3 2 2 3 5" xfId="18213" xr:uid="{E3928AFD-0B44-4377-ACB3-9ED9DA3F31D5}"/>
    <cellStyle name="Normal 3 2 3 2 2 3 6" xfId="9772" xr:uid="{AE9ED61D-29E1-42BE-8C64-207B356CD3D1}"/>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2 2 2" xfId="33430" xr:uid="{0ABF04B6-0F10-428F-872E-36CEAD53773D}"/>
    <cellStyle name="Normal 3 2 3 2 2 4 2 2 3" xfId="24989" xr:uid="{70E4B079-BCE4-49E4-9933-B1E6DDFC4CB4}"/>
    <cellStyle name="Normal 3 2 3 2 2 4 2 2 4" xfId="16548" xr:uid="{8E9DFBA8-78B7-4829-B1C7-796D1E6C92CE}"/>
    <cellStyle name="Normal 3 2 3 2 2 4 2 3" xfId="29212" xr:uid="{1CC01956-1D7B-4ED5-847F-34C3B0D9FE4A}"/>
    <cellStyle name="Normal 3 2 3 2 2 4 2 4" xfId="20771" xr:uid="{614362A5-AF0C-4C9E-8C91-9C3ACE2C7519}"/>
    <cellStyle name="Normal 3 2 3 2 2 4 2 5" xfId="12330" xr:uid="{246A0B57-A0A0-4F90-AF23-A9661A87A65B}"/>
    <cellStyle name="Normal 3 2 3 2 2 4 3" xfId="5953" xr:uid="{00000000-0005-0000-0000-00008C110000}"/>
    <cellStyle name="Normal 3 2 3 2 2 4 3 2" xfId="31285" xr:uid="{C5E112E7-55E5-46AA-BE6F-A18E522B9E35}"/>
    <cellStyle name="Normal 3 2 3 2 2 4 3 3" xfId="22844" xr:uid="{99312925-6EF8-49E2-B601-993E647BAFD7}"/>
    <cellStyle name="Normal 3 2 3 2 2 4 3 4" xfId="14403" xr:uid="{CF9C4B40-DA14-4F54-85C8-D894490DDAF8}"/>
    <cellStyle name="Normal 3 2 3 2 2 4 4" xfId="27067" xr:uid="{BD7B42E8-31C6-47C5-92FC-90E6B28CB858}"/>
    <cellStyle name="Normal 3 2 3 2 2 4 5" xfId="18626" xr:uid="{2FFA9454-FF73-40A1-AED7-E38245D46490}"/>
    <cellStyle name="Normal 3 2 3 2 2 4 6" xfId="10185" xr:uid="{5AFA2D88-D6F9-414F-9E01-4E381E1039D7}"/>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2 2 2" xfId="33843" xr:uid="{4F4FD7AD-6EE9-42F7-84F9-2F35F6601101}"/>
    <cellStyle name="Normal 3 2 3 2 2 5 2 2 3" xfId="25402" xr:uid="{16C96FAD-6FD4-415B-8930-BAA9B5113BB7}"/>
    <cellStyle name="Normal 3 2 3 2 2 5 2 2 4" xfId="16961" xr:uid="{43268756-256A-483B-85E3-24AADF340B23}"/>
    <cellStyle name="Normal 3 2 3 2 2 5 2 3" xfId="29625" xr:uid="{C8D2D944-0AC1-4B2C-B59B-1F7D3C78911E}"/>
    <cellStyle name="Normal 3 2 3 2 2 5 2 4" xfId="21184" xr:uid="{6A928A46-4290-4978-BCDC-58FDD1EDE789}"/>
    <cellStyle name="Normal 3 2 3 2 2 5 2 5" xfId="12743" xr:uid="{ACE9FDA0-46AB-4251-9384-6251916047C9}"/>
    <cellStyle name="Normal 3 2 3 2 2 5 3" xfId="6366" xr:uid="{00000000-0005-0000-0000-000090110000}"/>
    <cellStyle name="Normal 3 2 3 2 2 5 3 2" xfId="31698" xr:uid="{0175899C-50BA-4C92-945C-EFD2F6936163}"/>
    <cellStyle name="Normal 3 2 3 2 2 5 3 3" xfId="23257" xr:uid="{02F66C1B-5958-4027-9EAA-CCD5B047DEFC}"/>
    <cellStyle name="Normal 3 2 3 2 2 5 3 4" xfId="14816" xr:uid="{867234A2-0BB5-44BF-B9E0-4B91B116CFED}"/>
    <cellStyle name="Normal 3 2 3 2 2 5 4" xfId="27480" xr:uid="{54B5B349-EE93-4354-9D9C-29FEB2CBE0BE}"/>
    <cellStyle name="Normal 3 2 3 2 2 5 5" xfId="19039" xr:uid="{1D0AAB9B-1530-4988-BB4E-D12570B13035}"/>
    <cellStyle name="Normal 3 2 3 2 2 5 6" xfId="10598" xr:uid="{A4D63D6D-EFE8-4B9B-85C6-DA006C83C88F}"/>
    <cellStyle name="Normal 3 2 3 2 2 6" xfId="2496" xr:uid="{00000000-0005-0000-0000-000091110000}"/>
    <cellStyle name="Normal 3 2 3 2 2 6 2" xfId="6779" xr:uid="{00000000-0005-0000-0000-000092110000}"/>
    <cellStyle name="Normal 3 2 3 2 2 6 2 2" xfId="32111" xr:uid="{C786F352-DEDA-42F2-87F7-979FC15CAED2}"/>
    <cellStyle name="Normal 3 2 3 2 2 6 2 3" xfId="23670" xr:uid="{C81298FA-4B83-445B-A3EB-525A4191B88B}"/>
    <cellStyle name="Normal 3 2 3 2 2 6 2 4" xfId="15229" xr:uid="{1C3EF12D-54A2-4CD9-8237-4A6B7A4D9F91}"/>
    <cellStyle name="Normal 3 2 3 2 2 6 3" xfId="27893" xr:uid="{4722A95D-0166-4481-851B-08143356C39D}"/>
    <cellStyle name="Normal 3 2 3 2 2 6 4" xfId="19452" xr:uid="{D4737B60-7416-440A-A5FE-E3E2DAE48DC6}"/>
    <cellStyle name="Normal 3 2 3 2 2 6 5" xfId="11011" xr:uid="{F927E1A2-DFBB-49A1-B040-C4AA05052A2B}"/>
    <cellStyle name="Normal 3 2 3 2 2 7" xfId="4713" xr:uid="{00000000-0005-0000-0000-000093110000}"/>
    <cellStyle name="Normal 3 2 3 2 2 7 2" xfId="30045" xr:uid="{0712CC07-16A0-4FCC-B2CF-292A5CE0D33E}"/>
    <cellStyle name="Normal 3 2 3 2 2 7 3" xfId="21604" xr:uid="{3474CBAF-C0C9-4538-A2B0-BE7D842C7AF9}"/>
    <cellStyle name="Normal 3 2 3 2 2 7 4" xfId="13163" xr:uid="{3410E00B-7C88-4FD8-819C-D93C2B7D9DE7}"/>
    <cellStyle name="Normal 3 2 3 2 2 8" xfId="25827" xr:uid="{7E8151CD-7B24-4109-8A68-C25805E15FC0}"/>
    <cellStyle name="Normal 3 2 3 2 2 9" xfId="17386" xr:uid="{D1F1CAA7-A453-4E67-9EE9-47884B1EECB7}"/>
    <cellStyle name="Normal 3 2 3 2 3" xfId="812" xr:uid="{00000000-0005-0000-0000-000094110000}"/>
    <cellStyle name="Normal 3 2 3 2 3 2" xfId="3049" xr:uid="{00000000-0005-0000-0000-000095110000}"/>
    <cellStyle name="Normal 3 2 3 2 3 2 2" xfId="7271" xr:uid="{00000000-0005-0000-0000-000096110000}"/>
    <cellStyle name="Normal 3 2 3 2 3 2 2 2" xfId="32603" xr:uid="{62378B29-DA02-4007-A2A4-88AE55DAC929}"/>
    <cellStyle name="Normal 3 2 3 2 3 2 2 3" xfId="24162" xr:uid="{DFEA51DC-88EE-4EF7-82B3-9706F60637D9}"/>
    <cellStyle name="Normal 3 2 3 2 3 2 2 4" xfId="15721" xr:uid="{ECCC655E-FE4C-45AA-852A-AFF9CD158583}"/>
    <cellStyle name="Normal 3 2 3 2 3 2 3" xfId="28385" xr:uid="{FCF4FC8E-E742-4322-AFBF-FEED0811079F}"/>
    <cellStyle name="Normal 3 2 3 2 3 2 4" xfId="19944" xr:uid="{90068539-D1A7-44E7-8850-76F45E832A9A}"/>
    <cellStyle name="Normal 3 2 3 2 3 2 5" xfId="11503" xr:uid="{A64402C2-1AC8-4415-837B-86F29F335200}"/>
    <cellStyle name="Normal 3 2 3 2 3 3" xfId="5126" xr:uid="{00000000-0005-0000-0000-000097110000}"/>
    <cellStyle name="Normal 3 2 3 2 3 3 2" xfId="30458" xr:uid="{F2B6367D-7065-4754-89D4-386C9BE7D988}"/>
    <cellStyle name="Normal 3 2 3 2 3 3 3" xfId="22017" xr:uid="{245F2D75-64E9-4DCD-83D6-23DDC1894FA8}"/>
    <cellStyle name="Normal 3 2 3 2 3 3 4" xfId="13576" xr:uid="{26731786-C673-44F3-9961-1595CC1EA3BA}"/>
    <cellStyle name="Normal 3 2 3 2 3 4" xfId="26240" xr:uid="{437AEFD2-F67C-4718-B863-9091DA4C80BE}"/>
    <cellStyle name="Normal 3 2 3 2 3 5" xfId="17799" xr:uid="{02B71521-BDD5-40BE-A416-46251F3E830C}"/>
    <cellStyle name="Normal 3 2 3 2 3 6" xfId="9358" xr:uid="{313B62A5-925C-42F9-B7A3-7405CC5866E5}"/>
    <cellStyle name="Normal 3 2 3 2 4" xfId="1232" xr:uid="{00000000-0005-0000-0000-000098110000}"/>
    <cellStyle name="Normal 3 2 3 2 4 2" xfId="3462" xr:uid="{00000000-0005-0000-0000-000099110000}"/>
    <cellStyle name="Normal 3 2 3 2 4 2 2" xfId="7684" xr:uid="{00000000-0005-0000-0000-00009A110000}"/>
    <cellStyle name="Normal 3 2 3 2 4 2 2 2" xfId="33016" xr:uid="{E51E67FC-DFEE-47BB-B5F4-9750D8552190}"/>
    <cellStyle name="Normal 3 2 3 2 4 2 2 3" xfId="24575" xr:uid="{FB09E977-87A3-4809-85B1-3D6E7203B320}"/>
    <cellStyle name="Normal 3 2 3 2 4 2 2 4" xfId="16134" xr:uid="{35484A84-7E6C-42C4-AB28-40A67DD415DE}"/>
    <cellStyle name="Normal 3 2 3 2 4 2 3" xfId="28798" xr:uid="{CBD1F825-F6BC-4E75-A4FF-3BE4B06D9EA7}"/>
    <cellStyle name="Normal 3 2 3 2 4 2 4" xfId="20357" xr:uid="{64CEEA98-447B-433F-BF72-CE7B6CF348EA}"/>
    <cellStyle name="Normal 3 2 3 2 4 2 5" xfId="11916" xr:uid="{4825D2D7-1041-4F73-A700-D9105A7B4710}"/>
    <cellStyle name="Normal 3 2 3 2 4 3" xfId="5539" xr:uid="{00000000-0005-0000-0000-00009B110000}"/>
    <cellStyle name="Normal 3 2 3 2 4 3 2" xfId="30871" xr:uid="{AECD3C3C-CD51-4709-A371-392CFCE3EA8A}"/>
    <cellStyle name="Normal 3 2 3 2 4 3 3" xfId="22430" xr:uid="{031A4C64-0A5A-4073-A620-1E2337483BA7}"/>
    <cellStyle name="Normal 3 2 3 2 4 3 4" xfId="13989" xr:uid="{E72383F9-03B7-4D1E-A7D8-5DD6E15E412A}"/>
    <cellStyle name="Normal 3 2 3 2 4 4" xfId="26653" xr:uid="{B07F857C-E539-4894-B95E-0AA584732E1C}"/>
    <cellStyle name="Normal 3 2 3 2 4 5" xfId="18212" xr:uid="{1E02B1AA-960A-4D7D-902F-CDF88E3669FA}"/>
    <cellStyle name="Normal 3 2 3 2 4 6" xfId="9771" xr:uid="{7095EF9D-424A-4C6C-8300-920B31A91772}"/>
    <cellStyle name="Normal 3 2 3 2 5" xfId="1645" xr:uid="{00000000-0005-0000-0000-00009C110000}"/>
    <cellStyle name="Normal 3 2 3 2 5 2" xfId="3875" xr:uid="{00000000-0005-0000-0000-00009D110000}"/>
    <cellStyle name="Normal 3 2 3 2 5 2 2" xfId="8097" xr:uid="{00000000-0005-0000-0000-00009E110000}"/>
    <cellStyle name="Normal 3 2 3 2 5 2 2 2" xfId="33429" xr:uid="{BCB172FC-56DF-4C89-8182-208802DA597F}"/>
    <cellStyle name="Normal 3 2 3 2 5 2 2 3" xfId="24988" xr:uid="{77BCE191-07C1-4823-A5DC-6F5CFD140B03}"/>
    <cellStyle name="Normal 3 2 3 2 5 2 2 4" xfId="16547" xr:uid="{F5EBD19A-5218-412A-9055-9DE892AD33E2}"/>
    <cellStyle name="Normal 3 2 3 2 5 2 3" xfId="29211" xr:uid="{8E33DF95-9295-429C-962F-575BF16D5775}"/>
    <cellStyle name="Normal 3 2 3 2 5 2 4" xfId="20770" xr:uid="{4EA08525-8E34-4947-8FDD-B71EE3ACF5B2}"/>
    <cellStyle name="Normal 3 2 3 2 5 2 5" xfId="12329" xr:uid="{9284C6A0-1C52-4B1D-95BB-3E942BD4905D}"/>
    <cellStyle name="Normal 3 2 3 2 5 3" xfId="5952" xr:uid="{00000000-0005-0000-0000-00009F110000}"/>
    <cellStyle name="Normal 3 2 3 2 5 3 2" xfId="31284" xr:uid="{55EEE419-7E96-41D0-8BFA-82B69F9A6F0C}"/>
    <cellStyle name="Normal 3 2 3 2 5 3 3" xfId="22843" xr:uid="{413BFBC3-6B1A-4681-A53C-6A2B826B0C7F}"/>
    <cellStyle name="Normal 3 2 3 2 5 3 4" xfId="14402" xr:uid="{535510BF-8932-4E9D-A2CF-64485BBE693D}"/>
    <cellStyle name="Normal 3 2 3 2 5 4" xfId="27066" xr:uid="{64923DB5-B3E5-4286-AA8C-E8FDD4D00C54}"/>
    <cellStyle name="Normal 3 2 3 2 5 5" xfId="18625" xr:uid="{672A7BFC-D5B3-4DA6-9E9D-668002C956B8}"/>
    <cellStyle name="Normal 3 2 3 2 5 6" xfId="10184" xr:uid="{ABBFE0EA-0BBB-425B-92DF-A756B42948F7}"/>
    <cellStyle name="Normal 3 2 3 2 6" xfId="2059" xr:uid="{00000000-0005-0000-0000-0000A0110000}"/>
    <cellStyle name="Normal 3 2 3 2 6 2" xfId="4288" xr:uid="{00000000-0005-0000-0000-0000A1110000}"/>
    <cellStyle name="Normal 3 2 3 2 6 2 2" xfId="8510" xr:uid="{00000000-0005-0000-0000-0000A2110000}"/>
    <cellStyle name="Normal 3 2 3 2 6 2 2 2" xfId="33842" xr:uid="{FC53C4F9-0B3D-48CE-887A-312F36AD355A}"/>
    <cellStyle name="Normal 3 2 3 2 6 2 2 3" xfId="25401" xr:uid="{2120005B-3507-4EB6-974E-0C71DE880358}"/>
    <cellStyle name="Normal 3 2 3 2 6 2 2 4" xfId="16960" xr:uid="{7919783D-FAD0-4E28-9606-2DB5A276BB14}"/>
    <cellStyle name="Normal 3 2 3 2 6 2 3" xfId="29624" xr:uid="{F54466D6-EDC8-4E4C-98E3-B8952B649469}"/>
    <cellStyle name="Normal 3 2 3 2 6 2 4" xfId="21183" xr:uid="{1E66C844-6BCE-4945-A88C-9826C85316A3}"/>
    <cellStyle name="Normal 3 2 3 2 6 2 5" xfId="12742" xr:uid="{59DF3942-855C-40EF-B472-BD9CFA75939F}"/>
    <cellStyle name="Normal 3 2 3 2 6 3" xfId="6365" xr:uid="{00000000-0005-0000-0000-0000A3110000}"/>
    <cellStyle name="Normal 3 2 3 2 6 3 2" xfId="31697" xr:uid="{489CA8CC-CFC5-4DC1-96A9-B92D48D02627}"/>
    <cellStyle name="Normal 3 2 3 2 6 3 3" xfId="23256" xr:uid="{6AFF548B-BE50-49C0-A922-C581299DAF68}"/>
    <cellStyle name="Normal 3 2 3 2 6 3 4" xfId="14815" xr:uid="{7EE16114-0F2B-4688-BB50-0C96049AC4EC}"/>
    <cellStyle name="Normal 3 2 3 2 6 4" xfId="27479" xr:uid="{48028AC6-62A9-423E-88A8-69D2F8605FD7}"/>
    <cellStyle name="Normal 3 2 3 2 6 5" xfId="19038" xr:uid="{17FEE68E-D91A-4079-B4B3-46880021FD98}"/>
    <cellStyle name="Normal 3 2 3 2 6 6" xfId="10597" xr:uid="{2E46298B-FE72-4821-99B1-440E017A08E9}"/>
    <cellStyle name="Normal 3 2 3 2 7" xfId="2495" xr:uid="{00000000-0005-0000-0000-0000A4110000}"/>
    <cellStyle name="Normal 3 2 3 2 7 2" xfId="6778" xr:uid="{00000000-0005-0000-0000-0000A5110000}"/>
    <cellStyle name="Normal 3 2 3 2 7 2 2" xfId="32110" xr:uid="{7182070C-2457-4975-B79C-D7A23C6C3F39}"/>
    <cellStyle name="Normal 3 2 3 2 7 2 3" xfId="23669" xr:uid="{A81E16B8-EE59-4819-9169-442B4227B491}"/>
    <cellStyle name="Normal 3 2 3 2 7 2 4" xfId="15228" xr:uid="{3537A836-29C5-4A79-BCEB-9467224F17AA}"/>
    <cellStyle name="Normal 3 2 3 2 7 3" xfId="27892" xr:uid="{4137106A-98EA-434A-AE0B-F0CF24F075B2}"/>
    <cellStyle name="Normal 3 2 3 2 7 4" xfId="19451" xr:uid="{D3CAC93A-679E-43B3-99AF-E01FEE359708}"/>
    <cellStyle name="Normal 3 2 3 2 7 5" xfId="11010" xr:uid="{39943F1F-5153-44E8-A7BE-C0595A498410}"/>
    <cellStyle name="Normal 3 2 3 2 8" xfId="4712" xr:uid="{00000000-0005-0000-0000-0000A6110000}"/>
    <cellStyle name="Normal 3 2 3 2 8 2" xfId="30044" xr:uid="{1F5F5ADA-DCE6-47DA-B0B8-FBBEFCC7FB5B}"/>
    <cellStyle name="Normal 3 2 3 2 8 3" xfId="21603" xr:uid="{7D4EF98C-25F0-420C-B1B0-A8AEFAB5454A}"/>
    <cellStyle name="Normal 3 2 3 2 8 4" xfId="13162" xr:uid="{A2D59338-A870-4633-8050-ACA9D25D18B5}"/>
    <cellStyle name="Normal 3 2 3 2 9" xfId="25826" xr:uid="{4780DBB5-29B9-4F9F-86F2-716F0B4AB3B3}"/>
    <cellStyle name="Normal 3 2 3 3" xfId="329" xr:uid="{00000000-0005-0000-0000-0000A7110000}"/>
    <cellStyle name="Normal 3 2 3 3 10" xfId="8946" xr:uid="{F98FDC7D-9065-4159-9390-C62E693597A9}"/>
    <cellStyle name="Normal 3 2 3 3 2" xfId="814" xr:uid="{00000000-0005-0000-0000-0000A8110000}"/>
    <cellStyle name="Normal 3 2 3 3 2 2" xfId="3051" xr:uid="{00000000-0005-0000-0000-0000A9110000}"/>
    <cellStyle name="Normal 3 2 3 3 2 2 2" xfId="7273" xr:uid="{00000000-0005-0000-0000-0000AA110000}"/>
    <cellStyle name="Normal 3 2 3 3 2 2 2 2" xfId="32605" xr:uid="{30C9C923-02AA-4A2E-99D3-FE471C7CD607}"/>
    <cellStyle name="Normal 3 2 3 3 2 2 2 3" xfId="24164" xr:uid="{CF14C75C-FB34-46B1-9009-C3D378E4B69B}"/>
    <cellStyle name="Normal 3 2 3 3 2 2 2 4" xfId="15723" xr:uid="{26FBD2EE-1232-4D35-8CD4-7B7D546988D0}"/>
    <cellStyle name="Normal 3 2 3 3 2 2 3" xfId="28387" xr:uid="{E0E8B0AB-0042-4EEB-B73A-247B5398EDFF}"/>
    <cellStyle name="Normal 3 2 3 3 2 2 4" xfId="19946" xr:uid="{BA8CF048-45C5-4214-AAE2-EA7D79A711D9}"/>
    <cellStyle name="Normal 3 2 3 3 2 2 5" xfId="11505" xr:uid="{623A0CB4-8DB4-4A84-9793-B7586FDCEBE0}"/>
    <cellStyle name="Normal 3 2 3 3 2 3" xfId="5128" xr:uid="{00000000-0005-0000-0000-0000AB110000}"/>
    <cellStyle name="Normal 3 2 3 3 2 3 2" xfId="30460" xr:uid="{E4223112-583B-4AA8-8544-29260D23884C}"/>
    <cellStyle name="Normal 3 2 3 3 2 3 3" xfId="22019" xr:uid="{19B2BC54-C03D-4BD2-A0B2-1CE93883121E}"/>
    <cellStyle name="Normal 3 2 3 3 2 3 4" xfId="13578" xr:uid="{0EF168AB-C08C-41F9-BD79-45707FE8F5DC}"/>
    <cellStyle name="Normal 3 2 3 3 2 4" xfId="26242" xr:uid="{8552B3F8-F9E0-4103-B3CA-684DD301083B}"/>
    <cellStyle name="Normal 3 2 3 3 2 5" xfId="17801" xr:uid="{68D8738E-E501-4060-A7E8-B0A7494224A5}"/>
    <cellStyle name="Normal 3 2 3 3 2 6" xfId="9360" xr:uid="{310237C4-CDAF-4B04-8831-847CCA97A4DB}"/>
    <cellStyle name="Normal 3 2 3 3 3" xfId="1234" xr:uid="{00000000-0005-0000-0000-0000AC110000}"/>
    <cellStyle name="Normal 3 2 3 3 3 2" xfId="3464" xr:uid="{00000000-0005-0000-0000-0000AD110000}"/>
    <cellStyle name="Normal 3 2 3 3 3 2 2" xfId="7686" xr:uid="{00000000-0005-0000-0000-0000AE110000}"/>
    <cellStyle name="Normal 3 2 3 3 3 2 2 2" xfId="33018" xr:uid="{070112B5-A90D-44B6-AEA6-ADE011137CB4}"/>
    <cellStyle name="Normal 3 2 3 3 3 2 2 3" xfId="24577" xr:uid="{593AA899-1224-41BF-A446-60E8AE297B14}"/>
    <cellStyle name="Normal 3 2 3 3 3 2 2 4" xfId="16136" xr:uid="{13C2C637-30E4-4EA8-A75B-273078688F33}"/>
    <cellStyle name="Normal 3 2 3 3 3 2 3" xfId="28800" xr:uid="{3F3BD413-6F18-43CC-A6FC-9778873E7316}"/>
    <cellStyle name="Normal 3 2 3 3 3 2 4" xfId="20359" xr:uid="{C6B37927-8230-4512-B93D-77C850F119AD}"/>
    <cellStyle name="Normal 3 2 3 3 3 2 5" xfId="11918" xr:uid="{9AC76020-8AEA-48FC-B1C4-0EA557109F14}"/>
    <cellStyle name="Normal 3 2 3 3 3 3" xfId="5541" xr:uid="{00000000-0005-0000-0000-0000AF110000}"/>
    <cellStyle name="Normal 3 2 3 3 3 3 2" xfId="30873" xr:uid="{0AF1B711-42C2-455D-9C77-8A840ED666AE}"/>
    <cellStyle name="Normal 3 2 3 3 3 3 3" xfId="22432" xr:uid="{18BA1185-3663-4757-A72C-459A3FF345C2}"/>
    <cellStyle name="Normal 3 2 3 3 3 3 4" xfId="13991" xr:uid="{BA0D3D02-2AB6-447D-AB06-C5D3FA6C2945}"/>
    <cellStyle name="Normal 3 2 3 3 3 4" xfId="26655" xr:uid="{A77130BB-92EA-4D51-8EE6-86AA88B6D2E2}"/>
    <cellStyle name="Normal 3 2 3 3 3 5" xfId="18214" xr:uid="{DF45BEEC-B592-4453-9056-19D00F608742}"/>
    <cellStyle name="Normal 3 2 3 3 3 6" xfId="9773" xr:uid="{40791E7B-BF0D-413E-9034-4CC0F2E5C9DE}"/>
    <cellStyle name="Normal 3 2 3 3 4" xfId="1647" xr:uid="{00000000-0005-0000-0000-0000B0110000}"/>
    <cellStyle name="Normal 3 2 3 3 4 2" xfId="3877" xr:uid="{00000000-0005-0000-0000-0000B1110000}"/>
    <cellStyle name="Normal 3 2 3 3 4 2 2" xfId="8099" xr:uid="{00000000-0005-0000-0000-0000B2110000}"/>
    <cellStyle name="Normal 3 2 3 3 4 2 2 2" xfId="33431" xr:uid="{403FEDD6-8390-4891-B7BE-8D10A525CBC7}"/>
    <cellStyle name="Normal 3 2 3 3 4 2 2 3" xfId="24990" xr:uid="{177A89F8-F7DC-41AB-8715-B6CD1D9D0016}"/>
    <cellStyle name="Normal 3 2 3 3 4 2 2 4" xfId="16549" xr:uid="{00714C26-BB16-48F9-87F7-968E0B2D3C7F}"/>
    <cellStyle name="Normal 3 2 3 3 4 2 3" xfId="29213" xr:uid="{384E5570-AE1D-4FE6-91A7-D7FEB0EBDEB7}"/>
    <cellStyle name="Normal 3 2 3 3 4 2 4" xfId="20772" xr:uid="{1844FEA8-4BC2-47F2-8F33-4A10BFB8079B}"/>
    <cellStyle name="Normal 3 2 3 3 4 2 5" xfId="12331" xr:uid="{5C6B8E5F-73A6-48B7-B538-22A258AF3083}"/>
    <cellStyle name="Normal 3 2 3 3 4 3" xfId="5954" xr:uid="{00000000-0005-0000-0000-0000B3110000}"/>
    <cellStyle name="Normal 3 2 3 3 4 3 2" xfId="31286" xr:uid="{6F94FC39-E644-428D-8322-98B8676152CE}"/>
    <cellStyle name="Normal 3 2 3 3 4 3 3" xfId="22845" xr:uid="{96CBE1EC-1A17-4992-9A0D-5E78EB8B173C}"/>
    <cellStyle name="Normal 3 2 3 3 4 3 4" xfId="14404" xr:uid="{4BC62C4D-453D-4D3B-A74B-94FCADAA0EDA}"/>
    <cellStyle name="Normal 3 2 3 3 4 4" xfId="27068" xr:uid="{B6342065-3794-4009-9D8C-AE871559A013}"/>
    <cellStyle name="Normal 3 2 3 3 4 5" xfId="18627" xr:uid="{E2436F4D-8393-4943-85D6-A600CD3C266D}"/>
    <cellStyle name="Normal 3 2 3 3 4 6" xfId="10186" xr:uid="{EBCB7552-3DBE-4623-AAF0-39A33D0C5CD8}"/>
    <cellStyle name="Normal 3 2 3 3 5" xfId="2061" xr:uid="{00000000-0005-0000-0000-0000B4110000}"/>
    <cellStyle name="Normal 3 2 3 3 5 2" xfId="4290" xr:uid="{00000000-0005-0000-0000-0000B5110000}"/>
    <cellStyle name="Normal 3 2 3 3 5 2 2" xfId="8512" xr:uid="{00000000-0005-0000-0000-0000B6110000}"/>
    <cellStyle name="Normal 3 2 3 3 5 2 2 2" xfId="33844" xr:uid="{23BC5E15-B3B5-4842-A352-18F1C162E019}"/>
    <cellStyle name="Normal 3 2 3 3 5 2 2 3" xfId="25403" xr:uid="{694E873B-4BF1-4516-9685-1B06101F7CF4}"/>
    <cellStyle name="Normal 3 2 3 3 5 2 2 4" xfId="16962" xr:uid="{B3E3DAED-9CBB-4919-BA9F-61D584A2C874}"/>
    <cellStyle name="Normal 3 2 3 3 5 2 3" xfId="29626" xr:uid="{45B88D1B-FC1D-4001-BE02-C60F9F39E130}"/>
    <cellStyle name="Normal 3 2 3 3 5 2 4" xfId="21185" xr:uid="{ECF2CA58-C0A2-4395-B8DF-B4DD29AF1855}"/>
    <cellStyle name="Normal 3 2 3 3 5 2 5" xfId="12744" xr:uid="{8FCC7F6D-1F41-411B-88A0-D234A522D8FC}"/>
    <cellStyle name="Normal 3 2 3 3 5 3" xfId="6367" xr:uid="{00000000-0005-0000-0000-0000B7110000}"/>
    <cellStyle name="Normal 3 2 3 3 5 3 2" xfId="31699" xr:uid="{57E63C69-EB45-4D0A-AD40-29609186C0F1}"/>
    <cellStyle name="Normal 3 2 3 3 5 3 3" xfId="23258" xr:uid="{5629E0E9-A4CA-4873-9DBC-B0D5D3C7E80B}"/>
    <cellStyle name="Normal 3 2 3 3 5 3 4" xfId="14817" xr:uid="{5C098E4E-95B0-4D6D-8401-AE8818A0243C}"/>
    <cellStyle name="Normal 3 2 3 3 5 4" xfId="27481" xr:uid="{A4A51510-03CE-4244-9289-C4DA98999592}"/>
    <cellStyle name="Normal 3 2 3 3 5 5" xfId="19040" xr:uid="{9236657F-110E-4CD2-BF45-6CB0F5274917}"/>
    <cellStyle name="Normal 3 2 3 3 5 6" xfId="10599" xr:uid="{A1C828E2-1B30-4DF4-851F-224F6354A3F4}"/>
    <cellStyle name="Normal 3 2 3 3 6" xfId="2497" xr:uid="{00000000-0005-0000-0000-0000B8110000}"/>
    <cellStyle name="Normal 3 2 3 3 6 2" xfId="6780" xr:uid="{00000000-0005-0000-0000-0000B9110000}"/>
    <cellStyle name="Normal 3 2 3 3 6 2 2" xfId="32112" xr:uid="{C77D647F-0F38-4B6E-8A66-7133E259C1E0}"/>
    <cellStyle name="Normal 3 2 3 3 6 2 3" xfId="23671" xr:uid="{3C7B1C22-CCB0-4863-952D-147D6057E156}"/>
    <cellStyle name="Normal 3 2 3 3 6 2 4" xfId="15230" xr:uid="{B00A39E1-2948-4F3B-ACFB-A53A4D31F587}"/>
    <cellStyle name="Normal 3 2 3 3 6 3" xfId="27894" xr:uid="{C09412A6-C02E-4F78-B86E-C0BED04CEAA6}"/>
    <cellStyle name="Normal 3 2 3 3 6 4" xfId="19453" xr:uid="{D1ADE57B-CF8B-49F2-AACC-C364E41C7092}"/>
    <cellStyle name="Normal 3 2 3 3 6 5" xfId="11012" xr:uid="{22DB233F-8A32-4493-BFFD-0EF70A54E2C7}"/>
    <cellStyle name="Normal 3 2 3 3 7" xfId="4714" xr:uid="{00000000-0005-0000-0000-0000BA110000}"/>
    <cellStyle name="Normal 3 2 3 3 7 2" xfId="30046" xr:uid="{B3BB2167-83B4-40F1-89D2-5C689137B2EE}"/>
    <cellStyle name="Normal 3 2 3 3 7 3" xfId="21605" xr:uid="{5A085011-FE13-4BD4-95A8-D09CB6D73BA3}"/>
    <cellStyle name="Normal 3 2 3 3 7 4" xfId="13164" xr:uid="{9E40C454-25D3-49C4-8B4E-F0CAA0FA6055}"/>
    <cellStyle name="Normal 3 2 3 3 8" xfId="25828" xr:uid="{FD880DC9-E916-4998-8ED8-77255863AA4F}"/>
    <cellStyle name="Normal 3 2 3 3 9" xfId="17387" xr:uid="{9FAEAEF9-160C-441A-B36C-3F2B428AE29D}"/>
    <cellStyle name="Normal 3 2 3 4" xfId="811" xr:uid="{00000000-0005-0000-0000-0000BB110000}"/>
    <cellStyle name="Normal 3 2 3 4 2" xfId="3048" xr:uid="{00000000-0005-0000-0000-0000BC110000}"/>
    <cellStyle name="Normal 3 2 3 4 2 2" xfId="7270" xr:uid="{00000000-0005-0000-0000-0000BD110000}"/>
    <cellStyle name="Normal 3 2 3 4 2 2 2" xfId="32602" xr:uid="{1B2AA38A-A1A1-4781-9515-238CDC71EAF3}"/>
    <cellStyle name="Normal 3 2 3 4 2 2 3" xfId="24161" xr:uid="{99B9CC84-FE8F-473B-A183-2735ACE6ACE9}"/>
    <cellStyle name="Normal 3 2 3 4 2 2 4" xfId="15720" xr:uid="{F95FC8F1-875E-4698-9EA9-D405E47C62E2}"/>
    <cellStyle name="Normal 3 2 3 4 2 3" xfId="28384" xr:uid="{7D4920D7-A2D7-41E0-ABE4-0F82A6931BA2}"/>
    <cellStyle name="Normal 3 2 3 4 2 4" xfId="19943" xr:uid="{8923CBE0-C30B-4D6B-9D14-A07D4CF795D0}"/>
    <cellStyle name="Normal 3 2 3 4 2 5" xfId="11502" xr:uid="{CE475F93-A326-401F-A461-29B3495F9999}"/>
    <cellStyle name="Normal 3 2 3 4 3" xfId="5125" xr:uid="{00000000-0005-0000-0000-0000BE110000}"/>
    <cellStyle name="Normal 3 2 3 4 3 2" xfId="30457" xr:uid="{9A8D7FCA-C1B0-496C-AE8A-F1D808958A91}"/>
    <cellStyle name="Normal 3 2 3 4 3 3" xfId="22016" xr:uid="{A53A1BA4-3DAB-4516-9375-76D0A4558323}"/>
    <cellStyle name="Normal 3 2 3 4 3 4" xfId="13575" xr:uid="{BFB02FCF-9E32-4CB7-B9B3-076C18DA37F1}"/>
    <cellStyle name="Normal 3 2 3 4 4" xfId="26239" xr:uid="{28EA00DF-CF7C-40EA-9038-48EBA8F84BF0}"/>
    <cellStyle name="Normal 3 2 3 4 5" xfId="17798" xr:uid="{3A22396F-6E95-4661-82DA-5CA21531CB8F}"/>
    <cellStyle name="Normal 3 2 3 4 6" xfId="9357" xr:uid="{ED7F08E0-A341-416B-8320-4287B8327514}"/>
    <cellStyle name="Normal 3 2 3 5" xfId="1231" xr:uid="{00000000-0005-0000-0000-0000BF110000}"/>
    <cellStyle name="Normal 3 2 3 5 2" xfId="3461" xr:uid="{00000000-0005-0000-0000-0000C0110000}"/>
    <cellStyle name="Normal 3 2 3 5 2 2" xfId="7683" xr:uid="{00000000-0005-0000-0000-0000C1110000}"/>
    <cellStyle name="Normal 3 2 3 5 2 2 2" xfId="33015" xr:uid="{A226D780-CB30-46C1-9F24-C4DB269770C3}"/>
    <cellStyle name="Normal 3 2 3 5 2 2 3" xfId="24574" xr:uid="{9F94D304-0318-4E7B-AC22-805067708210}"/>
    <cellStyle name="Normal 3 2 3 5 2 2 4" xfId="16133" xr:uid="{52B1D8EA-42B7-43D5-8B0B-696499F09F91}"/>
    <cellStyle name="Normal 3 2 3 5 2 3" xfId="28797" xr:uid="{4D20C465-C6C6-4D77-AA78-64919B54292F}"/>
    <cellStyle name="Normal 3 2 3 5 2 4" xfId="20356" xr:uid="{48AD04D6-B1BE-4D9E-AA92-97ADEC3CDE02}"/>
    <cellStyle name="Normal 3 2 3 5 2 5" xfId="11915" xr:uid="{0A7D4942-ABA7-47F3-B58C-1BC35291AB7D}"/>
    <cellStyle name="Normal 3 2 3 5 3" xfId="5538" xr:uid="{00000000-0005-0000-0000-0000C2110000}"/>
    <cellStyle name="Normal 3 2 3 5 3 2" xfId="30870" xr:uid="{96DCBCB8-FF96-43DF-8D10-8A8746D39DC7}"/>
    <cellStyle name="Normal 3 2 3 5 3 3" xfId="22429" xr:uid="{F6226B55-75F8-4C40-B625-F844A3C0077F}"/>
    <cellStyle name="Normal 3 2 3 5 3 4" xfId="13988" xr:uid="{E8DCA09C-3C60-42E2-9044-8A6AE704448A}"/>
    <cellStyle name="Normal 3 2 3 5 4" xfId="26652" xr:uid="{8EB8E290-EB53-4281-BBA5-200B270FEB60}"/>
    <cellStyle name="Normal 3 2 3 5 5" xfId="18211" xr:uid="{E1E2DBD6-13D3-481D-8A22-43FFA7E95D04}"/>
    <cellStyle name="Normal 3 2 3 5 6" xfId="9770" xr:uid="{94CCC663-E6DD-4A25-9DF9-2327FCB7A85B}"/>
    <cellStyle name="Normal 3 2 3 6" xfId="1644" xr:uid="{00000000-0005-0000-0000-0000C3110000}"/>
    <cellStyle name="Normal 3 2 3 6 2" xfId="3874" xr:uid="{00000000-0005-0000-0000-0000C4110000}"/>
    <cellStyle name="Normal 3 2 3 6 2 2" xfId="8096" xr:uid="{00000000-0005-0000-0000-0000C5110000}"/>
    <cellStyle name="Normal 3 2 3 6 2 2 2" xfId="33428" xr:uid="{BB67C440-F94D-40CB-BADD-722088C85D89}"/>
    <cellStyle name="Normal 3 2 3 6 2 2 3" xfId="24987" xr:uid="{77240BE0-564B-40B0-8DF0-3B979D32179F}"/>
    <cellStyle name="Normal 3 2 3 6 2 2 4" xfId="16546" xr:uid="{9680A04C-72D4-4D3D-B7C4-77440EB87183}"/>
    <cellStyle name="Normal 3 2 3 6 2 3" xfId="29210" xr:uid="{7547F155-2B19-4540-9C4C-1AB2354032D5}"/>
    <cellStyle name="Normal 3 2 3 6 2 4" xfId="20769" xr:uid="{3B6D6C91-8BDB-4254-826A-A5A1F282B195}"/>
    <cellStyle name="Normal 3 2 3 6 2 5" xfId="12328" xr:uid="{9E8F5753-F9F2-4743-AE1F-42CF3D036F23}"/>
    <cellStyle name="Normal 3 2 3 6 3" xfId="5951" xr:uid="{00000000-0005-0000-0000-0000C6110000}"/>
    <cellStyle name="Normal 3 2 3 6 3 2" xfId="31283" xr:uid="{7141CA04-8817-4A24-8B9F-60EA0422F74D}"/>
    <cellStyle name="Normal 3 2 3 6 3 3" xfId="22842" xr:uid="{6B24F699-DCD6-4C9C-9068-6CAD61A67C57}"/>
    <cellStyle name="Normal 3 2 3 6 3 4" xfId="14401" xr:uid="{1DEDAEAE-E625-403A-A142-58B5FC2CFE70}"/>
    <cellStyle name="Normal 3 2 3 6 4" xfId="27065" xr:uid="{C4E9B4E4-D986-4F74-896D-F0A5D64E9CE6}"/>
    <cellStyle name="Normal 3 2 3 6 5" xfId="18624" xr:uid="{3D0FD120-1232-4E69-8944-708823DA7A84}"/>
    <cellStyle name="Normal 3 2 3 6 6" xfId="10183" xr:uid="{C66DCC9D-5680-4F1E-80B1-29475545FA1F}"/>
    <cellStyle name="Normal 3 2 3 7" xfId="2058" xr:uid="{00000000-0005-0000-0000-0000C7110000}"/>
    <cellStyle name="Normal 3 2 3 7 2" xfId="4287" xr:uid="{00000000-0005-0000-0000-0000C8110000}"/>
    <cellStyle name="Normal 3 2 3 7 2 2" xfId="8509" xr:uid="{00000000-0005-0000-0000-0000C9110000}"/>
    <cellStyle name="Normal 3 2 3 7 2 2 2" xfId="33841" xr:uid="{D04879A6-7AD2-423E-956C-7FDEB73DF2F3}"/>
    <cellStyle name="Normal 3 2 3 7 2 2 3" xfId="25400" xr:uid="{4305C6A4-2990-4CDE-9532-12B58152E7DE}"/>
    <cellStyle name="Normal 3 2 3 7 2 2 4" xfId="16959" xr:uid="{E81835DE-BB1F-4EF8-BD87-11C86D07B2C0}"/>
    <cellStyle name="Normal 3 2 3 7 2 3" xfId="29623" xr:uid="{63D79B28-A020-4EDF-BA63-D2A4202F25A5}"/>
    <cellStyle name="Normal 3 2 3 7 2 4" xfId="21182" xr:uid="{F406457F-51F3-42A6-A2AE-07A9B8E7D5D5}"/>
    <cellStyle name="Normal 3 2 3 7 2 5" xfId="12741" xr:uid="{B7022C0D-114C-417C-AB6F-5F5B4E46764F}"/>
    <cellStyle name="Normal 3 2 3 7 3" xfId="6364" xr:uid="{00000000-0005-0000-0000-0000CA110000}"/>
    <cellStyle name="Normal 3 2 3 7 3 2" xfId="31696" xr:uid="{5AC468C9-B884-43AA-AD99-D9ED61FCE9F2}"/>
    <cellStyle name="Normal 3 2 3 7 3 3" xfId="23255" xr:uid="{1908DE58-8FB8-4CD6-AB76-44CC0EC9FDD6}"/>
    <cellStyle name="Normal 3 2 3 7 3 4" xfId="14814" xr:uid="{0C89CE95-CC63-49BE-82BD-EB3BAF8F4FD8}"/>
    <cellStyle name="Normal 3 2 3 7 4" xfId="27478" xr:uid="{030A1CD7-ED1D-4D41-BA8F-E4C346491C4B}"/>
    <cellStyle name="Normal 3 2 3 7 5" xfId="19037" xr:uid="{19B89877-B5C9-4766-B42E-72CAD368B950}"/>
    <cellStyle name="Normal 3 2 3 7 6" xfId="10596" xr:uid="{A7788D3C-3622-441C-9E1C-BFF85DCED212}"/>
    <cellStyle name="Normal 3 2 3 8" xfId="2494" xr:uid="{00000000-0005-0000-0000-0000CB110000}"/>
    <cellStyle name="Normal 3 2 3 8 2" xfId="6777" xr:uid="{00000000-0005-0000-0000-0000CC110000}"/>
    <cellStyle name="Normal 3 2 3 8 2 2" xfId="32109" xr:uid="{115308B3-495B-4396-A278-C8ACE12198C4}"/>
    <cellStyle name="Normal 3 2 3 8 2 3" xfId="23668" xr:uid="{B6A3FA8E-6E2C-4456-BCCC-85318401EF67}"/>
    <cellStyle name="Normal 3 2 3 8 2 4" xfId="15227" xr:uid="{5F7E935C-CB78-486C-BD7A-5C229773A431}"/>
    <cellStyle name="Normal 3 2 3 8 3" xfId="27891" xr:uid="{B95EB122-DB2C-4AEA-948E-85AB37BC0773}"/>
    <cellStyle name="Normal 3 2 3 8 4" xfId="19450" xr:uid="{80B83380-4763-4FCA-B66B-3B88E0DD34B8}"/>
    <cellStyle name="Normal 3 2 3 8 5" xfId="11009" xr:uid="{596D698B-763F-43A0-95BF-4375B8F4EE9E}"/>
    <cellStyle name="Normal 3 2 3 9" xfId="4711" xr:uid="{00000000-0005-0000-0000-0000CD110000}"/>
    <cellStyle name="Normal 3 2 3 9 2" xfId="30043" xr:uid="{D1613A1F-A56B-4083-94E0-ADA44FB76097}"/>
    <cellStyle name="Normal 3 2 3 9 3" xfId="21602" xr:uid="{499B0270-E7A5-4CDB-8B53-24B4176D66AF}"/>
    <cellStyle name="Normal 3 2 3 9 4" xfId="13161" xr:uid="{4FC06B50-7953-4C94-89D7-0DF07A5F4ABE}"/>
    <cellStyle name="Normal 3 2 4" xfId="809" xr:uid="{00000000-0005-0000-0000-0000CE110000}"/>
    <cellStyle name="Normal 3 2 4 2" xfId="3047" xr:uid="{00000000-0005-0000-0000-0000CF110000}"/>
    <cellStyle name="Normal 3 2 4 2 2" xfId="7269" xr:uid="{00000000-0005-0000-0000-0000D0110000}"/>
    <cellStyle name="Normal 3 2 4 2 2 2" xfId="32601" xr:uid="{2533BA1E-E99C-4250-83DC-EAB9CC76AA3D}"/>
    <cellStyle name="Normal 3 2 4 2 2 3" xfId="24160" xr:uid="{BBBE4B25-1D5C-4FAB-B8E3-4D74695EC493}"/>
    <cellStyle name="Normal 3 2 4 2 2 4" xfId="15719" xr:uid="{0DFBE832-184B-4CD4-8242-6DD529667B33}"/>
    <cellStyle name="Normal 3 2 4 2 3" xfId="28383" xr:uid="{E0AF5097-EA88-4553-8F3C-5E52D5B9C1D3}"/>
    <cellStyle name="Normal 3 2 4 2 4" xfId="19942" xr:uid="{47A5264E-6B2F-47BD-9B53-65D59395431E}"/>
    <cellStyle name="Normal 3 2 4 2 5" xfId="11501" xr:uid="{1D904BB4-09A8-4B5A-ACE4-6F2F12E37C8E}"/>
    <cellStyle name="Normal 3 2 4 3" xfId="5124" xr:uid="{00000000-0005-0000-0000-0000D1110000}"/>
    <cellStyle name="Normal 3 2 4 3 2" xfId="30456" xr:uid="{EA3FCC8A-AC07-421D-B41D-DCD340A734A4}"/>
    <cellStyle name="Normal 3 2 4 3 3" xfId="22015" xr:uid="{B1A018F8-6F4F-42AF-AB3A-521C5A79F38C}"/>
    <cellStyle name="Normal 3 2 4 3 4" xfId="13574" xr:uid="{543C6B1C-25A6-4ED4-9C19-0575C20CD5BF}"/>
    <cellStyle name="Normal 3 2 4 4" xfId="26238" xr:uid="{0D78D751-F646-480A-A0D0-5D1885947EF4}"/>
    <cellStyle name="Normal 3 2 4 5" xfId="17797" xr:uid="{4502B170-26DE-4F1E-A5D9-87E44809CF12}"/>
    <cellStyle name="Normal 3 2 4 6" xfId="9356" xr:uid="{640C28D8-6229-486E-80E8-1555F044EB55}"/>
    <cellStyle name="Normal 3 2 5" xfId="1230" xr:uid="{00000000-0005-0000-0000-0000D2110000}"/>
    <cellStyle name="Normal 3 2 5 2" xfId="3460" xr:uid="{00000000-0005-0000-0000-0000D3110000}"/>
    <cellStyle name="Normal 3 2 5 2 2" xfId="7682" xr:uid="{00000000-0005-0000-0000-0000D4110000}"/>
    <cellStyle name="Normal 3 2 5 2 2 2" xfId="33014" xr:uid="{6B76F576-9A57-475A-9AA0-8DDC3C5F5EDC}"/>
    <cellStyle name="Normal 3 2 5 2 2 3" xfId="24573" xr:uid="{20DB1A51-A862-47B8-AE24-91BD86AA9A01}"/>
    <cellStyle name="Normal 3 2 5 2 2 4" xfId="16132" xr:uid="{6BFDF4AB-E86F-48E4-A24F-C31E96021008}"/>
    <cellStyle name="Normal 3 2 5 2 3" xfId="28796" xr:uid="{D6F8BB9F-8EA8-4594-8F00-B58AECD0602B}"/>
    <cellStyle name="Normal 3 2 5 2 4" xfId="20355" xr:uid="{2D889CEC-7955-4467-84B6-C100EA44BEBB}"/>
    <cellStyle name="Normal 3 2 5 2 5" xfId="11914" xr:uid="{BF359B9E-4888-4E65-95A2-E22ECB007FD1}"/>
    <cellStyle name="Normal 3 2 5 3" xfId="5537" xr:uid="{00000000-0005-0000-0000-0000D5110000}"/>
    <cellStyle name="Normal 3 2 5 3 2" xfId="30869" xr:uid="{74013989-8B9D-4DC9-81C9-4440168B7FBA}"/>
    <cellStyle name="Normal 3 2 5 3 3" xfId="22428" xr:uid="{FFCF7CEE-7F75-4A65-86DB-D3510BD74705}"/>
    <cellStyle name="Normal 3 2 5 3 4" xfId="13987" xr:uid="{CE397729-9F4C-4393-BEE1-30514683B27E}"/>
    <cellStyle name="Normal 3 2 5 4" xfId="26651" xr:uid="{8511BB83-D20C-480E-8D62-16E7A319AFC2}"/>
    <cellStyle name="Normal 3 2 5 5" xfId="18210" xr:uid="{2010952A-7927-4355-9C81-6447E4C6D31A}"/>
    <cellStyle name="Normal 3 2 5 6" xfId="9769" xr:uid="{D15636EC-8055-4C77-A4B4-61A698CE7479}"/>
    <cellStyle name="Normal 3 2 6" xfId="1643" xr:uid="{00000000-0005-0000-0000-0000D6110000}"/>
    <cellStyle name="Normal 3 2 6 2" xfId="3873" xr:uid="{00000000-0005-0000-0000-0000D7110000}"/>
    <cellStyle name="Normal 3 2 6 2 2" xfId="8095" xr:uid="{00000000-0005-0000-0000-0000D8110000}"/>
    <cellStyle name="Normal 3 2 6 2 2 2" xfId="33427" xr:uid="{BA2CFF40-AAA4-45D3-A0BC-EB45F23C314B}"/>
    <cellStyle name="Normal 3 2 6 2 2 3" xfId="24986" xr:uid="{570949B4-10F0-4E5A-8C27-3A39D676E831}"/>
    <cellStyle name="Normal 3 2 6 2 2 4" xfId="16545" xr:uid="{24F3E47A-5F25-43D9-8976-458959079623}"/>
    <cellStyle name="Normal 3 2 6 2 3" xfId="29209" xr:uid="{87B1F670-DECF-44C3-80E5-CBFD9AEB34B4}"/>
    <cellStyle name="Normal 3 2 6 2 4" xfId="20768" xr:uid="{60BF2A42-812B-4E21-9BB4-E281B45CA45E}"/>
    <cellStyle name="Normal 3 2 6 2 5" xfId="12327" xr:uid="{C8B17FA7-3AC5-4C35-905E-41E47830A07A}"/>
    <cellStyle name="Normal 3 2 6 3" xfId="5950" xr:uid="{00000000-0005-0000-0000-0000D9110000}"/>
    <cellStyle name="Normal 3 2 6 3 2" xfId="31282" xr:uid="{38A227DA-2D67-45FD-8EAB-78069C1BD7C1}"/>
    <cellStyle name="Normal 3 2 6 3 3" xfId="22841" xr:uid="{C441E139-9413-49B8-882E-CC0C74197190}"/>
    <cellStyle name="Normal 3 2 6 3 4" xfId="14400" xr:uid="{0A8295E2-DA06-42C7-8952-754DE2E6F322}"/>
    <cellStyle name="Normal 3 2 6 4" xfId="27064" xr:uid="{247692B6-85B2-43A8-9D4E-FE8BB097CF60}"/>
    <cellStyle name="Normal 3 2 6 5" xfId="18623" xr:uid="{4BB814D4-4923-4858-A0D2-D888DE26E579}"/>
    <cellStyle name="Normal 3 2 6 6" xfId="10182" xr:uid="{29151B49-2333-4EE2-81E2-86B25F3EBEC2}"/>
    <cellStyle name="Normal 3 2 7" xfId="2057" xr:uid="{00000000-0005-0000-0000-0000DA110000}"/>
    <cellStyle name="Normal 3 2 7 2" xfId="4286" xr:uid="{00000000-0005-0000-0000-0000DB110000}"/>
    <cellStyle name="Normal 3 2 7 2 2" xfId="8508" xr:uid="{00000000-0005-0000-0000-0000DC110000}"/>
    <cellStyle name="Normal 3 2 7 2 2 2" xfId="33840" xr:uid="{696B3EA7-1B85-4D1C-939B-C50E6DEDA760}"/>
    <cellStyle name="Normal 3 2 7 2 2 3" xfId="25399" xr:uid="{61ECF359-775D-4FF3-ABA4-2760D03D425E}"/>
    <cellStyle name="Normal 3 2 7 2 2 4" xfId="16958" xr:uid="{3A84D2F0-5CB4-4A34-AE7B-582F073BFB10}"/>
    <cellStyle name="Normal 3 2 7 2 3" xfId="29622" xr:uid="{607F99F8-2C67-44EC-8E5B-709A5B311254}"/>
    <cellStyle name="Normal 3 2 7 2 4" xfId="21181" xr:uid="{B4ED1329-6839-4B9A-BE91-748A06F6C4D7}"/>
    <cellStyle name="Normal 3 2 7 2 5" xfId="12740" xr:uid="{C8A68D97-CF8E-494F-9B03-8B8D25220A13}"/>
    <cellStyle name="Normal 3 2 7 3" xfId="6363" xr:uid="{00000000-0005-0000-0000-0000DD110000}"/>
    <cellStyle name="Normal 3 2 7 3 2" xfId="31695" xr:uid="{595426C9-B20D-4AAA-B0DC-663D4531E66E}"/>
    <cellStyle name="Normal 3 2 7 3 3" xfId="23254" xr:uid="{EF2EC5CC-32D8-4B9A-8BD3-E65DF1554010}"/>
    <cellStyle name="Normal 3 2 7 3 4" xfId="14813" xr:uid="{4FDEF779-7084-4EDC-A75A-47AECBF019BE}"/>
    <cellStyle name="Normal 3 2 7 4" xfId="27477" xr:uid="{204BB0A4-8976-4633-9C3C-F6B13B9029A5}"/>
    <cellStyle name="Normal 3 2 7 5" xfId="19036" xr:uid="{C20DBB65-62B0-4EDF-86FA-BF5AD10086A1}"/>
    <cellStyle name="Normal 3 2 7 6" xfId="10595" xr:uid="{C62D6B51-B1B4-451B-B27B-23B55AE307EC}"/>
    <cellStyle name="Normal 3 2 8" xfId="2493" xr:uid="{00000000-0005-0000-0000-0000DE110000}"/>
    <cellStyle name="Normal 3 2 8 2" xfId="6776" xr:uid="{00000000-0005-0000-0000-0000DF110000}"/>
    <cellStyle name="Normal 3 2 8 2 2" xfId="32108" xr:uid="{6D7F4D2C-75E5-481A-994F-AED66F4EB219}"/>
    <cellStyle name="Normal 3 2 8 2 3" xfId="23667" xr:uid="{CEDD99D6-43B1-40AB-A252-23B5AC368A34}"/>
    <cellStyle name="Normal 3 2 8 2 4" xfId="15226" xr:uid="{B3FD085D-30D8-40B6-B3BC-66E562ECBEE4}"/>
    <cellStyle name="Normal 3 2 8 3" xfId="27890" xr:uid="{8FBC5F5B-2CFF-4039-B5BF-E29A083539A5}"/>
    <cellStyle name="Normal 3 2 8 4" xfId="19449" xr:uid="{DD24424D-7C4B-417D-B070-53EEDC4CA0DF}"/>
    <cellStyle name="Normal 3 2 8 5" xfId="11008" xr:uid="{2AC06D07-F576-4CE3-B5EF-6BCF26A66250}"/>
    <cellStyle name="Normal 3 2 9" xfId="4710" xr:uid="{00000000-0005-0000-0000-0000E0110000}"/>
    <cellStyle name="Normal 3 2 9 2" xfId="30042" xr:uid="{F2B92208-76EE-4466-A5EA-E76B01102662}"/>
    <cellStyle name="Normal 3 2 9 3" xfId="21601" xr:uid="{87867FDC-D569-42EF-A207-C480B96869F8}"/>
    <cellStyle name="Normal 3 2 9 4" xfId="13160" xr:uid="{A0B99BA2-FF27-4B1E-B617-CC09530AA047}"/>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25829" xr:uid="{939D3B89-CEF7-4F1D-AE99-1A8E4DFC9AE0}"/>
    <cellStyle name="Normal 4 11" xfId="17388" xr:uid="{17C55498-9DD1-465D-863B-0BB649242927}"/>
    <cellStyle name="Normal 4 12" xfId="8947" xr:uid="{AA5481FB-7103-4263-800D-3AF57A1922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2 2 2" xfId="33845" xr:uid="{3C1485CD-FA89-4E6F-AA52-B245A7F6D164}"/>
    <cellStyle name="Normal 4 2 2 10 2 2 3" xfId="25404" xr:uid="{0E727063-D313-492C-A7C8-BAF2C4596F9C}"/>
    <cellStyle name="Normal 4 2 2 10 2 2 4" xfId="16963" xr:uid="{4764E09C-5DC6-4EF1-8627-DCDF4CCCD4DA}"/>
    <cellStyle name="Normal 4 2 2 10 2 3" xfId="29627" xr:uid="{3155403C-D488-4E08-8301-EC97BE97118F}"/>
    <cellStyle name="Normal 4 2 2 10 2 4" xfId="21186" xr:uid="{BD6EBF11-436D-4CC2-B667-B0E111EE8150}"/>
    <cellStyle name="Normal 4 2 2 10 2 5" xfId="12745" xr:uid="{B1B59D03-B698-482D-BC6E-50D82B8615BF}"/>
    <cellStyle name="Normal 4 2 2 10 3" xfId="6368" xr:uid="{00000000-0005-0000-0000-0000ED110000}"/>
    <cellStyle name="Normal 4 2 2 10 3 2" xfId="31700" xr:uid="{3D148DEB-522C-4EB4-8FE5-D7CB1F7CF159}"/>
    <cellStyle name="Normal 4 2 2 10 3 3" xfId="23259" xr:uid="{C048E49D-F09B-421A-AE47-90CB9D089FAC}"/>
    <cellStyle name="Normal 4 2 2 10 3 4" xfId="14818" xr:uid="{C67D83E7-B427-42DE-9C6B-61B20257BBB6}"/>
    <cellStyle name="Normal 4 2 2 10 4" xfId="27482" xr:uid="{C95A0179-A1D0-4388-8171-9A6A04F0A2B8}"/>
    <cellStyle name="Normal 4 2 2 10 5" xfId="19041" xr:uid="{2E60C93F-16F7-410C-A0D5-BD1E59E26A18}"/>
    <cellStyle name="Normal 4 2 2 10 6" xfId="10600" xr:uid="{07FC89EA-159A-4325-8190-33C760F3B465}"/>
    <cellStyle name="Normal 4 2 2 11" xfId="2498" xr:uid="{00000000-0005-0000-0000-0000EE110000}"/>
    <cellStyle name="Normal 4 2 2 11 2" xfId="6781" xr:uid="{00000000-0005-0000-0000-0000EF110000}"/>
    <cellStyle name="Normal 4 2 2 11 2 2" xfId="32113" xr:uid="{427E0EAD-C3AE-4054-8F60-772AF04C01A4}"/>
    <cellStyle name="Normal 4 2 2 11 2 3" xfId="23672" xr:uid="{89E6A43C-F9D7-4251-B022-8136FEB73D67}"/>
    <cellStyle name="Normal 4 2 2 11 2 4" xfId="15231" xr:uid="{53B2B9FF-27B6-4FB0-B07F-003E6E3B5C88}"/>
    <cellStyle name="Normal 4 2 2 11 3" xfId="27895" xr:uid="{055EA393-C99B-4EDA-8ADB-B564A97B1A25}"/>
    <cellStyle name="Normal 4 2 2 11 4" xfId="19454" xr:uid="{8391ECBF-8148-4D77-9591-EAC0FC95ECE6}"/>
    <cellStyle name="Normal 4 2 2 11 5" xfId="11013" xr:uid="{D2C0B921-3894-4739-A94D-01BBA0E594B0}"/>
    <cellStyle name="Normal 4 2 2 12" xfId="4716" xr:uid="{00000000-0005-0000-0000-0000F0110000}"/>
    <cellStyle name="Normal 4 2 2 12 2" xfId="30048" xr:uid="{315F254E-8733-4D88-AEF7-9AC460341199}"/>
    <cellStyle name="Normal 4 2 2 12 3" xfId="21607" xr:uid="{D0BF4BE0-633C-418D-AA8F-9664688E612C}"/>
    <cellStyle name="Normal 4 2 2 12 4" xfId="13166" xr:uid="{57611990-E847-41A8-A42A-D3864F39C0FA}"/>
    <cellStyle name="Normal 4 2 2 13" xfId="25830" xr:uid="{ED0063E0-A5A9-4841-AFB5-62A03CBC0B4A}"/>
    <cellStyle name="Normal 4 2 2 14" xfId="17389" xr:uid="{AD6B0390-3C66-4D73-AA99-52CA5DAAC815}"/>
    <cellStyle name="Normal 4 2 2 15" xfId="8948" xr:uid="{395443A5-C7B5-4652-9589-4BEA9249450A}"/>
    <cellStyle name="Normal 4 2 2 2" xfId="338" xr:uid="{00000000-0005-0000-0000-0000F1110000}"/>
    <cellStyle name="Normal 4 2 2 3" xfId="339" xr:uid="{00000000-0005-0000-0000-0000F2110000}"/>
    <cellStyle name="Normal 4 2 2 3 10" xfId="4717" xr:uid="{00000000-0005-0000-0000-0000F3110000}"/>
    <cellStyle name="Normal 4 2 2 3 10 2" xfId="30049" xr:uid="{853203DB-41F9-4D96-B8CF-8B36CB51BE8A}"/>
    <cellStyle name="Normal 4 2 2 3 10 3" xfId="21608" xr:uid="{EABD21C5-F29F-43E1-A14B-B8B7252C2496}"/>
    <cellStyle name="Normal 4 2 2 3 10 4" xfId="13167" xr:uid="{B4D547E2-8461-4930-BCF3-52779F443684}"/>
    <cellStyle name="Normal 4 2 2 3 11" xfId="25831" xr:uid="{7B412D95-BCA1-4C6F-B0E0-276C9CDB3550}"/>
    <cellStyle name="Normal 4 2 2 3 12" xfId="17390" xr:uid="{4FF99763-7E8A-4A81-8852-D7128B59ECE7}"/>
    <cellStyle name="Normal 4 2 2 3 13" xfId="8949" xr:uid="{F6494920-27D0-4988-9CCF-0D8A43672987}"/>
    <cellStyle name="Normal 4 2 2 3 2" xfId="340" xr:uid="{00000000-0005-0000-0000-0000F4110000}"/>
    <cellStyle name="Normal 4 2 2 3 2 10" xfId="25832" xr:uid="{19726C17-E28D-47E6-B350-5807B7FDAC77}"/>
    <cellStyle name="Normal 4 2 2 3 2 11" xfId="17391" xr:uid="{699D1AD3-AF6E-4F8D-B8C7-361EE3F89BFE}"/>
    <cellStyle name="Normal 4 2 2 3 2 12" xfId="8950" xr:uid="{54D01FA9-A54C-44FE-95C6-988B70899157}"/>
    <cellStyle name="Normal 4 2 2 3 2 2" xfId="341" xr:uid="{00000000-0005-0000-0000-0000F5110000}"/>
    <cellStyle name="Normal 4 2 2 3 2 2 10" xfId="17392" xr:uid="{AD03A252-F5E9-4EA9-8F58-A6138EDC3884}"/>
    <cellStyle name="Normal 4 2 2 3 2 2 11" xfId="8951" xr:uid="{ABDB577B-217A-4820-B747-B9CCC0D30EBC}"/>
    <cellStyle name="Normal 4 2 2 3 2 2 2" xfId="342" xr:uid="{00000000-0005-0000-0000-0000F6110000}"/>
    <cellStyle name="Normal 4 2 2 3 2 2 2 10" xfId="8952" xr:uid="{F8B4700E-AA1E-4A2E-9281-698DE5339B54}"/>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2 2 2" xfId="32610" xr:uid="{ED7BE89B-B1E6-4120-9323-1CF0B70C27F1}"/>
    <cellStyle name="Normal 4 2 2 3 2 2 2 2 2 2 3" xfId="24169" xr:uid="{6B25107C-E2D1-47B3-918C-6F06C5D8F649}"/>
    <cellStyle name="Normal 4 2 2 3 2 2 2 2 2 2 4" xfId="15728" xr:uid="{ED864F15-E9B7-4394-9B50-36493F5FD072}"/>
    <cellStyle name="Normal 4 2 2 3 2 2 2 2 2 3" xfId="28392" xr:uid="{E8226643-5D42-4D3F-8FD2-0BC79DA7FC33}"/>
    <cellStyle name="Normal 4 2 2 3 2 2 2 2 2 4" xfId="19951" xr:uid="{31B9CFC9-DC84-4864-AD8A-A09377D0CC09}"/>
    <cellStyle name="Normal 4 2 2 3 2 2 2 2 2 5" xfId="11510" xr:uid="{62F13B1F-46C3-449B-BF43-67CB0D7B667B}"/>
    <cellStyle name="Normal 4 2 2 3 2 2 2 2 3" xfId="5133" xr:uid="{00000000-0005-0000-0000-0000FA110000}"/>
    <cellStyle name="Normal 4 2 2 3 2 2 2 2 3 2" xfId="30465" xr:uid="{DEB6000A-511A-4ABA-BE64-5C87C25F7361}"/>
    <cellStyle name="Normal 4 2 2 3 2 2 2 2 3 3" xfId="22024" xr:uid="{8F2B71BD-9560-4F8B-8627-6018D5194514}"/>
    <cellStyle name="Normal 4 2 2 3 2 2 2 2 3 4" xfId="13583" xr:uid="{A9D8F5A6-7F1C-44A5-A42F-253502D81625}"/>
    <cellStyle name="Normal 4 2 2 3 2 2 2 2 4" xfId="26247" xr:uid="{95770EFD-A6CF-4E38-B512-48A59D1363BB}"/>
    <cellStyle name="Normal 4 2 2 3 2 2 2 2 5" xfId="17806" xr:uid="{FBBF5BEF-C660-472F-8A36-3ECDCD1A04AC}"/>
    <cellStyle name="Normal 4 2 2 3 2 2 2 2 6" xfId="9365" xr:uid="{AC56BA44-085C-4AD1-88B0-3A4AB00B461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2 2 2" xfId="33023" xr:uid="{C983A797-8D4C-4328-B349-70A7CEDE832F}"/>
    <cellStyle name="Normal 4 2 2 3 2 2 2 3 2 2 3" xfId="24582" xr:uid="{86284173-A023-4145-BBC7-D1AA7DB547DF}"/>
    <cellStyle name="Normal 4 2 2 3 2 2 2 3 2 2 4" xfId="16141" xr:uid="{FC36C52F-19B0-4197-9E6C-97F9E8722A8C}"/>
    <cellStyle name="Normal 4 2 2 3 2 2 2 3 2 3" xfId="28805" xr:uid="{E598F4AB-0565-4115-A637-529E3278A257}"/>
    <cellStyle name="Normal 4 2 2 3 2 2 2 3 2 4" xfId="20364" xr:uid="{2BC9EE57-AB46-4C5B-87A5-7BBC724A79ED}"/>
    <cellStyle name="Normal 4 2 2 3 2 2 2 3 2 5" xfId="11923" xr:uid="{47FDACAE-97D6-42CD-8798-5E0ABD44BCC2}"/>
    <cellStyle name="Normal 4 2 2 3 2 2 2 3 3" xfId="5546" xr:uid="{00000000-0005-0000-0000-0000FE110000}"/>
    <cellStyle name="Normal 4 2 2 3 2 2 2 3 3 2" xfId="30878" xr:uid="{354741D2-801E-425E-92EF-42AFF99CA1F9}"/>
    <cellStyle name="Normal 4 2 2 3 2 2 2 3 3 3" xfId="22437" xr:uid="{1F3F7808-2DEC-4E05-B61D-2AEBB6C2E260}"/>
    <cellStyle name="Normal 4 2 2 3 2 2 2 3 3 4" xfId="13996" xr:uid="{0A85644E-907C-4683-B512-521E0E0ACECA}"/>
    <cellStyle name="Normal 4 2 2 3 2 2 2 3 4" xfId="26660" xr:uid="{09C50E15-B038-40C8-8317-C02134439A1D}"/>
    <cellStyle name="Normal 4 2 2 3 2 2 2 3 5" xfId="18219" xr:uid="{E04B88B1-496D-490F-A09E-4305B6B9B774}"/>
    <cellStyle name="Normal 4 2 2 3 2 2 2 3 6" xfId="9778" xr:uid="{D231A7AB-BFAD-4B29-BD2C-4C5DBBF98C02}"/>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2 2 2" xfId="33436" xr:uid="{EE26B4DD-0F5F-459C-AA08-5F7392F5C67C}"/>
    <cellStyle name="Normal 4 2 2 3 2 2 2 4 2 2 3" xfId="24995" xr:uid="{63C6C754-8774-4EE0-83C1-D14FAF497FFB}"/>
    <cellStyle name="Normal 4 2 2 3 2 2 2 4 2 2 4" xfId="16554" xr:uid="{6B4C440C-62D6-4D6A-BDE6-FCFC2D5E7364}"/>
    <cellStyle name="Normal 4 2 2 3 2 2 2 4 2 3" xfId="29218" xr:uid="{2F0A6C7C-CA4A-4D31-B6D7-0BF31BD2BEF9}"/>
    <cellStyle name="Normal 4 2 2 3 2 2 2 4 2 4" xfId="20777" xr:uid="{DB2071F1-F7A7-45EF-9060-964E81452040}"/>
    <cellStyle name="Normal 4 2 2 3 2 2 2 4 2 5" xfId="12336" xr:uid="{A6283A75-8041-441D-BE27-5D96026ACA73}"/>
    <cellStyle name="Normal 4 2 2 3 2 2 2 4 3" xfId="5959" xr:uid="{00000000-0005-0000-0000-000002120000}"/>
    <cellStyle name="Normal 4 2 2 3 2 2 2 4 3 2" xfId="31291" xr:uid="{8F3E1329-D9DB-4280-8523-918554C4FA44}"/>
    <cellStyle name="Normal 4 2 2 3 2 2 2 4 3 3" xfId="22850" xr:uid="{83D218DF-8BDB-4894-A940-8BC1BBE83631}"/>
    <cellStyle name="Normal 4 2 2 3 2 2 2 4 3 4" xfId="14409" xr:uid="{6E8E7B5E-3635-47DC-ABD2-D82C2C418C9C}"/>
    <cellStyle name="Normal 4 2 2 3 2 2 2 4 4" xfId="27073" xr:uid="{D2EFB247-D92C-4C28-8EA1-FD2150675C57}"/>
    <cellStyle name="Normal 4 2 2 3 2 2 2 4 5" xfId="18632" xr:uid="{E97FC630-65D3-455A-9169-3306FDB907DB}"/>
    <cellStyle name="Normal 4 2 2 3 2 2 2 4 6" xfId="10191" xr:uid="{F8D5B71E-CBB4-45F7-ACAA-033C968AD867}"/>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2 2 2" xfId="33849" xr:uid="{E5A16B4A-D718-42B0-BE64-E3D5FB2CA38F}"/>
    <cellStyle name="Normal 4 2 2 3 2 2 2 5 2 2 3" xfId="25408" xr:uid="{4DEEAC40-B82D-45C8-82FF-FE6837F0B8DC}"/>
    <cellStyle name="Normal 4 2 2 3 2 2 2 5 2 2 4" xfId="16967" xr:uid="{04E93299-3C1C-4F86-8F3D-6E1CA6751636}"/>
    <cellStyle name="Normal 4 2 2 3 2 2 2 5 2 3" xfId="29631" xr:uid="{D9E8A943-5BCA-4AD9-BCCB-56DD0C9B9262}"/>
    <cellStyle name="Normal 4 2 2 3 2 2 2 5 2 4" xfId="21190" xr:uid="{5D10CEE8-F963-40A5-8D5F-26BC12887F05}"/>
    <cellStyle name="Normal 4 2 2 3 2 2 2 5 2 5" xfId="12749" xr:uid="{D6A52D1F-90E2-4878-A88A-0FFB8CE77324}"/>
    <cellStyle name="Normal 4 2 2 3 2 2 2 5 3" xfId="6372" xr:uid="{00000000-0005-0000-0000-000006120000}"/>
    <cellStyle name="Normal 4 2 2 3 2 2 2 5 3 2" xfId="31704" xr:uid="{2CD7BBAB-F497-4E5F-929C-74EDD6078B09}"/>
    <cellStyle name="Normal 4 2 2 3 2 2 2 5 3 3" xfId="23263" xr:uid="{D4F67585-A03D-4203-9BD0-E0BCA1D83AEA}"/>
    <cellStyle name="Normal 4 2 2 3 2 2 2 5 3 4" xfId="14822" xr:uid="{9F4244AF-91D7-4CD4-A894-62C2DC4E851B}"/>
    <cellStyle name="Normal 4 2 2 3 2 2 2 5 4" xfId="27486" xr:uid="{804E40B7-4552-4A93-9B21-556A5AFDE091}"/>
    <cellStyle name="Normal 4 2 2 3 2 2 2 5 5" xfId="19045" xr:uid="{263CA34F-2C2B-4061-9E7F-E103BB109C19}"/>
    <cellStyle name="Normal 4 2 2 3 2 2 2 5 6" xfId="10604" xr:uid="{018ADB2C-4F88-4184-B05C-459D5F943D39}"/>
    <cellStyle name="Normal 4 2 2 3 2 2 2 6" xfId="2502" xr:uid="{00000000-0005-0000-0000-000007120000}"/>
    <cellStyle name="Normal 4 2 2 3 2 2 2 6 2" xfId="6785" xr:uid="{00000000-0005-0000-0000-000008120000}"/>
    <cellStyle name="Normal 4 2 2 3 2 2 2 6 2 2" xfId="32117" xr:uid="{39FAB3A9-8BD9-442B-B701-8A0978192098}"/>
    <cellStyle name="Normal 4 2 2 3 2 2 2 6 2 3" xfId="23676" xr:uid="{A12F45BC-1138-41F5-B331-DFC0E1E7A844}"/>
    <cellStyle name="Normal 4 2 2 3 2 2 2 6 2 4" xfId="15235" xr:uid="{3B72C1F7-8A1E-445D-867A-C37BA16C4663}"/>
    <cellStyle name="Normal 4 2 2 3 2 2 2 6 3" xfId="27899" xr:uid="{F7C1FC10-7765-4303-8C45-89B254F18A68}"/>
    <cellStyle name="Normal 4 2 2 3 2 2 2 6 4" xfId="19458" xr:uid="{D0AC7646-44BE-4417-85EB-776F48C61CE6}"/>
    <cellStyle name="Normal 4 2 2 3 2 2 2 6 5" xfId="11017" xr:uid="{24A82820-803A-4E35-A829-F60B898E71B5}"/>
    <cellStyle name="Normal 4 2 2 3 2 2 2 7" xfId="4720" xr:uid="{00000000-0005-0000-0000-000009120000}"/>
    <cellStyle name="Normal 4 2 2 3 2 2 2 7 2" xfId="30052" xr:uid="{D9AE0F54-1264-45F5-B4FC-11B1A788B353}"/>
    <cellStyle name="Normal 4 2 2 3 2 2 2 7 3" xfId="21611" xr:uid="{171AE679-8CE8-43AB-A571-0D316070D0EA}"/>
    <cellStyle name="Normal 4 2 2 3 2 2 2 7 4" xfId="13170" xr:uid="{DE8A4A4B-CED2-4DF2-9B0E-D17207F96BB2}"/>
    <cellStyle name="Normal 4 2 2 3 2 2 2 8" xfId="25834" xr:uid="{2C61A0E8-BF70-4BE1-B19B-A52605951364}"/>
    <cellStyle name="Normal 4 2 2 3 2 2 2 9" xfId="17393" xr:uid="{5897B01D-BCAD-4DDE-B879-F2683792C67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2 2 2" xfId="32609" xr:uid="{05134ECA-127E-40EC-A4EE-5F18A9DA0C2B}"/>
    <cellStyle name="Normal 4 2 2 3 2 2 3 2 2 3" xfId="24168" xr:uid="{DAF3C916-FBFD-405C-93F6-15BDF4872F70}"/>
    <cellStyle name="Normal 4 2 2 3 2 2 3 2 2 4" xfId="15727" xr:uid="{B9E36E2E-46A1-473B-89C9-CF2C3A59766E}"/>
    <cellStyle name="Normal 4 2 2 3 2 2 3 2 3" xfId="28391" xr:uid="{40A60E5B-78E4-4CBD-AA6A-4563B256B34C}"/>
    <cellStyle name="Normal 4 2 2 3 2 2 3 2 4" xfId="19950" xr:uid="{22ECBC83-AEBA-46EC-B825-03A3C23D0A75}"/>
    <cellStyle name="Normal 4 2 2 3 2 2 3 2 5" xfId="11509" xr:uid="{F943BC8C-E3B2-4135-9D3E-890A72772ACA}"/>
    <cellStyle name="Normal 4 2 2 3 2 2 3 3" xfId="5132" xr:uid="{00000000-0005-0000-0000-00000D120000}"/>
    <cellStyle name="Normal 4 2 2 3 2 2 3 3 2" xfId="30464" xr:uid="{F9F23689-944F-46B7-AEF4-6B981899E4E0}"/>
    <cellStyle name="Normal 4 2 2 3 2 2 3 3 3" xfId="22023" xr:uid="{E2462894-DA0E-4EF0-A60A-C0685390D972}"/>
    <cellStyle name="Normal 4 2 2 3 2 2 3 3 4" xfId="13582" xr:uid="{7A8A4C13-B8B5-46BE-9512-FD6A862179EC}"/>
    <cellStyle name="Normal 4 2 2 3 2 2 3 4" xfId="26246" xr:uid="{C9CFD709-3FA9-4A6A-B33A-29EF970F336E}"/>
    <cellStyle name="Normal 4 2 2 3 2 2 3 5" xfId="17805" xr:uid="{64161983-171F-41E5-82BB-4A773A0D1AB4}"/>
    <cellStyle name="Normal 4 2 2 3 2 2 3 6" xfId="9364" xr:uid="{D071C758-A47C-47B2-9DC2-6859B6AEBCBC}"/>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2 2 2" xfId="33022" xr:uid="{9789D9B0-7CCE-463C-A682-05D747215277}"/>
    <cellStyle name="Normal 4 2 2 3 2 2 4 2 2 3" xfId="24581" xr:uid="{6FB78642-6381-4EE6-BACE-EEBB0EA31CE6}"/>
    <cellStyle name="Normal 4 2 2 3 2 2 4 2 2 4" xfId="16140" xr:uid="{B43BC2F3-6D00-43F3-B972-C23414B3CED2}"/>
    <cellStyle name="Normal 4 2 2 3 2 2 4 2 3" xfId="28804" xr:uid="{98140800-4A8E-4737-8CAE-721C68D024B7}"/>
    <cellStyle name="Normal 4 2 2 3 2 2 4 2 4" xfId="20363" xr:uid="{3CFA2C38-4376-46D5-958C-22553FFBC540}"/>
    <cellStyle name="Normal 4 2 2 3 2 2 4 2 5" xfId="11922" xr:uid="{0580BACA-F8B3-44A4-BD87-083EB90F1295}"/>
    <cellStyle name="Normal 4 2 2 3 2 2 4 3" xfId="5545" xr:uid="{00000000-0005-0000-0000-000011120000}"/>
    <cellStyle name="Normal 4 2 2 3 2 2 4 3 2" xfId="30877" xr:uid="{19D2B674-2E73-4D8C-97D8-EDDB8DB95FB8}"/>
    <cellStyle name="Normal 4 2 2 3 2 2 4 3 3" xfId="22436" xr:uid="{57FFF757-CA13-4E3E-9B49-298EBA5FDD2B}"/>
    <cellStyle name="Normal 4 2 2 3 2 2 4 3 4" xfId="13995" xr:uid="{F17A096F-2771-494B-AD11-660AF47D0653}"/>
    <cellStyle name="Normal 4 2 2 3 2 2 4 4" xfId="26659" xr:uid="{28C55FC9-C612-4353-988A-A09D4455867A}"/>
    <cellStyle name="Normal 4 2 2 3 2 2 4 5" xfId="18218" xr:uid="{20A6C90D-2D68-4580-B12A-B082F94D02A3}"/>
    <cellStyle name="Normal 4 2 2 3 2 2 4 6" xfId="9777" xr:uid="{29057369-8873-4C48-944B-405816AD7F68}"/>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2 2 2" xfId="33435" xr:uid="{5F12619E-0C60-4376-8959-8B209C7F93D4}"/>
    <cellStyle name="Normal 4 2 2 3 2 2 5 2 2 3" xfId="24994" xr:uid="{2CB1E2C7-F960-4AE6-A9E1-CE675E67DA6F}"/>
    <cellStyle name="Normal 4 2 2 3 2 2 5 2 2 4" xfId="16553" xr:uid="{D169A9B4-EFAE-4CFC-8A6D-CC10FDF799F4}"/>
    <cellStyle name="Normal 4 2 2 3 2 2 5 2 3" xfId="29217" xr:uid="{BC126E74-121D-4918-AB92-EB9AF87C8501}"/>
    <cellStyle name="Normal 4 2 2 3 2 2 5 2 4" xfId="20776" xr:uid="{873C1F74-EC9E-4B71-81DE-E92269EC1649}"/>
    <cellStyle name="Normal 4 2 2 3 2 2 5 2 5" xfId="12335" xr:uid="{9B64FF39-7DF8-4E1C-AE31-F667BD3FFC96}"/>
    <cellStyle name="Normal 4 2 2 3 2 2 5 3" xfId="5958" xr:uid="{00000000-0005-0000-0000-000015120000}"/>
    <cellStyle name="Normal 4 2 2 3 2 2 5 3 2" xfId="31290" xr:uid="{CF0A198B-6CDD-4B95-ADA1-46CE4B742886}"/>
    <cellStyle name="Normal 4 2 2 3 2 2 5 3 3" xfId="22849" xr:uid="{D0DED066-7747-4D38-9495-BECE32704382}"/>
    <cellStyle name="Normal 4 2 2 3 2 2 5 3 4" xfId="14408" xr:uid="{CCF7AD2A-1E30-4D0D-8E28-325433495531}"/>
    <cellStyle name="Normal 4 2 2 3 2 2 5 4" xfId="27072" xr:uid="{544EFC09-1050-4D4C-B8BB-6A4A78E3BD78}"/>
    <cellStyle name="Normal 4 2 2 3 2 2 5 5" xfId="18631" xr:uid="{6CDFB815-BB6E-4B13-BB62-8EB008563B10}"/>
    <cellStyle name="Normal 4 2 2 3 2 2 5 6" xfId="10190" xr:uid="{33EA7ABA-331F-441E-ACBD-7F12AF388AF6}"/>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2 2 2" xfId="33848" xr:uid="{CDD363F0-62D7-4653-AD06-56D8ACC6D26C}"/>
    <cellStyle name="Normal 4 2 2 3 2 2 6 2 2 3" xfId="25407" xr:uid="{D4E680F7-1E07-4AF0-963B-1CDF0CFF4E7D}"/>
    <cellStyle name="Normal 4 2 2 3 2 2 6 2 2 4" xfId="16966" xr:uid="{254881BC-CB3F-46BB-BDA7-3F1CC09AF2AD}"/>
    <cellStyle name="Normal 4 2 2 3 2 2 6 2 3" xfId="29630" xr:uid="{8DA0F37E-5E1C-4B65-8513-6BA9F3E857A0}"/>
    <cellStyle name="Normal 4 2 2 3 2 2 6 2 4" xfId="21189" xr:uid="{99CD4518-7853-4643-9926-04A08E8F726E}"/>
    <cellStyle name="Normal 4 2 2 3 2 2 6 2 5" xfId="12748" xr:uid="{8A13998C-6555-46EE-B3CB-0D89C3013AB2}"/>
    <cellStyle name="Normal 4 2 2 3 2 2 6 3" xfId="6371" xr:uid="{00000000-0005-0000-0000-000019120000}"/>
    <cellStyle name="Normal 4 2 2 3 2 2 6 3 2" xfId="31703" xr:uid="{5464FC49-61F8-413C-B45E-65B53C6079E7}"/>
    <cellStyle name="Normal 4 2 2 3 2 2 6 3 3" xfId="23262" xr:uid="{FF44B7D4-8F72-4D61-956F-6E1277D205A2}"/>
    <cellStyle name="Normal 4 2 2 3 2 2 6 3 4" xfId="14821" xr:uid="{635950B4-B213-40DF-8D35-C29BB44E6C7C}"/>
    <cellStyle name="Normal 4 2 2 3 2 2 6 4" xfId="27485" xr:uid="{BD672D97-CF1E-420C-8184-EA95DBA5EDA3}"/>
    <cellStyle name="Normal 4 2 2 3 2 2 6 5" xfId="19044" xr:uid="{68338AF4-6942-4179-B560-0E32655D14B5}"/>
    <cellStyle name="Normal 4 2 2 3 2 2 6 6" xfId="10603" xr:uid="{DAB1EF77-8B31-417D-AB8C-AA2D9AD57C3C}"/>
    <cellStyle name="Normal 4 2 2 3 2 2 7" xfId="2501" xr:uid="{00000000-0005-0000-0000-00001A120000}"/>
    <cellStyle name="Normal 4 2 2 3 2 2 7 2" xfId="6784" xr:uid="{00000000-0005-0000-0000-00001B120000}"/>
    <cellStyle name="Normal 4 2 2 3 2 2 7 2 2" xfId="32116" xr:uid="{E9B58F9E-65B8-45BD-8684-81063A364D69}"/>
    <cellStyle name="Normal 4 2 2 3 2 2 7 2 3" xfId="23675" xr:uid="{3319DCE1-648F-48BE-9AB1-8163EC6916FE}"/>
    <cellStyle name="Normal 4 2 2 3 2 2 7 2 4" xfId="15234" xr:uid="{282A30F6-FE3E-4A06-B1DD-54F210154F14}"/>
    <cellStyle name="Normal 4 2 2 3 2 2 7 3" xfId="27898" xr:uid="{84D30EFE-5155-4E18-AF17-EA1BB53A868E}"/>
    <cellStyle name="Normal 4 2 2 3 2 2 7 4" xfId="19457" xr:uid="{37DF3319-E0CE-4ADE-9715-AF47B554F210}"/>
    <cellStyle name="Normal 4 2 2 3 2 2 7 5" xfId="11016" xr:uid="{2585F556-F6FE-47C3-9D96-46D9DE1032B8}"/>
    <cellStyle name="Normal 4 2 2 3 2 2 8" xfId="4719" xr:uid="{00000000-0005-0000-0000-00001C120000}"/>
    <cellStyle name="Normal 4 2 2 3 2 2 8 2" xfId="30051" xr:uid="{0E1C3232-5C22-4E08-BE40-D265AF6B7F0B}"/>
    <cellStyle name="Normal 4 2 2 3 2 2 8 3" xfId="21610" xr:uid="{27D4C074-684D-4B96-A616-2C6AE317624B}"/>
    <cellStyle name="Normal 4 2 2 3 2 2 8 4" xfId="13169" xr:uid="{1EC83B13-35A8-4586-B105-FFA6F38EC617}"/>
    <cellStyle name="Normal 4 2 2 3 2 2 9" xfId="25833" xr:uid="{C7902210-E964-4D0A-AE0E-7878DCB6E743}"/>
    <cellStyle name="Normal 4 2 2 3 2 3" xfId="343" xr:uid="{00000000-0005-0000-0000-00001D120000}"/>
    <cellStyle name="Normal 4 2 2 3 2 3 10" xfId="8953" xr:uid="{ABFAA273-BB59-44DE-A8D3-35ACF1F38F7B}"/>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2 2 2" xfId="32611" xr:uid="{9796E4D4-D116-4C74-AD43-32267CDFDFA4}"/>
    <cellStyle name="Normal 4 2 2 3 2 3 2 2 2 3" xfId="24170" xr:uid="{D0F2DD6A-0756-4383-8AFB-1B53D3E4F2DC}"/>
    <cellStyle name="Normal 4 2 2 3 2 3 2 2 2 4" xfId="15729" xr:uid="{DBD66B9D-94A5-4850-8A06-0C264AA70C08}"/>
    <cellStyle name="Normal 4 2 2 3 2 3 2 2 3" xfId="28393" xr:uid="{BC98E6F4-5366-4F1E-80D1-8D449092F9B0}"/>
    <cellStyle name="Normal 4 2 2 3 2 3 2 2 4" xfId="19952" xr:uid="{2500A516-BC6A-4F06-90B5-29CAB308FEF7}"/>
    <cellStyle name="Normal 4 2 2 3 2 3 2 2 5" xfId="11511" xr:uid="{466A15A8-4AD5-42CF-9A01-108495F0C33D}"/>
    <cellStyle name="Normal 4 2 2 3 2 3 2 3" xfId="5134" xr:uid="{00000000-0005-0000-0000-000021120000}"/>
    <cellStyle name="Normal 4 2 2 3 2 3 2 3 2" xfId="30466" xr:uid="{5ED2B88A-1B03-4E00-A739-13147895E480}"/>
    <cellStyle name="Normal 4 2 2 3 2 3 2 3 3" xfId="22025" xr:uid="{E7CBE6C3-8712-49B1-AE18-B97B13FF5B1F}"/>
    <cellStyle name="Normal 4 2 2 3 2 3 2 3 4" xfId="13584" xr:uid="{CE29A488-3B54-4865-8D34-DDC976947A75}"/>
    <cellStyle name="Normal 4 2 2 3 2 3 2 4" xfId="26248" xr:uid="{F4834A4B-410A-4450-9351-224D068A840C}"/>
    <cellStyle name="Normal 4 2 2 3 2 3 2 5" xfId="17807" xr:uid="{BEA320DF-F64E-4F31-8E87-384A5BBB032C}"/>
    <cellStyle name="Normal 4 2 2 3 2 3 2 6" xfId="9366" xr:uid="{83746F33-43BE-46C8-AC49-566AD36F966A}"/>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2 2 2" xfId="33024" xr:uid="{F286A1AA-D3E2-4AE6-A496-48FFE96FDB74}"/>
    <cellStyle name="Normal 4 2 2 3 2 3 3 2 2 3" xfId="24583" xr:uid="{99820277-3732-4A3A-9E71-AA0F4B012785}"/>
    <cellStyle name="Normal 4 2 2 3 2 3 3 2 2 4" xfId="16142" xr:uid="{15BCC5FC-4359-494E-BAE2-62C4100C8F10}"/>
    <cellStyle name="Normal 4 2 2 3 2 3 3 2 3" xfId="28806" xr:uid="{12563708-696E-4440-A96B-811A14BA0152}"/>
    <cellStyle name="Normal 4 2 2 3 2 3 3 2 4" xfId="20365" xr:uid="{9D6E39C8-220C-44E6-B458-779CBFEEE84D}"/>
    <cellStyle name="Normal 4 2 2 3 2 3 3 2 5" xfId="11924" xr:uid="{5A7A0731-EC10-4711-AFCA-B8FF4E2B098E}"/>
    <cellStyle name="Normal 4 2 2 3 2 3 3 3" xfId="5547" xr:uid="{00000000-0005-0000-0000-000025120000}"/>
    <cellStyle name="Normal 4 2 2 3 2 3 3 3 2" xfId="30879" xr:uid="{483654E8-1BA2-4895-B094-8D5D87062AF4}"/>
    <cellStyle name="Normal 4 2 2 3 2 3 3 3 3" xfId="22438" xr:uid="{35E2F47A-1024-4F01-B3EA-424034FE846B}"/>
    <cellStyle name="Normal 4 2 2 3 2 3 3 3 4" xfId="13997" xr:uid="{BCE34BF6-D23B-4F7C-9FED-4DE9C4CB219C}"/>
    <cellStyle name="Normal 4 2 2 3 2 3 3 4" xfId="26661" xr:uid="{119093F7-748F-40DD-8875-E4CADF9D14B9}"/>
    <cellStyle name="Normal 4 2 2 3 2 3 3 5" xfId="18220" xr:uid="{174666EA-EDBE-481E-85D3-B091EC1EFA13}"/>
    <cellStyle name="Normal 4 2 2 3 2 3 3 6" xfId="9779" xr:uid="{099327C7-14CD-49C7-A2E1-CFD0D76CF9E4}"/>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2 2 2" xfId="33437" xr:uid="{E52DC909-D3F7-4B76-8904-1A3A7EF96E93}"/>
    <cellStyle name="Normal 4 2 2 3 2 3 4 2 2 3" xfId="24996" xr:uid="{271AB128-89F6-46D3-9871-5FBC312328B7}"/>
    <cellStyle name="Normal 4 2 2 3 2 3 4 2 2 4" xfId="16555" xr:uid="{5D819412-C8CA-4001-A3F0-4306998B1DDC}"/>
    <cellStyle name="Normal 4 2 2 3 2 3 4 2 3" xfId="29219" xr:uid="{B327074D-4A88-42AB-9598-7B9B7D3DC339}"/>
    <cellStyle name="Normal 4 2 2 3 2 3 4 2 4" xfId="20778" xr:uid="{61C16D5E-982E-4947-8E40-71840124D866}"/>
    <cellStyle name="Normal 4 2 2 3 2 3 4 2 5" xfId="12337" xr:uid="{EC2194AC-CCBF-4B62-87B3-CBC753349C57}"/>
    <cellStyle name="Normal 4 2 2 3 2 3 4 3" xfId="5960" xr:uid="{00000000-0005-0000-0000-000029120000}"/>
    <cellStyle name="Normal 4 2 2 3 2 3 4 3 2" xfId="31292" xr:uid="{E97334A5-0250-49FB-81D8-DF94F4AF63CE}"/>
    <cellStyle name="Normal 4 2 2 3 2 3 4 3 3" xfId="22851" xr:uid="{1B41ED26-99B3-4EC6-8B88-F28EED72E8F0}"/>
    <cellStyle name="Normal 4 2 2 3 2 3 4 3 4" xfId="14410" xr:uid="{6E88DF4F-0C85-429B-B037-A67539ED1598}"/>
    <cellStyle name="Normal 4 2 2 3 2 3 4 4" xfId="27074" xr:uid="{D292D2EA-1E55-4D79-969E-370AAD74C0A3}"/>
    <cellStyle name="Normal 4 2 2 3 2 3 4 5" xfId="18633" xr:uid="{972545AF-6847-45E3-B7E1-EBBC519B3368}"/>
    <cellStyle name="Normal 4 2 2 3 2 3 4 6" xfId="10192" xr:uid="{4FE0A68B-E933-47B5-B88E-D0A6B0D54906}"/>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2 2 2" xfId="33850" xr:uid="{062D19A9-3156-4424-B9C2-2C60FA00FA22}"/>
    <cellStyle name="Normal 4 2 2 3 2 3 5 2 2 3" xfId="25409" xr:uid="{D529249A-5082-498D-8B89-619EB7044C3E}"/>
    <cellStyle name="Normal 4 2 2 3 2 3 5 2 2 4" xfId="16968" xr:uid="{489DE76E-28DF-490C-9935-50B25A886B76}"/>
    <cellStyle name="Normal 4 2 2 3 2 3 5 2 3" xfId="29632" xr:uid="{926D9D1A-970A-4823-96F9-199351AE447E}"/>
    <cellStyle name="Normal 4 2 2 3 2 3 5 2 4" xfId="21191" xr:uid="{7BC965D3-6703-444A-93E3-0DD8FDAA1662}"/>
    <cellStyle name="Normal 4 2 2 3 2 3 5 2 5" xfId="12750" xr:uid="{B1114AC3-0F81-4270-87E2-DBB3C26032F5}"/>
    <cellStyle name="Normal 4 2 2 3 2 3 5 3" xfId="6373" xr:uid="{00000000-0005-0000-0000-00002D120000}"/>
    <cellStyle name="Normal 4 2 2 3 2 3 5 3 2" xfId="31705" xr:uid="{B04EE829-DDC3-4B3E-8C29-024D0A00F90D}"/>
    <cellStyle name="Normal 4 2 2 3 2 3 5 3 3" xfId="23264" xr:uid="{1F532B41-3FB3-421A-A714-50A659A26523}"/>
    <cellStyle name="Normal 4 2 2 3 2 3 5 3 4" xfId="14823" xr:uid="{A63FB51C-662E-44D5-8DA0-C5EA7E18FA62}"/>
    <cellStyle name="Normal 4 2 2 3 2 3 5 4" xfId="27487" xr:uid="{33229D1E-7612-4DCD-B45A-76EFBF253535}"/>
    <cellStyle name="Normal 4 2 2 3 2 3 5 5" xfId="19046" xr:uid="{D1243680-C3DB-444E-8D1D-781E3CAA3925}"/>
    <cellStyle name="Normal 4 2 2 3 2 3 5 6" xfId="10605" xr:uid="{630D7F40-9587-4424-9F17-939B9E50928F}"/>
    <cellStyle name="Normal 4 2 2 3 2 3 6" xfId="2503" xr:uid="{00000000-0005-0000-0000-00002E120000}"/>
    <cellStyle name="Normal 4 2 2 3 2 3 6 2" xfId="6786" xr:uid="{00000000-0005-0000-0000-00002F120000}"/>
    <cellStyle name="Normal 4 2 2 3 2 3 6 2 2" xfId="32118" xr:uid="{0473C432-E7BE-4D7C-BA60-56AA411AE104}"/>
    <cellStyle name="Normal 4 2 2 3 2 3 6 2 3" xfId="23677" xr:uid="{E32BD0FD-7A91-4AC2-9A62-F09E67798EE7}"/>
    <cellStyle name="Normal 4 2 2 3 2 3 6 2 4" xfId="15236" xr:uid="{13D9601A-CAA2-4618-B0FE-AE17A66497B8}"/>
    <cellStyle name="Normal 4 2 2 3 2 3 6 3" xfId="27900" xr:uid="{44771F8C-1EC9-48F4-A334-0E4884C0BA93}"/>
    <cellStyle name="Normal 4 2 2 3 2 3 6 4" xfId="19459" xr:uid="{80B2D690-0950-4D51-B268-1819274A2498}"/>
    <cellStyle name="Normal 4 2 2 3 2 3 6 5" xfId="11018" xr:uid="{3809A4CD-54C9-4A93-9873-38FB0CA17D47}"/>
    <cellStyle name="Normal 4 2 2 3 2 3 7" xfId="4721" xr:uid="{00000000-0005-0000-0000-000030120000}"/>
    <cellStyle name="Normal 4 2 2 3 2 3 7 2" xfId="30053" xr:uid="{A763EA20-41AC-4BFC-B7CF-5A98363EBCE0}"/>
    <cellStyle name="Normal 4 2 2 3 2 3 7 3" xfId="21612" xr:uid="{426BBAE6-6416-4A1B-8A12-7B8FBDAA6AAB}"/>
    <cellStyle name="Normal 4 2 2 3 2 3 7 4" xfId="13171" xr:uid="{9E0EAA07-5833-437C-AB96-FE5269C151C8}"/>
    <cellStyle name="Normal 4 2 2 3 2 3 8" xfId="25835" xr:uid="{7A0C849D-8196-4463-A26D-9D491A0E5341}"/>
    <cellStyle name="Normal 4 2 2 3 2 3 9" xfId="17394" xr:uid="{07C4E4F2-15B9-43E5-9156-A5A09502D91E}"/>
    <cellStyle name="Normal 4 2 2 3 2 4" xfId="817" xr:uid="{00000000-0005-0000-0000-000031120000}"/>
    <cellStyle name="Normal 4 2 2 3 2 4 2" xfId="3054" xr:uid="{00000000-0005-0000-0000-000032120000}"/>
    <cellStyle name="Normal 4 2 2 3 2 4 2 2" xfId="7276" xr:uid="{00000000-0005-0000-0000-000033120000}"/>
    <cellStyle name="Normal 4 2 2 3 2 4 2 2 2" xfId="32608" xr:uid="{A95C2481-517F-4F9A-8F2F-A81B429BCDDA}"/>
    <cellStyle name="Normal 4 2 2 3 2 4 2 2 3" xfId="24167" xr:uid="{7F05E646-F16B-4546-8C5E-30B55358C720}"/>
    <cellStyle name="Normal 4 2 2 3 2 4 2 2 4" xfId="15726" xr:uid="{C5C99ED6-BF6E-49D5-9565-212E2B6B6BAC}"/>
    <cellStyle name="Normal 4 2 2 3 2 4 2 3" xfId="28390" xr:uid="{95B74CCB-9BFC-4FA5-97BE-53019A84DE63}"/>
    <cellStyle name="Normal 4 2 2 3 2 4 2 4" xfId="19949" xr:uid="{2C660E08-CC8A-40A1-ACBD-5E0679151784}"/>
    <cellStyle name="Normal 4 2 2 3 2 4 2 5" xfId="11508" xr:uid="{F5FB3A19-2787-45DE-A92A-07B6DAA8F205}"/>
    <cellStyle name="Normal 4 2 2 3 2 4 3" xfId="5131" xr:uid="{00000000-0005-0000-0000-000034120000}"/>
    <cellStyle name="Normal 4 2 2 3 2 4 3 2" xfId="30463" xr:uid="{951DD9EC-9587-4F03-AA3E-1B8D298983F8}"/>
    <cellStyle name="Normal 4 2 2 3 2 4 3 3" xfId="22022" xr:uid="{8D970975-4297-4F70-BA26-B425E2C1C8D6}"/>
    <cellStyle name="Normal 4 2 2 3 2 4 3 4" xfId="13581" xr:uid="{7F583E4F-228A-46E9-B6AE-1A2294664FE8}"/>
    <cellStyle name="Normal 4 2 2 3 2 4 4" xfId="26245" xr:uid="{4724C9C9-7DEB-4069-BA65-66AA39254320}"/>
    <cellStyle name="Normal 4 2 2 3 2 4 5" xfId="17804" xr:uid="{E1415C3D-677F-4513-B57D-737FC2024A1D}"/>
    <cellStyle name="Normal 4 2 2 3 2 4 6" xfId="9363" xr:uid="{3BFB8D27-05DF-49BE-B605-949D669D65E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2 2 2" xfId="33021" xr:uid="{FC762764-DF1A-40DB-AAFE-A3ED3021C6BD}"/>
    <cellStyle name="Normal 4 2 2 3 2 5 2 2 3" xfId="24580" xr:uid="{A7267B1C-D040-4E5C-9EF5-74E5EAE7B8BF}"/>
    <cellStyle name="Normal 4 2 2 3 2 5 2 2 4" xfId="16139" xr:uid="{0D6C9BAE-2FEE-40DF-913F-1BDA81CB8695}"/>
    <cellStyle name="Normal 4 2 2 3 2 5 2 3" xfId="28803" xr:uid="{44438659-51DB-4486-AEFB-4F7A84F5DF74}"/>
    <cellStyle name="Normal 4 2 2 3 2 5 2 4" xfId="20362" xr:uid="{7F35B398-5604-4BD5-B907-E7BB9C4DE5AC}"/>
    <cellStyle name="Normal 4 2 2 3 2 5 2 5" xfId="11921" xr:uid="{F258B351-0B0B-4201-A7F6-8968B0F82622}"/>
    <cellStyle name="Normal 4 2 2 3 2 5 3" xfId="5544" xr:uid="{00000000-0005-0000-0000-000038120000}"/>
    <cellStyle name="Normal 4 2 2 3 2 5 3 2" xfId="30876" xr:uid="{7EFEB91F-30CC-4B06-8CB4-3704263B2C11}"/>
    <cellStyle name="Normal 4 2 2 3 2 5 3 3" xfId="22435" xr:uid="{4BE14064-D838-4AF7-816A-ACCBE4C04269}"/>
    <cellStyle name="Normal 4 2 2 3 2 5 3 4" xfId="13994" xr:uid="{0DF140E4-6D20-4438-B43D-09AE49361E83}"/>
    <cellStyle name="Normal 4 2 2 3 2 5 4" xfId="26658" xr:uid="{69310130-A76F-4259-A733-D0B86AC5F444}"/>
    <cellStyle name="Normal 4 2 2 3 2 5 5" xfId="18217" xr:uid="{A5005050-5E84-4596-B838-168CACE0391F}"/>
    <cellStyle name="Normal 4 2 2 3 2 5 6" xfId="9776" xr:uid="{E7C8DAA4-1650-4B97-BAF7-EC8A869B551D}"/>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2 2 2" xfId="33434" xr:uid="{65012474-302E-4646-BF28-ECB7F069B641}"/>
    <cellStyle name="Normal 4 2 2 3 2 6 2 2 3" xfId="24993" xr:uid="{F1DBC144-D40C-43BE-A5BD-6BC912DCE3FD}"/>
    <cellStyle name="Normal 4 2 2 3 2 6 2 2 4" xfId="16552" xr:uid="{C1EB46AA-030D-4983-9BD7-97E76BB764B6}"/>
    <cellStyle name="Normal 4 2 2 3 2 6 2 3" xfId="29216" xr:uid="{96DF8677-C967-4728-9BA4-76AACF2DEF82}"/>
    <cellStyle name="Normal 4 2 2 3 2 6 2 4" xfId="20775" xr:uid="{9E4B0EC1-8842-4FC7-98E8-20097180E5B5}"/>
    <cellStyle name="Normal 4 2 2 3 2 6 2 5" xfId="12334" xr:uid="{5BD95D50-A424-4DCD-87F1-F30DA56EB8E7}"/>
    <cellStyle name="Normal 4 2 2 3 2 6 3" xfId="5957" xr:uid="{00000000-0005-0000-0000-00003C120000}"/>
    <cellStyle name="Normal 4 2 2 3 2 6 3 2" xfId="31289" xr:uid="{B757F985-E60A-4C68-B1CA-89A9AC537E23}"/>
    <cellStyle name="Normal 4 2 2 3 2 6 3 3" xfId="22848" xr:uid="{BA284105-1CD5-452B-B813-24874EEFD105}"/>
    <cellStyle name="Normal 4 2 2 3 2 6 3 4" xfId="14407" xr:uid="{AFBD031E-FEB5-4B93-9F9D-4F31A57290B7}"/>
    <cellStyle name="Normal 4 2 2 3 2 6 4" xfId="27071" xr:uid="{A3721213-59A3-4A22-9441-5DA779E27323}"/>
    <cellStyle name="Normal 4 2 2 3 2 6 5" xfId="18630" xr:uid="{B41F3FEC-01C2-457B-8B2A-216C3C246668}"/>
    <cellStyle name="Normal 4 2 2 3 2 6 6" xfId="10189" xr:uid="{1C34567F-1738-4D87-953C-3FC8316E159E}"/>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2 2 2" xfId="33847" xr:uid="{6BF10AFE-9A50-4EAB-925F-54507926B629}"/>
    <cellStyle name="Normal 4 2 2 3 2 7 2 2 3" xfId="25406" xr:uid="{51D1FCBC-FB5C-47D9-AFB5-822DBEFC712F}"/>
    <cellStyle name="Normal 4 2 2 3 2 7 2 2 4" xfId="16965" xr:uid="{F4362C18-F135-4696-A554-D39A4C0F05FC}"/>
    <cellStyle name="Normal 4 2 2 3 2 7 2 3" xfId="29629" xr:uid="{0C68B04E-BF8B-4D17-82B7-828693CEE59D}"/>
    <cellStyle name="Normal 4 2 2 3 2 7 2 4" xfId="21188" xr:uid="{1ACE032E-CAF3-438E-9C04-91A9EC8ADE09}"/>
    <cellStyle name="Normal 4 2 2 3 2 7 2 5" xfId="12747" xr:uid="{68C519C8-322E-41B0-869F-25915D34F9E4}"/>
    <cellStyle name="Normal 4 2 2 3 2 7 3" xfId="6370" xr:uid="{00000000-0005-0000-0000-000040120000}"/>
    <cellStyle name="Normal 4 2 2 3 2 7 3 2" xfId="31702" xr:uid="{FB41D6EE-395C-49B0-A9AD-162214AFFC5E}"/>
    <cellStyle name="Normal 4 2 2 3 2 7 3 3" xfId="23261" xr:uid="{10D34368-F732-4E48-B167-D4CF1AEB692C}"/>
    <cellStyle name="Normal 4 2 2 3 2 7 3 4" xfId="14820" xr:uid="{9E42706B-46C3-4F38-8EC8-2B702E89942E}"/>
    <cellStyle name="Normal 4 2 2 3 2 7 4" xfId="27484" xr:uid="{E7AF475E-86D2-4030-BA8F-BFF601D23EC9}"/>
    <cellStyle name="Normal 4 2 2 3 2 7 5" xfId="19043" xr:uid="{D41630A7-DBFF-45F3-A808-90A9B0FB71E5}"/>
    <cellStyle name="Normal 4 2 2 3 2 7 6" xfId="10602" xr:uid="{6692E917-9EE9-4FC5-9A94-C0876895647E}"/>
    <cellStyle name="Normal 4 2 2 3 2 8" xfId="2500" xr:uid="{00000000-0005-0000-0000-000041120000}"/>
    <cellStyle name="Normal 4 2 2 3 2 8 2" xfId="6783" xr:uid="{00000000-0005-0000-0000-000042120000}"/>
    <cellStyle name="Normal 4 2 2 3 2 8 2 2" xfId="32115" xr:uid="{67402837-880B-4DAE-B2AA-C282866E470C}"/>
    <cellStyle name="Normal 4 2 2 3 2 8 2 3" xfId="23674" xr:uid="{5263E395-FD56-4B9C-B150-B20C260EAEA4}"/>
    <cellStyle name="Normal 4 2 2 3 2 8 2 4" xfId="15233" xr:uid="{3C8D8238-7021-4765-B664-38B80CD09F3C}"/>
    <cellStyle name="Normal 4 2 2 3 2 8 3" xfId="27897" xr:uid="{9976BF50-ADE7-4DB0-A30C-5EBD1BA32CDD}"/>
    <cellStyle name="Normal 4 2 2 3 2 8 4" xfId="19456" xr:uid="{77CB1DC4-1AD0-423F-8218-4707E5166BBF}"/>
    <cellStyle name="Normal 4 2 2 3 2 8 5" xfId="11015" xr:uid="{97BDA1D2-2C8B-4E71-925E-185F317C8D5A}"/>
    <cellStyle name="Normal 4 2 2 3 2 9" xfId="4718" xr:uid="{00000000-0005-0000-0000-000043120000}"/>
    <cellStyle name="Normal 4 2 2 3 2 9 2" xfId="30050" xr:uid="{A8AFC7A7-F18A-411B-A51B-8D0ABC086D60}"/>
    <cellStyle name="Normal 4 2 2 3 2 9 3" xfId="21609" xr:uid="{ECD3FB77-AD84-4307-94AD-984FEFF898F1}"/>
    <cellStyle name="Normal 4 2 2 3 2 9 4" xfId="13168" xr:uid="{74C982FD-DA28-4895-BB4C-61E1E7E0D6D3}"/>
    <cellStyle name="Normal 4 2 2 3 3" xfId="344" xr:uid="{00000000-0005-0000-0000-000044120000}"/>
    <cellStyle name="Normal 4 2 2 3 3 10" xfId="17395" xr:uid="{4F609557-F7E9-4E62-99A1-B7D066B0F3C7}"/>
    <cellStyle name="Normal 4 2 2 3 3 11" xfId="8954" xr:uid="{D6F78A05-DD33-49D2-B5BD-70593E293D94}"/>
    <cellStyle name="Normal 4 2 2 3 3 2" xfId="345" xr:uid="{00000000-0005-0000-0000-000045120000}"/>
    <cellStyle name="Normal 4 2 2 3 3 2 10" xfId="8955" xr:uid="{12E3F721-CB46-4617-855C-D2DBFA9909D8}"/>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2 2 2" xfId="32613" xr:uid="{E676B5DC-822D-49D4-B76F-915B6D23C7FE}"/>
    <cellStyle name="Normal 4 2 2 3 3 2 2 2 2 3" xfId="24172" xr:uid="{64A6683F-94B8-4B10-8789-F87F8C3ADF1E}"/>
    <cellStyle name="Normal 4 2 2 3 3 2 2 2 2 4" xfId="15731" xr:uid="{E4F9F7EB-1492-4DB9-AA2A-019FFD77B11D}"/>
    <cellStyle name="Normal 4 2 2 3 3 2 2 2 3" xfId="28395" xr:uid="{A748C776-34FE-40F9-809E-3643B6685A3B}"/>
    <cellStyle name="Normal 4 2 2 3 3 2 2 2 4" xfId="19954" xr:uid="{668690B0-A5CD-4C7B-8F62-65788E8D963F}"/>
    <cellStyle name="Normal 4 2 2 3 3 2 2 2 5" xfId="11513" xr:uid="{15A8FFA2-C9C1-4E86-8DC0-2E7C62601BE2}"/>
    <cellStyle name="Normal 4 2 2 3 3 2 2 3" xfId="5136" xr:uid="{00000000-0005-0000-0000-000049120000}"/>
    <cellStyle name="Normal 4 2 2 3 3 2 2 3 2" xfId="30468" xr:uid="{1B81FA35-5792-47AE-AFDE-6D27EE96CE0B}"/>
    <cellStyle name="Normal 4 2 2 3 3 2 2 3 3" xfId="22027" xr:uid="{186D94F9-9663-4933-9C17-99C1D2845357}"/>
    <cellStyle name="Normal 4 2 2 3 3 2 2 3 4" xfId="13586" xr:uid="{410195C4-19EA-4C3F-8C8F-47ED77BC33E1}"/>
    <cellStyle name="Normal 4 2 2 3 3 2 2 4" xfId="26250" xr:uid="{8E88F9E4-2DA3-4A3A-BD20-E77ED49A4FCC}"/>
    <cellStyle name="Normal 4 2 2 3 3 2 2 5" xfId="17809" xr:uid="{C1E1C78D-E94E-486C-A4F4-95B4E417433B}"/>
    <cellStyle name="Normal 4 2 2 3 3 2 2 6" xfId="9368" xr:uid="{FE51408F-D9F7-44FA-97C5-20581DCD5C21}"/>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2 2 2" xfId="33026" xr:uid="{1B99BD7B-3764-4CC3-B159-C6CC7661A952}"/>
    <cellStyle name="Normal 4 2 2 3 3 2 3 2 2 3" xfId="24585" xr:uid="{21506D97-C510-400C-997D-4ED0E238EB26}"/>
    <cellStyle name="Normal 4 2 2 3 3 2 3 2 2 4" xfId="16144" xr:uid="{E543C9B3-E4DF-4544-8E65-28294E5DF471}"/>
    <cellStyle name="Normal 4 2 2 3 3 2 3 2 3" xfId="28808" xr:uid="{22981911-376E-4A03-B87E-0CBDEB1EA1B0}"/>
    <cellStyle name="Normal 4 2 2 3 3 2 3 2 4" xfId="20367" xr:uid="{64CBA773-FA82-47AD-9DBB-3F574BBC0E98}"/>
    <cellStyle name="Normal 4 2 2 3 3 2 3 2 5" xfId="11926" xr:uid="{2CF44901-F699-4E59-8377-048095DBF5D1}"/>
    <cellStyle name="Normal 4 2 2 3 3 2 3 3" xfId="5549" xr:uid="{00000000-0005-0000-0000-00004D120000}"/>
    <cellStyle name="Normal 4 2 2 3 3 2 3 3 2" xfId="30881" xr:uid="{358BD66C-5890-45C2-972B-98E427F74C8A}"/>
    <cellStyle name="Normal 4 2 2 3 3 2 3 3 3" xfId="22440" xr:uid="{C6E2ED2B-ECA7-4984-B1E5-E1504C3D4C79}"/>
    <cellStyle name="Normal 4 2 2 3 3 2 3 3 4" xfId="13999" xr:uid="{23E1C458-EE52-4EE2-AE20-360B137463AD}"/>
    <cellStyle name="Normal 4 2 2 3 3 2 3 4" xfId="26663" xr:uid="{E2C54A80-497D-41C5-967E-3C8FA000843C}"/>
    <cellStyle name="Normal 4 2 2 3 3 2 3 5" xfId="18222" xr:uid="{51EA8284-FB73-448F-9B01-DBC6A83BA3CC}"/>
    <cellStyle name="Normal 4 2 2 3 3 2 3 6" xfId="9781" xr:uid="{53BBA0F0-34B1-4B94-B875-12F90D4C5FF6}"/>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2 2 2" xfId="33439" xr:uid="{3B0E7E55-37FD-4E64-A5B1-7290A4727791}"/>
    <cellStyle name="Normal 4 2 2 3 3 2 4 2 2 3" xfId="24998" xr:uid="{BB2F87EC-FD05-4D2F-81E4-B2BB9038D338}"/>
    <cellStyle name="Normal 4 2 2 3 3 2 4 2 2 4" xfId="16557" xr:uid="{82128213-502C-4E11-ACFA-CA68B55AB20F}"/>
    <cellStyle name="Normal 4 2 2 3 3 2 4 2 3" xfId="29221" xr:uid="{47474511-52DF-4DE2-84CD-2B719F6C00B6}"/>
    <cellStyle name="Normal 4 2 2 3 3 2 4 2 4" xfId="20780" xr:uid="{FDAB3749-C48C-4A50-A34C-12A8970DAFEC}"/>
    <cellStyle name="Normal 4 2 2 3 3 2 4 2 5" xfId="12339" xr:uid="{A37815AE-8FAD-4582-BB94-635CEE5F0F62}"/>
    <cellStyle name="Normal 4 2 2 3 3 2 4 3" xfId="5962" xr:uid="{00000000-0005-0000-0000-000051120000}"/>
    <cellStyle name="Normal 4 2 2 3 3 2 4 3 2" xfId="31294" xr:uid="{D9B0BBF5-0C2F-45CC-9224-C8237F21194C}"/>
    <cellStyle name="Normal 4 2 2 3 3 2 4 3 3" xfId="22853" xr:uid="{19D73B8A-9262-4FC6-80BB-2255579CC3C1}"/>
    <cellStyle name="Normal 4 2 2 3 3 2 4 3 4" xfId="14412" xr:uid="{47A75ECA-D4DB-4DDD-A40F-D232BD19BC39}"/>
    <cellStyle name="Normal 4 2 2 3 3 2 4 4" xfId="27076" xr:uid="{9694F9C1-DC71-4A7C-BD74-61FBBD31C355}"/>
    <cellStyle name="Normal 4 2 2 3 3 2 4 5" xfId="18635" xr:uid="{89E6057F-CEC5-4296-9D0A-0F298B25C567}"/>
    <cellStyle name="Normal 4 2 2 3 3 2 4 6" xfId="10194" xr:uid="{3EAB5028-FCD3-4270-B9EA-E90DCF8D6953}"/>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2 2 2" xfId="33852" xr:uid="{4B89AACD-8A33-4287-91AA-6CBE332982E5}"/>
    <cellStyle name="Normal 4 2 2 3 3 2 5 2 2 3" xfId="25411" xr:uid="{4AC5B242-DD52-4A92-B7C2-9AC715D0466C}"/>
    <cellStyle name="Normal 4 2 2 3 3 2 5 2 2 4" xfId="16970" xr:uid="{FCE5ACCA-A857-4467-83F4-71549D1CFDF6}"/>
    <cellStyle name="Normal 4 2 2 3 3 2 5 2 3" xfId="29634" xr:uid="{6472100C-0A3A-49D8-863D-3EF6037E016B}"/>
    <cellStyle name="Normal 4 2 2 3 3 2 5 2 4" xfId="21193" xr:uid="{502DFF44-3419-4CC4-9207-17A4C1ECC3A1}"/>
    <cellStyle name="Normal 4 2 2 3 3 2 5 2 5" xfId="12752" xr:uid="{2E23E2FA-462B-430F-8489-E39D28C7E281}"/>
    <cellStyle name="Normal 4 2 2 3 3 2 5 3" xfId="6375" xr:uid="{00000000-0005-0000-0000-000055120000}"/>
    <cellStyle name="Normal 4 2 2 3 3 2 5 3 2" xfId="31707" xr:uid="{2B7B586C-16BB-4A18-A994-62F929F1A856}"/>
    <cellStyle name="Normal 4 2 2 3 3 2 5 3 3" xfId="23266" xr:uid="{79995DAB-AF4A-4F08-8DAE-7BD18A4DE32B}"/>
    <cellStyle name="Normal 4 2 2 3 3 2 5 3 4" xfId="14825" xr:uid="{D1EDE099-1DA1-4FD7-88C2-FC5C1A2CBFFF}"/>
    <cellStyle name="Normal 4 2 2 3 3 2 5 4" xfId="27489" xr:uid="{1650A673-4B92-4AFE-BCF5-2ACCBC954C26}"/>
    <cellStyle name="Normal 4 2 2 3 3 2 5 5" xfId="19048" xr:uid="{83870213-41E5-4B90-9540-24A7E9D21363}"/>
    <cellStyle name="Normal 4 2 2 3 3 2 5 6" xfId="10607" xr:uid="{9628E39C-D06E-463B-8510-63A5802CBD0E}"/>
    <cellStyle name="Normal 4 2 2 3 3 2 6" xfId="2505" xr:uid="{00000000-0005-0000-0000-000056120000}"/>
    <cellStyle name="Normal 4 2 2 3 3 2 6 2" xfId="6788" xr:uid="{00000000-0005-0000-0000-000057120000}"/>
    <cellStyle name="Normal 4 2 2 3 3 2 6 2 2" xfId="32120" xr:uid="{ED11BF04-5548-4DEC-8486-47BEE6EEE285}"/>
    <cellStyle name="Normal 4 2 2 3 3 2 6 2 3" xfId="23679" xr:uid="{1211B6A9-5BF1-4682-95EB-F11D111FF00A}"/>
    <cellStyle name="Normal 4 2 2 3 3 2 6 2 4" xfId="15238" xr:uid="{C66594C0-EDC5-4203-B5C0-366CC59B2D9F}"/>
    <cellStyle name="Normal 4 2 2 3 3 2 6 3" xfId="27902" xr:uid="{1467406F-5B5A-47A7-B1C9-4160591D981D}"/>
    <cellStyle name="Normal 4 2 2 3 3 2 6 4" xfId="19461" xr:uid="{45A7A826-63C3-4CFD-BA63-205067AFD374}"/>
    <cellStyle name="Normal 4 2 2 3 3 2 6 5" xfId="11020" xr:uid="{F7446438-2F50-4954-8AAB-CEE30294C1CE}"/>
    <cellStyle name="Normal 4 2 2 3 3 2 7" xfId="4723" xr:uid="{00000000-0005-0000-0000-000058120000}"/>
    <cellStyle name="Normal 4 2 2 3 3 2 7 2" xfId="30055" xr:uid="{676493EE-8B8B-4723-9C12-FE21B92A84B2}"/>
    <cellStyle name="Normal 4 2 2 3 3 2 7 3" xfId="21614" xr:uid="{49E9098E-4D69-4EC1-A886-0CDC7C88E7D7}"/>
    <cellStyle name="Normal 4 2 2 3 3 2 7 4" xfId="13173" xr:uid="{24D3276E-C810-4572-9750-35D3D0D469AE}"/>
    <cellStyle name="Normal 4 2 2 3 3 2 8" xfId="25837" xr:uid="{B6ADD8AB-A670-45E6-928D-70FBA3732E27}"/>
    <cellStyle name="Normal 4 2 2 3 3 2 9" xfId="17396" xr:uid="{35A165E7-191A-4059-AC4D-222C928ECF5A}"/>
    <cellStyle name="Normal 4 2 2 3 3 3" xfId="821" xr:uid="{00000000-0005-0000-0000-000059120000}"/>
    <cellStyle name="Normal 4 2 2 3 3 3 2" xfId="3058" xr:uid="{00000000-0005-0000-0000-00005A120000}"/>
    <cellStyle name="Normal 4 2 2 3 3 3 2 2" xfId="7280" xr:uid="{00000000-0005-0000-0000-00005B120000}"/>
    <cellStyle name="Normal 4 2 2 3 3 3 2 2 2" xfId="32612" xr:uid="{76067740-50E7-4481-A89C-E615BA558C72}"/>
    <cellStyle name="Normal 4 2 2 3 3 3 2 2 3" xfId="24171" xr:uid="{A1AC583B-3895-44A5-9E04-F41D2FEC5EDE}"/>
    <cellStyle name="Normal 4 2 2 3 3 3 2 2 4" xfId="15730" xr:uid="{0191196A-73BA-4EE5-AC5E-5238702A6950}"/>
    <cellStyle name="Normal 4 2 2 3 3 3 2 3" xfId="28394" xr:uid="{AE004B7E-C570-40F1-831A-809601441386}"/>
    <cellStyle name="Normal 4 2 2 3 3 3 2 4" xfId="19953" xr:uid="{34E3DF79-BDE8-4205-8F45-6DEA31C9A982}"/>
    <cellStyle name="Normal 4 2 2 3 3 3 2 5" xfId="11512" xr:uid="{41CF73C9-EB84-401C-B2FA-B2DDD0483171}"/>
    <cellStyle name="Normal 4 2 2 3 3 3 3" xfId="5135" xr:uid="{00000000-0005-0000-0000-00005C120000}"/>
    <cellStyle name="Normal 4 2 2 3 3 3 3 2" xfId="30467" xr:uid="{B2AF99BF-851A-416D-9F3B-B70218928668}"/>
    <cellStyle name="Normal 4 2 2 3 3 3 3 3" xfId="22026" xr:uid="{1A478E3B-4F60-4E7D-8E74-4985437218DB}"/>
    <cellStyle name="Normal 4 2 2 3 3 3 3 4" xfId="13585" xr:uid="{77C7D732-B389-4BB1-B6E3-54F798E1B105}"/>
    <cellStyle name="Normal 4 2 2 3 3 3 4" xfId="26249" xr:uid="{B53E6263-CC18-4E94-8064-A46441F88974}"/>
    <cellStyle name="Normal 4 2 2 3 3 3 5" xfId="17808" xr:uid="{977E1058-8F6B-4447-8796-E340060857E8}"/>
    <cellStyle name="Normal 4 2 2 3 3 3 6" xfId="9367" xr:uid="{F59DBFE5-A48B-4D39-ABA5-D0BDC1324D0C}"/>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2 2 2" xfId="33025" xr:uid="{EAA55B31-41AA-409F-8607-3911E65CB0A8}"/>
    <cellStyle name="Normal 4 2 2 3 3 4 2 2 3" xfId="24584" xr:uid="{731D3E62-93A6-4900-83AB-5EDC0D0A41C9}"/>
    <cellStyle name="Normal 4 2 2 3 3 4 2 2 4" xfId="16143" xr:uid="{69288CC1-5A66-42B5-B8F5-CDE9ED28B09D}"/>
    <cellStyle name="Normal 4 2 2 3 3 4 2 3" xfId="28807" xr:uid="{BB03AA93-1B1D-4D69-9CEA-A51FA89AE7EE}"/>
    <cellStyle name="Normal 4 2 2 3 3 4 2 4" xfId="20366" xr:uid="{15F851A3-ACC3-4FED-AA4D-4BEC8ED5918C}"/>
    <cellStyle name="Normal 4 2 2 3 3 4 2 5" xfId="11925" xr:uid="{72D1303D-857B-4E92-B71A-A5271E0678B7}"/>
    <cellStyle name="Normal 4 2 2 3 3 4 3" xfId="5548" xr:uid="{00000000-0005-0000-0000-000060120000}"/>
    <cellStyle name="Normal 4 2 2 3 3 4 3 2" xfId="30880" xr:uid="{130B57FA-BE3A-4DBD-B3E6-A935066BA0F5}"/>
    <cellStyle name="Normal 4 2 2 3 3 4 3 3" xfId="22439" xr:uid="{FCB5B1E2-BB5A-4087-8FAB-214BC5650932}"/>
    <cellStyle name="Normal 4 2 2 3 3 4 3 4" xfId="13998" xr:uid="{24D512F2-4125-418B-B663-C885738C46A8}"/>
    <cellStyle name="Normal 4 2 2 3 3 4 4" xfId="26662" xr:uid="{72AB5AB7-5023-4E5D-98FD-9E7DF1388D72}"/>
    <cellStyle name="Normal 4 2 2 3 3 4 5" xfId="18221" xr:uid="{DA7D235A-422C-4B08-95BD-2E131AE580CA}"/>
    <cellStyle name="Normal 4 2 2 3 3 4 6" xfId="9780" xr:uid="{A8F38E49-E6A1-42D9-B312-CE547ECF6F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2 2 2" xfId="33438" xr:uid="{AEF0D0C2-45D9-46D6-B7ED-F04789C16842}"/>
    <cellStyle name="Normal 4 2 2 3 3 5 2 2 3" xfId="24997" xr:uid="{70AADF97-680A-4EA5-9078-9CC47C95932D}"/>
    <cellStyle name="Normal 4 2 2 3 3 5 2 2 4" xfId="16556" xr:uid="{DCDF53BB-BA9D-43A4-9FBB-CF1BFFF0A9C5}"/>
    <cellStyle name="Normal 4 2 2 3 3 5 2 3" xfId="29220" xr:uid="{ED19733D-1AD2-4833-BC74-EC3B4F7627A1}"/>
    <cellStyle name="Normal 4 2 2 3 3 5 2 4" xfId="20779" xr:uid="{017ADC37-ACFD-43FE-8AD3-F47909F2826E}"/>
    <cellStyle name="Normal 4 2 2 3 3 5 2 5" xfId="12338" xr:uid="{15DC1DAA-1D9F-4D13-B4CC-77C98A213404}"/>
    <cellStyle name="Normal 4 2 2 3 3 5 3" xfId="5961" xr:uid="{00000000-0005-0000-0000-000064120000}"/>
    <cellStyle name="Normal 4 2 2 3 3 5 3 2" xfId="31293" xr:uid="{7C948E11-2466-4114-8478-D6E9AB9735F5}"/>
    <cellStyle name="Normal 4 2 2 3 3 5 3 3" xfId="22852" xr:uid="{8518C548-3ED4-41D4-8645-5C0110D38F55}"/>
    <cellStyle name="Normal 4 2 2 3 3 5 3 4" xfId="14411" xr:uid="{1CA09E6C-05E2-40B1-9974-4D88408237F6}"/>
    <cellStyle name="Normal 4 2 2 3 3 5 4" xfId="27075" xr:uid="{81C05803-D084-44DA-9D43-E70EDC4CCA73}"/>
    <cellStyle name="Normal 4 2 2 3 3 5 5" xfId="18634" xr:uid="{63D4BF8D-FDB4-4B2A-BC77-830F66B8DD9B}"/>
    <cellStyle name="Normal 4 2 2 3 3 5 6" xfId="10193" xr:uid="{7BC9B8C5-0C43-45FE-B9F8-0E1F7E840A1D}"/>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2 2 2" xfId="33851" xr:uid="{248BFC22-DC6A-44E8-B8D6-BC9BC7D7C925}"/>
    <cellStyle name="Normal 4 2 2 3 3 6 2 2 3" xfId="25410" xr:uid="{C0285D28-A823-4A36-96AD-96F25C6BC7B9}"/>
    <cellStyle name="Normal 4 2 2 3 3 6 2 2 4" xfId="16969" xr:uid="{905F404C-F8ED-4B62-837E-FD9C90F5FB5A}"/>
    <cellStyle name="Normal 4 2 2 3 3 6 2 3" xfId="29633" xr:uid="{5B18939D-5951-46E6-B9EE-F0A347739DD5}"/>
    <cellStyle name="Normal 4 2 2 3 3 6 2 4" xfId="21192" xr:uid="{6816B779-12DC-40B1-8B64-B87A5CBE2D32}"/>
    <cellStyle name="Normal 4 2 2 3 3 6 2 5" xfId="12751" xr:uid="{30D76EFD-7725-43C1-8B22-38C06196B390}"/>
    <cellStyle name="Normal 4 2 2 3 3 6 3" xfId="6374" xr:uid="{00000000-0005-0000-0000-000068120000}"/>
    <cellStyle name="Normal 4 2 2 3 3 6 3 2" xfId="31706" xr:uid="{002DC285-4255-4330-87BA-5865B4778D97}"/>
    <cellStyle name="Normal 4 2 2 3 3 6 3 3" xfId="23265" xr:uid="{B4091FED-73CD-49D6-BD94-AA8E9DB50450}"/>
    <cellStyle name="Normal 4 2 2 3 3 6 3 4" xfId="14824" xr:uid="{5BFDE2BB-7F50-468F-812F-0EADD85D9807}"/>
    <cellStyle name="Normal 4 2 2 3 3 6 4" xfId="27488" xr:uid="{B32A86E4-4BCB-4156-9C1A-E02A1048BB30}"/>
    <cellStyle name="Normal 4 2 2 3 3 6 5" xfId="19047" xr:uid="{1886506A-893F-459E-B102-7A9CF06F6AEC}"/>
    <cellStyle name="Normal 4 2 2 3 3 6 6" xfId="10606" xr:uid="{72B439F2-2EF7-458D-AF2E-8DBBA9A0C2E0}"/>
    <cellStyle name="Normal 4 2 2 3 3 7" xfId="2504" xr:uid="{00000000-0005-0000-0000-000069120000}"/>
    <cellStyle name="Normal 4 2 2 3 3 7 2" xfId="6787" xr:uid="{00000000-0005-0000-0000-00006A120000}"/>
    <cellStyle name="Normal 4 2 2 3 3 7 2 2" xfId="32119" xr:uid="{80853DD2-D75A-46C3-A27A-F56226918BE8}"/>
    <cellStyle name="Normal 4 2 2 3 3 7 2 3" xfId="23678" xr:uid="{45C018E3-24D6-48E8-9391-301D529FEF8F}"/>
    <cellStyle name="Normal 4 2 2 3 3 7 2 4" xfId="15237" xr:uid="{373E1615-A70D-47A6-9056-D8AC5B68CA0D}"/>
    <cellStyle name="Normal 4 2 2 3 3 7 3" xfId="27901" xr:uid="{3609E942-D1CF-48DB-BB65-AE62DC30D376}"/>
    <cellStyle name="Normal 4 2 2 3 3 7 4" xfId="19460" xr:uid="{653931E9-1C77-452E-A47E-24A94F06C995}"/>
    <cellStyle name="Normal 4 2 2 3 3 7 5" xfId="11019" xr:uid="{A9653117-2868-4FB1-92BB-EC43AD5AE9E6}"/>
    <cellStyle name="Normal 4 2 2 3 3 8" xfId="4722" xr:uid="{00000000-0005-0000-0000-00006B120000}"/>
    <cellStyle name="Normal 4 2 2 3 3 8 2" xfId="30054" xr:uid="{5AC4F07E-3A14-4C66-A550-49BA351F6213}"/>
    <cellStyle name="Normal 4 2 2 3 3 8 3" xfId="21613" xr:uid="{5B367D4F-1C33-49DA-A914-BC86906ADA06}"/>
    <cellStyle name="Normal 4 2 2 3 3 8 4" xfId="13172" xr:uid="{D952A469-1E40-4A56-BBE0-C3CCA0135B1A}"/>
    <cellStyle name="Normal 4 2 2 3 3 9" xfId="25836" xr:uid="{0F884BEE-480E-4DF5-B7FF-61C2E082169E}"/>
    <cellStyle name="Normal 4 2 2 3 4" xfId="346" xr:uid="{00000000-0005-0000-0000-00006C120000}"/>
    <cellStyle name="Normal 4 2 2 3 4 10" xfId="8956" xr:uid="{CDF80985-8A50-4F13-A70A-740FC4ED2C6F}"/>
    <cellStyle name="Normal 4 2 2 3 4 2" xfId="823" xr:uid="{00000000-0005-0000-0000-00006D120000}"/>
    <cellStyle name="Normal 4 2 2 3 4 2 2" xfId="3060" xr:uid="{00000000-0005-0000-0000-00006E120000}"/>
    <cellStyle name="Normal 4 2 2 3 4 2 2 2" xfId="7282" xr:uid="{00000000-0005-0000-0000-00006F120000}"/>
    <cellStyle name="Normal 4 2 2 3 4 2 2 2 2" xfId="32614" xr:uid="{95D16574-5800-41A1-BFA7-9E4B646B71DC}"/>
    <cellStyle name="Normal 4 2 2 3 4 2 2 2 3" xfId="24173" xr:uid="{72D21DF8-A619-4292-9892-AC0740122E87}"/>
    <cellStyle name="Normal 4 2 2 3 4 2 2 2 4" xfId="15732" xr:uid="{D315B37E-4C90-48D2-92C3-F530BCB5EE1D}"/>
    <cellStyle name="Normal 4 2 2 3 4 2 2 3" xfId="28396" xr:uid="{ACC15A47-9514-491D-BC07-D2E283F92B4A}"/>
    <cellStyle name="Normal 4 2 2 3 4 2 2 4" xfId="19955" xr:uid="{2436EE08-3340-4495-AD58-A8895DF30FE4}"/>
    <cellStyle name="Normal 4 2 2 3 4 2 2 5" xfId="11514" xr:uid="{C1A0ED6C-7272-41F4-9FF6-305DE05D0453}"/>
    <cellStyle name="Normal 4 2 2 3 4 2 3" xfId="5137" xr:uid="{00000000-0005-0000-0000-000070120000}"/>
    <cellStyle name="Normal 4 2 2 3 4 2 3 2" xfId="30469" xr:uid="{64648DA9-96DA-47EC-BC61-247F8F2484BC}"/>
    <cellStyle name="Normal 4 2 2 3 4 2 3 3" xfId="22028" xr:uid="{21F9F525-EC19-4E7D-932A-36F9B654147B}"/>
    <cellStyle name="Normal 4 2 2 3 4 2 3 4" xfId="13587" xr:uid="{01BB43DF-296D-4278-A0C8-AF36F28C1BF1}"/>
    <cellStyle name="Normal 4 2 2 3 4 2 4" xfId="26251" xr:uid="{6C262CB2-3C30-454C-81E9-CAE5DBD17E37}"/>
    <cellStyle name="Normal 4 2 2 3 4 2 5" xfId="17810" xr:uid="{7241F772-D9AD-41DF-BDF4-3EB4AFA01FAA}"/>
    <cellStyle name="Normal 4 2 2 3 4 2 6" xfId="9369" xr:uid="{86741C27-7D8C-49DC-81B2-85FCA274E923}"/>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2 2 2" xfId="33027" xr:uid="{79DCAEA1-6B0A-410B-BBD5-BAF8D802B440}"/>
    <cellStyle name="Normal 4 2 2 3 4 3 2 2 3" xfId="24586" xr:uid="{2A709A8E-4653-4B24-A1C3-8CE66ED96E1B}"/>
    <cellStyle name="Normal 4 2 2 3 4 3 2 2 4" xfId="16145" xr:uid="{0A27B017-75BE-44E3-9037-A7D55D33AC30}"/>
    <cellStyle name="Normal 4 2 2 3 4 3 2 3" xfId="28809" xr:uid="{67CF4F19-692C-4816-93A2-2BB1DF939B81}"/>
    <cellStyle name="Normal 4 2 2 3 4 3 2 4" xfId="20368" xr:uid="{600300BF-8ADC-480B-8A72-1CB906BDEC91}"/>
    <cellStyle name="Normal 4 2 2 3 4 3 2 5" xfId="11927" xr:uid="{DB95B953-8EE0-49C2-A913-0A3BFBE87B02}"/>
    <cellStyle name="Normal 4 2 2 3 4 3 3" xfId="5550" xr:uid="{00000000-0005-0000-0000-000074120000}"/>
    <cellStyle name="Normal 4 2 2 3 4 3 3 2" xfId="30882" xr:uid="{BA46D750-6ECC-4B03-8998-6B1EBA2E4302}"/>
    <cellStyle name="Normal 4 2 2 3 4 3 3 3" xfId="22441" xr:uid="{6DD51D51-419D-4588-BDA9-A4EF018DCFD4}"/>
    <cellStyle name="Normal 4 2 2 3 4 3 3 4" xfId="14000" xr:uid="{5842A233-1EE3-40E8-B088-445AF9AA826E}"/>
    <cellStyle name="Normal 4 2 2 3 4 3 4" xfId="26664" xr:uid="{D92B7E1D-A411-4E11-A5F1-2B3015395B7F}"/>
    <cellStyle name="Normal 4 2 2 3 4 3 5" xfId="18223" xr:uid="{DED9770C-F0E7-44CA-B703-F441D7A2A173}"/>
    <cellStyle name="Normal 4 2 2 3 4 3 6" xfId="9782" xr:uid="{2B0770FB-E101-4E34-A2A9-EA4D526B6E2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2 2 2" xfId="33440" xr:uid="{BB81BBE7-0B4F-4408-9C4C-BCC62FBA13DA}"/>
    <cellStyle name="Normal 4 2 2 3 4 4 2 2 3" xfId="24999" xr:uid="{9EB55071-53F2-4209-9D5D-BBA6C93C1399}"/>
    <cellStyle name="Normal 4 2 2 3 4 4 2 2 4" xfId="16558" xr:uid="{4CFC2446-021C-423B-8321-F844772D6F32}"/>
    <cellStyle name="Normal 4 2 2 3 4 4 2 3" xfId="29222" xr:uid="{789241C8-3B3F-4609-ACB3-47DDE4F9DD46}"/>
    <cellStyle name="Normal 4 2 2 3 4 4 2 4" xfId="20781" xr:uid="{ACB1E010-A6FF-4341-BC4D-082DD9AEBAFC}"/>
    <cellStyle name="Normal 4 2 2 3 4 4 2 5" xfId="12340" xr:uid="{C0CFF980-2F3C-42A2-8730-5839D2CBC169}"/>
    <cellStyle name="Normal 4 2 2 3 4 4 3" xfId="5963" xr:uid="{00000000-0005-0000-0000-000078120000}"/>
    <cellStyle name="Normal 4 2 2 3 4 4 3 2" xfId="31295" xr:uid="{9397F0C7-8D79-429E-BF80-A7526F127C2C}"/>
    <cellStyle name="Normal 4 2 2 3 4 4 3 3" xfId="22854" xr:uid="{E33C42C2-A8CA-4424-B21A-28C223A043FE}"/>
    <cellStyle name="Normal 4 2 2 3 4 4 3 4" xfId="14413" xr:uid="{80D90ED5-0D1E-4A46-84F9-E58CD916091F}"/>
    <cellStyle name="Normal 4 2 2 3 4 4 4" xfId="27077" xr:uid="{A95CEE6F-87CA-45A1-BA46-B49F26B8F789}"/>
    <cellStyle name="Normal 4 2 2 3 4 4 5" xfId="18636" xr:uid="{534DCE50-29D0-4E21-826D-E004C6EA25F0}"/>
    <cellStyle name="Normal 4 2 2 3 4 4 6" xfId="10195" xr:uid="{45FFDFB4-F74A-45B2-8554-A05273B7201F}"/>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2 2 2" xfId="33853" xr:uid="{57E1D402-68B5-4FEB-A8A8-662D9865EF23}"/>
    <cellStyle name="Normal 4 2 2 3 4 5 2 2 3" xfId="25412" xr:uid="{557149C9-9F6F-4138-BB9F-09DB40CCA08E}"/>
    <cellStyle name="Normal 4 2 2 3 4 5 2 2 4" xfId="16971" xr:uid="{19DC672B-969C-4CBA-B17F-E91521FDA001}"/>
    <cellStyle name="Normal 4 2 2 3 4 5 2 3" xfId="29635" xr:uid="{F13E5A8C-0866-4B52-8D53-7A354988F486}"/>
    <cellStyle name="Normal 4 2 2 3 4 5 2 4" xfId="21194" xr:uid="{AAF7B175-7F79-4B66-8C1E-C1786100ACA1}"/>
    <cellStyle name="Normal 4 2 2 3 4 5 2 5" xfId="12753" xr:uid="{E9CC4CE6-D6ED-432E-A21A-DA5399D4AAF9}"/>
    <cellStyle name="Normal 4 2 2 3 4 5 3" xfId="6376" xr:uid="{00000000-0005-0000-0000-00007C120000}"/>
    <cellStyle name="Normal 4 2 2 3 4 5 3 2" xfId="31708" xr:uid="{C31B078A-C209-41C5-B197-A06C67B9D164}"/>
    <cellStyle name="Normal 4 2 2 3 4 5 3 3" xfId="23267" xr:uid="{0E835E6C-3161-452F-B785-33DEDA33ED52}"/>
    <cellStyle name="Normal 4 2 2 3 4 5 3 4" xfId="14826" xr:uid="{F88912A9-9ACF-48E9-94EA-35B87FA180C0}"/>
    <cellStyle name="Normal 4 2 2 3 4 5 4" xfId="27490" xr:uid="{ECA16A77-B3BB-4F84-84A2-8C53A3D4FF4D}"/>
    <cellStyle name="Normal 4 2 2 3 4 5 5" xfId="19049" xr:uid="{FCE8E4C3-89CF-45B7-A16E-272EF5F4F13E}"/>
    <cellStyle name="Normal 4 2 2 3 4 5 6" xfId="10608" xr:uid="{96FEFE37-9571-4008-8503-C881FFD63634}"/>
    <cellStyle name="Normal 4 2 2 3 4 6" xfId="2506" xr:uid="{00000000-0005-0000-0000-00007D120000}"/>
    <cellStyle name="Normal 4 2 2 3 4 6 2" xfId="6789" xr:uid="{00000000-0005-0000-0000-00007E120000}"/>
    <cellStyle name="Normal 4 2 2 3 4 6 2 2" xfId="32121" xr:uid="{B1A1C14C-5072-41C3-87FD-356B6E40B24D}"/>
    <cellStyle name="Normal 4 2 2 3 4 6 2 3" xfId="23680" xr:uid="{26278AFF-2B8B-4213-949C-98F62D37A1CF}"/>
    <cellStyle name="Normal 4 2 2 3 4 6 2 4" xfId="15239" xr:uid="{700DB676-291F-4A22-AB80-A595A773FF3B}"/>
    <cellStyle name="Normal 4 2 2 3 4 6 3" xfId="27903" xr:uid="{E513AD13-4D25-47B2-95AF-7D64B2AE6238}"/>
    <cellStyle name="Normal 4 2 2 3 4 6 4" xfId="19462" xr:uid="{5ADB2299-0F3B-4A43-8700-19ADAB2F4239}"/>
    <cellStyle name="Normal 4 2 2 3 4 6 5" xfId="11021" xr:uid="{B81E7254-4D14-42F4-B2F8-A507CE379643}"/>
    <cellStyle name="Normal 4 2 2 3 4 7" xfId="4724" xr:uid="{00000000-0005-0000-0000-00007F120000}"/>
    <cellStyle name="Normal 4 2 2 3 4 7 2" xfId="30056" xr:uid="{5C4547B1-3BD7-4DE3-88C7-B2E44C429143}"/>
    <cellStyle name="Normal 4 2 2 3 4 7 3" xfId="21615" xr:uid="{AE9F6CC3-A1D2-4373-9DEF-6A17CE315435}"/>
    <cellStyle name="Normal 4 2 2 3 4 7 4" xfId="13174" xr:uid="{D0866DCB-4BF7-4948-B5C0-F77C829CEB3A}"/>
    <cellStyle name="Normal 4 2 2 3 4 8" xfId="25838" xr:uid="{6EF53771-CF65-4CAC-BD10-E1AEC801506D}"/>
    <cellStyle name="Normal 4 2 2 3 4 9" xfId="17397" xr:uid="{E37BF820-7633-491E-9E6B-806735A17B92}"/>
    <cellStyle name="Normal 4 2 2 3 5" xfId="816" xr:uid="{00000000-0005-0000-0000-000080120000}"/>
    <cellStyle name="Normal 4 2 2 3 5 2" xfId="3053" xr:uid="{00000000-0005-0000-0000-000081120000}"/>
    <cellStyle name="Normal 4 2 2 3 5 2 2" xfId="7275" xr:uid="{00000000-0005-0000-0000-000082120000}"/>
    <cellStyle name="Normal 4 2 2 3 5 2 2 2" xfId="32607" xr:uid="{F8D1952B-C71B-47BC-9916-CD775136F510}"/>
    <cellStyle name="Normal 4 2 2 3 5 2 2 3" xfId="24166" xr:uid="{06C577D0-6FD4-4369-BBF5-39E4B63340E8}"/>
    <cellStyle name="Normal 4 2 2 3 5 2 2 4" xfId="15725" xr:uid="{9318ECB8-0433-4290-8473-F03CD732CBB1}"/>
    <cellStyle name="Normal 4 2 2 3 5 2 3" xfId="28389" xr:uid="{FE137DD6-B8F2-4561-8ACD-19A020F9C3D4}"/>
    <cellStyle name="Normal 4 2 2 3 5 2 4" xfId="19948" xr:uid="{7F5A59EE-614D-4F79-B300-8D156D87A4E9}"/>
    <cellStyle name="Normal 4 2 2 3 5 2 5" xfId="11507" xr:uid="{2D3099F7-2EB5-40D6-83BD-9FF3242522D0}"/>
    <cellStyle name="Normal 4 2 2 3 5 3" xfId="5130" xr:uid="{00000000-0005-0000-0000-000083120000}"/>
    <cellStyle name="Normal 4 2 2 3 5 3 2" xfId="30462" xr:uid="{4F3BC454-3CFF-4827-ADC1-2D8FAB15FB41}"/>
    <cellStyle name="Normal 4 2 2 3 5 3 3" xfId="22021" xr:uid="{0398FECB-1DC5-4E75-BB36-BEE84A367ECC}"/>
    <cellStyle name="Normal 4 2 2 3 5 3 4" xfId="13580" xr:uid="{C0C0E0CA-0CC9-4C35-9A1F-FA836229083D}"/>
    <cellStyle name="Normal 4 2 2 3 5 4" xfId="26244" xr:uid="{7021EE99-A795-4DEA-9A10-F27985AF1F9E}"/>
    <cellStyle name="Normal 4 2 2 3 5 5" xfId="17803" xr:uid="{ED9D6E7E-E400-4132-95F6-C987CC4C78BB}"/>
    <cellStyle name="Normal 4 2 2 3 5 6" xfId="9362" xr:uid="{4CAD7D09-2726-4E0B-BAA2-A735617E1D46}"/>
    <cellStyle name="Normal 4 2 2 3 6" xfId="1236" xr:uid="{00000000-0005-0000-0000-000084120000}"/>
    <cellStyle name="Normal 4 2 2 3 6 2" xfId="3466" xr:uid="{00000000-0005-0000-0000-000085120000}"/>
    <cellStyle name="Normal 4 2 2 3 6 2 2" xfId="7688" xr:uid="{00000000-0005-0000-0000-000086120000}"/>
    <cellStyle name="Normal 4 2 2 3 6 2 2 2" xfId="33020" xr:uid="{A3A8CA05-0924-4CC2-8F91-0E648B766716}"/>
    <cellStyle name="Normal 4 2 2 3 6 2 2 3" xfId="24579" xr:uid="{7EE08545-EF1B-4D9D-95BD-CD9E5887D628}"/>
    <cellStyle name="Normal 4 2 2 3 6 2 2 4" xfId="16138" xr:uid="{7F1AA4C9-CCCB-46B2-A751-11109681504C}"/>
    <cellStyle name="Normal 4 2 2 3 6 2 3" xfId="28802" xr:uid="{A6452DF3-0771-4997-A7C7-6FA4EE97A77E}"/>
    <cellStyle name="Normal 4 2 2 3 6 2 4" xfId="20361" xr:uid="{BE2F451E-2B09-4A05-B350-C385AE0CD6BF}"/>
    <cellStyle name="Normal 4 2 2 3 6 2 5" xfId="11920" xr:uid="{7A6494E0-AF36-4C58-846D-B2BC08D9CAC3}"/>
    <cellStyle name="Normal 4 2 2 3 6 3" xfId="5543" xr:uid="{00000000-0005-0000-0000-000087120000}"/>
    <cellStyle name="Normal 4 2 2 3 6 3 2" xfId="30875" xr:uid="{B08A332A-FB09-4776-9008-5E0EA70CC468}"/>
    <cellStyle name="Normal 4 2 2 3 6 3 3" xfId="22434" xr:uid="{DE855F3D-A208-427F-B440-E396F6E5AF8F}"/>
    <cellStyle name="Normal 4 2 2 3 6 3 4" xfId="13993" xr:uid="{22AB29D2-D491-461F-B753-8C64E113E858}"/>
    <cellStyle name="Normal 4 2 2 3 6 4" xfId="26657" xr:uid="{265ABB06-E1CC-44C6-BD11-A6F9C050A8AB}"/>
    <cellStyle name="Normal 4 2 2 3 6 5" xfId="18216" xr:uid="{EB5194EB-7A54-4918-B423-B0465BC03A8E}"/>
    <cellStyle name="Normal 4 2 2 3 6 6" xfId="9775" xr:uid="{446B1889-B0F2-4A30-9E20-DF38EAB2A52E}"/>
    <cellStyle name="Normal 4 2 2 3 7" xfId="1649" xr:uid="{00000000-0005-0000-0000-000088120000}"/>
    <cellStyle name="Normal 4 2 2 3 7 2" xfId="3879" xr:uid="{00000000-0005-0000-0000-000089120000}"/>
    <cellStyle name="Normal 4 2 2 3 7 2 2" xfId="8101" xr:uid="{00000000-0005-0000-0000-00008A120000}"/>
    <cellStyle name="Normal 4 2 2 3 7 2 2 2" xfId="33433" xr:uid="{0DD9B061-3010-4F15-8067-E936C1B44A1C}"/>
    <cellStyle name="Normal 4 2 2 3 7 2 2 3" xfId="24992" xr:uid="{6E1A7010-CC65-437A-ABD0-FCF97A28730B}"/>
    <cellStyle name="Normal 4 2 2 3 7 2 2 4" xfId="16551" xr:uid="{E2B58E0A-8A4C-43A6-B2E8-4D1D2E7BB45C}"/>
    <cellStyle name="Normal 4 2 2 3 7 2 3" xfId="29215" xr:uid="{F8851773-F855-44ED-82D2-FA3290B18F8E}"/>
    <cellStyle name="Normal 4 2 2 3 7 2 4" xfId="20774" xr:uid="{1119E97F-EA5B-408E-91FF-80EFE9DAFCCE}"/>
    <cellStyle name="Normal 4 2 2 3 7 2 5" xfId="12333" xr:uid="{68582017-F6D4-4FEC-B1D7-B1F2FA9D13EA}"/>
    <cellStyle name="Normal 4 2 2 3 7 3" xfId="5956" xr:uid="{00000000-0005-0000-0000-00008B120000}"/>
    <cellStyle name="Normal 4 2 2 3 7 3 2" xfId="31288" xr:uid="{C79AA1A7-2BAB-48FE-9903-C00CA01B114F}"/>
    <cellStyle name="Normal 4 2 2 3 7 3 3" xfId="22847" xr:uid="{9F0B245D-229C-4B2A-BEC9-44874E973DF1}"/>
    <cellStyle name="Normal 4 2 2 3 7 3 4" xfId="14406" xr:uid="{6434B87D-0727-4861-B3A0-3B54A9A659AB}"/>
    <cellStyle name="Normal 4 2 2 3 7 4" xfId="27070" xr:uid="{BA1C4B5C-9597-4F19-9C6B-7565155D1D8F}"/>
    <cellStyle name="Normal 4 2 2 3 7 5" xfId="18629" xr:uid="{CF2DCC22-8035-459C-9D42-4B0B01BA4733}"/>
    <cellStyle name="Normal 4 2 2 3 7 6" xfId="10188" xr:uid="{555ECA42-658A-4AB1-8487-1A65E2D13A1F}"/>
    <cellStyle name="Normal 4 2 2 3 8" xfId="2063" xr:uid="{00000000-0005-0000-0000-00008C120000}"/>
    <cellStyle name="Normal 4 2 2 3 8 2" xfId="4292" xr:uid="{00000000-0005-0000-0000-00008D120000}"/>
    <cellStyle name="Normal 4 2 2 3 8 2 2" xfId="8514" xr:uid="{00000000-0005-0000-0000-00008E120000}"/>
    <cellStyle name="Normal 4 2 2 3 8 2 2 2" xfId="33846" xr:uid="{A4AD33D7-EA58-419D-A473-2DB4E1014FCB}"/>
    <cellStyle name="Normal 4 2 2 3 8 2 2 3" xfId="25405" xr:uid="{AAAAF7C0-F290-4C4E-87B4-83430FB3E3C1}"/>
    <cellStyle name="Normal 4 2 2 3 8 2 2 4" xfId="16964" xr:uid="{75F24881-923C-48D6-AF11-FAD450A75BF6}"/>
    <cellStyle name="Normal 4 2 2 3 8 2 3" xfId="29628" xr:uid="{AC447AA6-58C1-4AF1-A230-6776C8615F80}"/>
    <cellStyle name="Normal 4 2 2 3 8 2 4" xfId="21187" xr:uid="{3D2B7772-06EC-410D-AE81-E2F12B820416}"/>
    <cellStyle name="Normal 4 2 2 3 8 2 5" xfId="12746" xr:uid="{611061E5-DE3A-4877-9907-7B882BD610A1}"/>
    <cellStyle name="Normal 4 2 2 3 8 3" xfId="6369" xr:uid="{00000000-0005-0000-0000-00008F120000}"/>
    <cellStyle name="Normal 4 2 2 3 8 3 2" xfId="31701" xr:uid="{D8C46190-2C72-4AC6-901E-F00057585288}"/>
    <cellStyle name="Normal 4 2 2 3 8 3 3" xfId="23260" xr:uid="{17B7E122-65F5-42C9-BD1A-FE152E7D9F52}"/>
    <cellStyle name="Normal 4 2 2 3 8 3 4" xfId="14819" xr:uid="{689166F8-6F0C-4B96-900F-1CC71FD5AA5B}"/>
    <cellStyle name="Normal 4 2 2 3 8 4" xfId="27483" xr:uid="{83FFD85F-1550-4A21-B37E-2E2DC188F901}"/>
    <cellStyle name="Normal 4 2 2 3 8 5" xfId="19042" xr:uid="{76A7BF8C-6406-47A8-91D6-7F6DCDEE13B7}"/>
    <cellStyle name="Normal 4 2 2 3 8 6" xfId="10601" xr:uid="{84F232C4-E23A-4877-A3FE-6F836BDB4877}"/>
    <cellStyle name="Normal 4 2 2 3 9" xfId="2499" xr:uid="{00000000-0005-0000-0000-000090120000}"/>
    <cellStyle name="Normal 4 2 2 3 9 2" xfId="6782" xr:uid="{00000000-0005-0000-0000-000091120000}"/>
    <cellStyle name="Normal 4 2 2 3 9 2 2" xfId="32114" xr:uid="{69C9AF4E-3FC1-488F-ACF1-E5A11B6E3490}"/>
    <cellStyle name="Normal 4 2 2 3 9 2 3" xfId="23673" xr:uid="{09F6914C-6F1E-43ED-84A3-0BC4E297598B}"/>
    <cellStyle name="Normal 4 2 2 3 9 2 4" xfId="15232" xr:uid="{83C3AA6D-B2CF-4712-9CCD-827E274A6D59}"/>
    <cellStyle name="Normal 4 2 2 3 9 3" xfId="27896" xr:uid="{504333C9-B7B7-46EC-A1BC-50CB7A05A493}"/>
    <cellStyle name="Normal 4 2 2 3 9 4" xfId="19455" xr:uid="{BA50AA4A-A15D-46E6-A819-D8783EBDD239}"/>
    <cellStyle name="Normal 4 2 2 3 9 5" xfId="11014" xr:uid="{9EFB9664-FF94-4750-8F8A-19AF9151CD69}"/>
    <cellStyle name="Normal 4 2 2 4" xfId="347" xr:uid="{00000000-0005-0000-0000-000092120000}"/>
    <cellStyle name="Normal 4 2 2 4 10" xfId="25839" xr:uid="{A3DFDFF1-3E29-415C-9A86-800CECD30980}"/>
    <cellStyle name="Normal 4 2 2 4 11" xfId="17398" xr:uid="{E014833A-F3AA-4272-894E-F205E18DF67F}"/>
    <cellStyle name="Normal 4 2 2 4 12" xfId="8957" xr:uid="{7DA16341-356B-4432-99B1-83D81888C23B}"/>
    <cellStyle name="Normal 4 2 2 4 2" xfId="348" xr:uid="{00000000-0005-0000-0000-000093120000}"/>
    <cellStyle name="Normal 4 2 2 4 2 10" xfId="17399" xr:uid="{90A3FC23-5394-4D7F-AAC7-6C92775AD5B1}"/>
    <cellStyle name="Normal 4 2 2 4 2 11" xfId="8958" xr:uid="{DB4846AB-6A49-405F-9D17-C80599E8EA43}"/>
    <cellStyle name="Normal 4 2 2 4 2 2" xfId="349" xr:uid="{00000000-0005-0000-0000-000094120000}"/>
    <cellStyle name="Normal 4 2 2 4 2 2 10" xfId="8959" xr:uid="{E30BEE1B-8A2E-4337-AB70-4F40F71C1234}"/>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2 2 2" xfId="32617" xr:uid="{F218C2EA-B41E-487B-BCBF-525910358287}"/>
    <cellStyle name="Normal 4 2 2 4 2 2 2 2 2 3" xfId="24176" xr:uid="{379D408C-F236-499E-9E0E-8E836E386EC4}"/>
    <cellStyle name="Normal 4 2 2 4 2 2 2 2 2 4" xfId="15735" xr:uid="{86B41756-6E08-4BB7-9924-53809E028FED}"/>
    <cellStyle name="Normal 4 2 2 4 2 2 2 2 3" xfId="28399" xr:uid="{1771A57B-98DA-4A65-81BF-85E7B488E5D7}"/>
    <cellStyle name="Normal 4 2 2 4 2 2 2 2 4" xfId="19958" xr:uid="{7F26C43A-BD25-48DC-A54A-ADE82F024875}"/>
    <cellStyle name="Normal 4 2 2 4 2 2 2 2 5" xfId="11517" xr:uid="{31392D20-B0CE-4843-B083-99F0C6EDC2F7}"/>
    <cellStyle name="Normal 4 2 2 4 2 2 2 3" xfId="5140" xr:uid="{00000000-0005-0000-0000-000098120000}"/>
    <cellStyle name="Normal 4 2 2 4 2 2 2 3 2" xfId="30472" xr:uid="{E11F28E5-5798-4C9B-9AF6-6AD77DBEC5D5}"/>
    <cellStyle name="Normal 4 2 2 4 2 2 2 3 3" xfId="22031" xr:uid="{1DFFB257-43E2-40B4-9BE4-6B3C53200924}"/>
    <cellStyle name="Normal 4 2 2 4 2 2 2 3 4" xfId="13590" xr:uid="{8D69DF47-2132-4570-ADF0-231A7BD443D6}"/>
    <cellStyle name="Normal 4 2 2 4 2 2 2 4" xfId="26254" xr:uid="{9DF3E226-51AA-4D2A-85A4-A3EE2072E284}"/>
    <cellStyle name="Normal 4 2 2 4 2 2 2 5" xfId="17813" xr:uid="{5E32E32B-EC47-4E23-B562-1421A8F9DAE8}"/>
    <cellStyle name="Normal 4 2 2 4 2 2 2 6" xfId="9372" xr:uid="{873A48E0-BC44-437C-B5A4-C0413D2A59A8}"/>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2 2 2" xfId="33030" xr:uid="{D60A8F4C-3D00-4881-A1D0-2A849DA445EA}"/>
    <cellStyle name="Normal 4 2 2 4 2 2 3 2 2 3" xfId="24589" xr:uid="{9CB92EF3-3016-4536-86B6-DC215C446298}"/>
    <cellStyle name="Normal 4 2 2 4 2 2 3 2 2 4" xfId="16148" xr:uid="{EE0444B5-8D38-4AC8-AAFE-A3C64D0DCB45}"/>
    <cellStyle name="Normal 4 2 2 4 2 2 3 2 3" xfId="28812" xr:uid="{E21B428F-0C13-4DE3-A27A-4E92B9F3500B}"/>
    <cellStyle name="Normal 4 2 2 4 2 2 3 2 4" xfId="20371" xr:uid="{9F0CC1F2-5630-4B8A-80B3-1CA89B53BAA9}"/>
    <cellStyle name="Normal 4 2 2 4 2 2 3 2 5" xfId="11930" xr:uid="{14911D41-3B95-4A13-8B73-2E48EE75D6BB}"/>
    <cellStyle name="Normal 4 2 2 4 2 2 3 3" xfId="5553" xr:uid="{00000000-0005-0000-0000-00009C120000}"/>
    <cellStyle name="Normal 4 2 2 4 2 2 3 3 2" xfId="30885" xr:uid="{1302ADBF-D470-4FBF-AD54-70B83605C4D4}"/>
    <cellStyle name="Normal 4 2 2 4 2 2 3 3 3" xfId="22444" xr:uid="{0E5B6282-A9BF-4A0A-8419-16975360A68D}"/>
    <cellStyle name="Normal 4 2 2 4 2 2 3 3 4" xfId="14003" xr:uid="{E1385EC1-EB68-4B50-B1A7-2D4804602949}"/>
    <cellStyle name="Normal 4 2 2 4 2 2 3 4" xfId="26667" xr:uid="{280782CD-B559-471E-AFB1-FFFCCDF4660D}"/>
    <cellStyle name="Normal 4 2 2 4 2 2 3 5" xfId="18226" xr:uid="{706643C3-CCA2-47EA-938D-160647DD071E}"/>
    <cellStyle name="Normal 4 2 2 4 2 2 3 6" xfId="9785" xr:uid="{32C03F8E-7F7B-419D-9144-886E287682B4}"/>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2 2 2" xfId="33443" xr:uid="{70C35C6F-78F6-4E4F-8483-9F75380D7C6A}"/>
    <cellStyle name="Normal 4 2 2 4 2 2 4 2 2 3" xfId="25002" xr:uid="{7D8AE15B-4A21-4D20-A3F9-4FCFFA099F5F}"/>
    <cellStyle name="Normal 4 2 2 4 2 2 4 2 2 4" xfId="16561" xr:uid="{69D55189-E591-4141-83DA-231AD5EF8E9E}"/>
    <cellStyle name="Normal 4 2 2 4 2 2 4 2 3" xfId="29225" xr:uid="{5B80AD49-D5AA-4ED2-8181-CC6B566EE50D}"/>
    <cellStyle name="Normal 4 2 2 4 2 2 4 2 4" xfId="20784" xr:uid="{8AB37C1B-9C96-4960-A537-D0E86DCFC2B8}"/>
    <cellStyle name="Normal 4 2 2 4 2 2 4 2 5" xfId="12343" xr:uid="{F5E14B2E-18BA-4ED4-B7BD-6654CA5664F9}"/>
    <cellStyle name="Normal 4 2 2 4 2 2 4 3" xfId="5966" xr:uid="{00000000-0005-0000-0000-0000A0120000}"/>
    <cellStyle name="Normal 4 2 2 4 2 2 4 3 2" xfId="31298" xr:uid="{370AB34C-6B5D-4328-9980-44078D8F69E7}"/>
    <cellStyle name="Normal 4 2 2 4 2 2 4 3 3" xfId="22857" xr:uid="{D34B1426-FA37-4FF3-BEDD-E4DA0B35E399}"/>
    <cellStyle name="Normal 4 2 2 4 2 2 4 3 4" xfId="14416" xr:uid="{60C3F9DC-46F5-4E44-879F-A076D2107747}"/>
    <cellStyle name="Normal 4 2 2 4 2 2 4 4" xfId="27080" xr:uid="{75F72168-A464-460B-AC06-FDB2AF29F20C}"/>
    <cellStyle name="Normal 4 2 2 4 2 2 4 5" xfId="18639" xr:uid="{1B5685D8-1C73-42DA-9B6B-DFDA14E285DD}"/>
    <cellStyle name="Normal 4 2 2 4 2 2 4 6" xfId="10198" xr:uid="{9214AA87-F1E3-4981-A682-CBDBCF9B4002}"/>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2 2 2" xfId="33856" xr:uid="{F3162EC7-969E-4155-9C71-3AAF5BE29A51}"/>
    <cellStyle name="Normal 4 2 2 4 2 2 5 2 2 3" xfId="25415" xr:uid="{2B956785-5045-4C57-A044-4DE22F91B502}"/>
    <cellStyle name="Normal 4 2 2 4 2 2 5 2 2 4" xfId="16974" xr:uid="{4630AF19-50FB-4D08-BA78-4740B99A8CD4}"/>
    <cellStyle name="Normal 4 2 2 4 2 2 5 2 3" xfId="29638" xr:uid="{73BFA338-8C35-46C1-AA25-076DCBF74C2E}"/>
    <cellStyle name="Normal 4 2 2 4 2 2 5 2 4" xfId="21197" xr:uid="{5F342160-5A53-4FBA-BC08-DC13EF910B09}"/>
    <cellStyle name="Normal 4 2 2 4 2 2 5 2 5" xfId="12756" xr:uid="{319F3462-160B-4146-A8EF-0C3F23E70ACF}"/>
    <cellStyle name="Normal 4 2 2 4 2 2 5 3" xfId="6379" xr:uid="{00000000-0005-0000-0000-0000A4120000}"/>
    <cellStyle name="Normal 4 2 2 4 2 2 5 3 2" xfId="31711" xr:uid="{586A69BF-F5DE-4501-9FA9-AE9BF1B8D035}"/>
    <cellStyle name="Normal 4 2 2 4 2 2 5 3 3" xfId="23270" xr:uid="{5127478A-2FB4-4C7F-A79F-59C7E3E5B324}"/>
    <cellStyle name="Normal 4 2 2 4 2 2 5 3 4" xfId="14829" xr:uid="{8F4E8323-9BDF-41FF-B53A-E1A4D83021D9}"/>
    <cellStyle name="Normal 4 2 2 4 2 2 5 4" xfId="27493" xr:uid="{3C292D72-F5F6-494E-BC49-4C3751D735DB}"/>
    <cellStyle name="Normal 4 2 2 4 2 2 5 5" xfId="19052" xr:uid="{308A88C2-9D5D-419F-97B3-48B3056A4CC1}"/>
    <cellStyle name="Normal 4 2 2 4 2 2 5 6" xfId="10611" xr:uid="{3F8CA7AB-5C17-4CAC-BB08-B6B31E1758A5}"/>
    <cellStyle name="Normal 4 2 2 4 2 2 6" xfId="2509" xr:uid="{00000000-0005-0000-0000-0000A5120000}"/>
    <cellStyle name="Normal 4 2 2 4 2 2 6 2" xfId="6792" xr:uid="{00000000-0005-0000-0000-0000A6120000}"/>
    <cellStyle name="Normal 4 2 2 4 2 2 6 2 2" xfId="32124" xr:uid="{E2781FA3-9D81-4625-B6E3-926FFAC5E3CA}"/>
    <cellStyle name="Normal 4 2 2 4 2 2 6 2 3" xfId="23683" xr:uid="{B401749D-C239-4D7E-BACC-7D5978A09F95}"/>
    <cellStyle name="Normal 4 2 2 4 2 2 6 2 4" xfId="15242" xr:uid="{F4D47B4E-0A68-4D8E-96E0-CCA6FE01F64D}"/>
    <cellStyle name="Normal 4 2 2 4 2 2 6 3" xfId="27906" xr:uid="{B6F1B8FB-5C38-4CC2-9BF7-704D8780A3C9}"/>
    <cellStyle name="Normal 4 2 2 4 2 2 6 4" xfId="19465" xr:uid="{DA3FB080-3CCA-4EDE-8CC5-3F2D8D3EF825}"/>
    <cellStyle name="Normal 4 2 2 4 2 2 6 5" xfId="11024" xr:uid="{8F1FAF0A-14A6-4497-9016-62FF6804CD26}"/>
    <cellStyle name="Normal 4 2 2 4 2 2 7" xfId="4727" xr:uid="{00000000-0005-0000-0000-0000A7120000}"/>
    <cellStyle name="Normal 4 2 2 4 2 2 7 2" xfId="30059" xr:uid="{13E8B780-F05F-42B6-AC49-CE951593DD81}"/>
    <cellStyle name="Normal 4 2 2 4 2 2 7 3" xfId="21618" xr:uid="{AF9BB8A0-5108-430F-8569-2A9179BDDB62}"/>
    <cellStyle name="Normal 4 2 2 4 2 2 7 4" xfId="13177" xr:uid="{0D7D0079-5968-4B2B-9F73-73FE43BF4117}"/>
    <cellStyle name="Normal 4 2 2 4 2 2 8" xfId="25841" xr:uid="{9B6F2AA9-E152-4F25-8E97-CBCF6918B2DC}"/>
    <cellStyle name="Normal 4 2 2 4 2 2 9" xfId="17400" xr:uid="{86AA45CD-F1D3-4A6D-B170-51C04148C793}"/>
    <cellStyle name="Normal 4 2 2 4 2 3" xfId="825" xr:uid="{00000000-0005-0000-0000-0000A8120000}"/>
    <cellStyle name="Normal 4 2 2 4 2 3 2" xfId="3062" xr:uid="{00000000-0005-0000-0000-0000A9120000}"/>
    <cellStyle name="Normal 4 2 2 4 2 3 2 2" xfId="7284" xr:uid="{00000000-0005-0000-0000-0000AA120000}"/>
    <cellStyle name="Normal 4 2 2 4 2 3 2 2 2" xfId="32616" xr:uid="{AE06EECC-E016-44B0-A0AD-80838DA7AD9D}"/>
    <cellStyle name="Normal 4 2 2 4 2 3 2 2 3" xfId="24175" xr:uid="{5B9503E7-443E-4A55-80AA-07AD0C9373F4}"/>
    <cellStyle name="Normal 4 2 2 4 2 3 2 2 4" xfId="15734" xr:uid="{B24680AC-4567-4141-828C-E64ABE2114CD}"/>
    <cellStyle name="Normal 4 2 2 4 2 3 2 3" xfId="28398" xr:uid="{9677FE42-7929-411F-BB2C-14EA94338DE2}"/>
    <cellStyle name="Normal 4 2 2 4 2 3 2 4" xfId="19957" xr:uid="{DF111828-17D3-4F6D-AF4D-603284DD086C}"/>
    <cellStyle name="Normal 4 2 2 4 2 3 2 5" xfId="11516" xr:uid="{202B1381-6FAA-4882-8570-FE2D542F12A1}"/>
    <cellStyle name="Normal 4 2 2 4 2 3 3" xfId="5139" xr:uid="{00000000-0005-0000-0000-0000AB120000}"/>
    <cellStyle name="Normal 4 2 2 4 2 3 3 2" xfId="30471" xr:uid="{CFEA4F04-4055-4A1C-BD94-E1E1111D6D3C}"/>
    <cellStyle name="Normal 4 2 2 4 2 3 3 3" xfId="22030" xr:uid="{12D1BA9A-C967-44FA-9F92-F0F0F7524C12}"/>
    <cellStyle name="Normal 4 2 2 4 2 3 3 4" xfId="13589" xr:uid="{23AE9CA4-0D6B-4625-992C-04700EA63179}"/>
    <cellStyle name="Normal 4 2 2 4 2 3 4" xfId="26253" xr:uid="{EBB46693-261F-498C-B3EF-5571B1B09FB2}"/>
    <cellStyle name="Normal 4 2 2 4 2 3 5" xfId="17812" xr:uid="{93F963E0-8464-464F-9C01-E7616B39BF56}"/>
    <cellStyle name="Normal 4 2 2 4 2 3 6" xfId="9371" xr:uid="{24DB77DB-423B-45EC-B65A-B63B71D0C78F}"/>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2 2 2" xfId="33029" xr:uid="{31C0759C-B050-4EB4-BFF3-B6491AB9C249}"/>
    <cellStyle name="Normal 4 2 2 4 2 4 2 2 3" xfId="24588" xr:uid="{55D2789A-DCEE-497A-9AF6-8762CF50C26F}"/>
    <cellStyle name="Normal 4 2 2 4 2 4 2 2 4" xfId="16147" xr:uid="{1D338135-A04D-4DD4-B100-5564711276F4}"/>
    <cellStyle name="Normal 4 2 2 4 2 4 2 3" xfId="28811" xr:uid="{0E5D0A6F-0A3B-4770-9B99-95CAD0438679}"/>
    <cellStyle name="Normal 4 2 2 4 2 4 2 4" xfId="20370" xr:uid="{140AB7BA-B6CC-490A-AD51-6A9CA6C6D551}"/>
    <cellStyle name="Normal 4 2 2 4 2 4 2 5" xfId="11929" xr:uid="{018CE786-6B7E-4F76-8907-326E6F087767}"/>
    <cellStyle name="Normal 4 2 2 4 2 4 3" xfId="5552" xr:uid="{00000000-0005-0000-0000-0000AF120000}"/>
    <cellStyle name="Normal 4 2 2 4 2 4 3 2" xfId="30884" xr:uid="{F62CF529-AA30-4993-9ECA-CECB1D298ED6}"/>
    <cellStyle name="Normal 4 2 2 4 2 4 3 3" xfId="22443" xr:uid="{F2C99A2E-0363-4C91-AA47-09C6A55B335C}"/>
    <cellStyle name="Normal 4 2 2 4 2 4 3 4" xfId="14002" xr:uid="{7E7A5DC8-26CD-4A2F-B768-328BCE3109B6}"/>
    <cellStyle name="Normal 4 2 2 4 2 4 4" xfId="26666" xr:uid="{3AAF9CDD-B0F7-435B-B9C3-EEF62CA2117B}"/>
    <cellStyle name="Normal 4 2 2 4 2 4 5" xfId="18225" xr:uid="{CCCE7F3E-CB87-431A-9259-84135233BAC6}"/>
    <cellStyle name="Normal 4 2 2 4 2 4 6" xfId="9784" xr:uid="{469AA3C2-B210-4BCF-98A7-427B425F91E8}"/>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2 2 2" xfId="33442" xr:uid="{3B0D339D-DF3C-4BF1-9CF3-C147B35A1017}"/>
    <cellStyle name="Normal 4 2 2 4 2 5 2 2 3" xfId="25001" xr:uid="{A5934593-0661-426B-A7CE-8BD8A13A30F8}"/>
    <cellStyle name="Normal 4 2 2 4 2 5 2 2 4" xfId="16560" xr:uid="{DA0E197E-694C-47A1-AFFF-7AFC61E9ED5C}"/>
    <cellStyle name="Normal 4 2 2 4 2 5 2 3" xfId="29224" xr:uid="{7E399C2C-9EA9-4041-8D69-34E75C8EC58C}"/>
    <cellStyle name="Normal 4 2 2 4 2 5 2 4" xfId="20783" xr:uid="{8D3837BC-C7A3-4E05-85DB-69DE62C29EBC}"/>
    <cellStyle name="Normal 4 2 2 4 2 5 2 5" xfId="12342" xr:uid="{3A065B60-41E3-4E99-B048-A3616A9E3006}"/>
    <cellStyle name="Normal 4 2 2 4 2 5 3" xfId="5965" xr:uid="{00000000-0005-0000-0000-0000B3120000}"/>
    <cellStyle name="Normal 4 2 2 4 2 5 3 2" xfId="31297" xr:uid="{39537031-F6EA-4B60-88E5-202B669F981A}"/>
    <cellStyle name="Normal 4 2 2 4 2 5 3 3" xfId="22856" xr:uid="{D965D4C1-BCB7-4E01-A13E-4B6C72D1AB38}"/>
    <cellStyle name="Normal 4 2 2 4 2 5 3 4" xfId="14415" xr:uid="{67568459-3866-49D0-B4A6-8B6829D73327}"/>
    <cellStyle name="Normal 4 2 2 4 2 5 4" xfId="27079" xr:uid="{8E5A37D4-C5DD-40AE-B8E7-F161D04993BA}"/>
    <cellStyle name="Normal 4 2 2 4 2 5 5" xfId="18638" xr:uid="{AE268BD6-0FA9-4503-B04E-A2D6C7932D4D}"/>
    <cellStyle name="Normal 4 2 2 4 2 5 6" xfId="10197" xr:uid="{F0260993-9247-47BB-A0EE-9695BE1F42D1}"/>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2 2 2" xfId="33855" xr:uid="{9D22BE88-AC6E-4B58-9843-9A221A98CA73}"/>
    <cellStyle name="Normal 4 2 2 4 2 6 2 2 3" xfId="25414" xr:uid="{31C27713-E4D4-4695-8298-47A67E3ABCB8}"/>
    <cellStyle name="Normal 4 2 2 4 2 6 2 2 4" xfId="16973" xr:uid="{22AD50DA-5F73-43F1-B07A-3C0EB6A72E96}"/>
    <cellStyle name="Normal 4 2 2 4 2 6 2 3" xfId="29637" xr:uid="{C15EF7EE-6CDF-4E44-BBCF-DCD7618E6041}"/>
    <cellStyle name="Normal 4 2 2 4 2 6 2 4" xfId="21196" xr:uid="{A69B5E8D-CD3A-4C82-8F5C-F74D8D4F30DA}"/>
    <cellStyle name="Normal 4 2 2 4 2 6 2 5" xfId="12755" xr:uid="{551F70A2-3BC6-499F-B289-66C7B349A050}"/>
    <cellStyle name="Normal 4 2 2 4 2 6 3" xfId="6378" xr:uid="{00000000-0005-0000-0000-0000B7120000}"/>
    <cellStyle name="Normal 4 2 2 4 2 6 3 2" xfId="31710" xr:uid="{D2F7493E-F98D-4DD7-AB2F-2C5E0DBA5DDC}"/>
    <cellStyle name="Normal 4 2 2 4 2 6 3 3" xfId="23269" xr:uid="{A792C250-C4E4-4CB3-9E2B-735D452A45DA}"/>
    <cellStyle name="Normal 4 2 2 4 2 6 3 4" xfId="14828" xr:uid="{9578DCA8-5808-472E-ABDB-1E38482B1AB8}"/>
    <cellStyle name="Normal 4 2 2 4 2 6 4" xfId="27492" xr:uid="{0BB2522E-33EC-45B2-BD18-0739AB21495C}"/>
    <cellStyle name="Normal 4 2 2 4 2 6 5" xfId="19051" xr:uid="{DE2B7868-89BD-4486-96E1-DFE100215463}"/>
    <cellStyle name="Normal 4 2 2 4 2 6 6" xfId="10610" xr:uid="{8F713FE6-B3A9-4F86-BF2A-D58F69755B6B}"/>
    <cellStyle name="Normal 4 2 2 4 2 7" xfId="2508" xr:uid="{00000000-0005-0000-0000-0000B8120000}"/>
    <cellStyle name="Normal 4 2 2 4 2 7 2" xfId="6791" xr:uid="{00000000-0005-0000-0000-0000B9120000}"/>
    <cellStyle name="Normal 4 2 2 4 2 7 2 2" xfId="32123" xr:uid="{B70A7049-8728-4966-85C6-53FE4CE75B28}"/>
    <cellStyle name="Normal 4 2 2 4 2 7 2 3" xfId="23682" xr:uid="{37A2900C-FA9F-4EF1-82D6-6DA220AE37FB}"/>
    <cellStyle name="Normal 4 2 2 4 2 7 2 4" xfId="15241" xr:uid="{A80E1DC9-82B6-42E9-B6BF-C49448D63D00}"/>
    <cellStyle name="Normal 4 2 2 4 2 7 3" xfId="27905" xr:uid="{93289A1A-EA47-433F-ADB0-6B94D32E6162}"/>
    <cellStyle name="Normal 4 2 2 4 2 7 4" xfId="19464" xr:uid="{34D2B3AB-6845-4D23-AB1A-B8734E71D4FC}"/>
    <cellStyle name="Normal 4 2 2 4 2 7 5" xfId="11023" xr:uid="{4BB09F6C-65E5-4C23-8340-F88B023C9EC1}"/>
    <cellStyle name="Normal 4 2 2 4 2 8" xfId="4726" xr:uid="{00000000-0005-0000-0000-0000BA120000}"/>
    <cellStyle name="Normal 4 2 2 4 2 8 2" xfId="30058" xr:uid="{9A4E66E9-24BA-4E5E-B420-049D5FDA608B}"/>
    <cellStyle name="Normal 4 2 2 4 2 8 3" xfId="21617" xr:uid="{209DDB45-CFD7-4D97-9C3C-9B5A8D0358B2}"/>
    <cellStyle name="Normal 4 2 2 4 2 8 4" xfId="13176" xr:uid="{6FBE3CF3-7401-4F2C-8CDA-68CDDD114907}"/>
    <cellStyle name="Normal 4 2 2 4 2 9" xfId="25840" xr:uid="{0CC46681-2F79-44A2-A515-5D3E4425776D}"/>
    <cellStyle name="Normal 4 2 2 4 3" xfId="350" xr:uid="{00000000-0005-0000-0000-0000BB120000}"/>
    <cellStyle name="Normal 4 2 2 4 3 10" xfId="8960" xr:uid="{054E3EDB-A61E-4169-B57A-D9F92D47BEFF}"/>
    <cellStyle name="Normal 4 2 2 4 3 2" xfId="827" xr:uid="{00000000-0005-0000-0000-0000BC120000}"/>
    <cellStyle name="Normal 4 2 2 4 3 2 2" xfId="3064" xr:uid="{00000000-0005-0000-0000-0000BD120000}"/>
    <cellStyle name="Normal 4 2 2 4 3 2 2 2" xfId="7286" xr:uid="{00000000-0005-0000-0000-0000BE120000}"/>
    <cellStyle name="Normal 4 2 2 4 3 2 2 2 2" xfId="32618" xr:uid="{C4CC1441-E4AA-4080-A2A2-1C73F3308A9B}"/>
    <cellStyle name="Normal 4 2 2 4 3 2 2 2 3" xfId="24177" xr:uid="{95A3C7C6-0AEB-49D5-934F-8AC355DF6183}"/>
    <cellStyle name="Normal 4 2 2 4 3 2 2 2 4" xfId="15736" xr:uid="{AB1435B8-F635-42B8-84CE-112C9F5815DC}"/>
    <cellStyle name="Normal 4 2 2 4 3 2 2 3" xfId="28400" xr:uid="{00CAC4B4-C0A4-4A54-BEE7-843BF931DCFE}"/>
    <cellStyle name="Normal 4 2 2 4 3 2 2 4" xfId="19959" xr:uid="{83B6058F-2052-4CB7-AF0E-038CADBE4958}"/>
    <cellStyle name="Normal 4 2 2 4 3 2 2 5" xfId="11518" xr:uid="{2B1C8846-AC46-44B3-A805-DEAAFE55FB13}"/>
    <cellStyle name="Normal 4 2 2 4 3 2 3" xfId="5141" xr:uid="{00000000-0005-0000-0000-0000BF120000}"/>
    <cellStyle name="Normal 4 2 2 4 3 2 3 2" xfId="30473" xr:uid="{5311B972-7A02-432C-A287-E36AE70F7FC6}"/>
    <cellStyle name="Normal 4 2 2 4 3 2 3 3" xfId="22032" xr:uid="{AD6A4BCB-68DC-46A8-9858-51E5FE061614}"/>
    <cellStyle name="Normal 4 2 2 4 3 2 3 4" xfId="13591" xr:uid="{6F9F3B61-E50C-46D7-9411-608364816C18}"/>
    <cellStyle name="Normal 4 2 2 4 3 2 4" xfId="26255" xr:uid="{88752DD4-5DB8-45E7-AA17-A45C70CD2B83}"/>
    <cellStyle name="Normal 4 2 2 4 3 2 5" xfId="17814" xr:uid="{05D9A1C5-3596-4BD1-B45F-B9B5138C7B51}"/>
    <cellStyle name="Normal 4 2 2 4 3 2 6" xfId="9373" xr:uid="{84C46681-2496-48D8-B87B-B8FA87505F49}"/>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2 2 2" xfId="33031" xr:uid="{A98C314E-99C6-402D-A16D-4AE229138E5E}"/>
    <cellStyle name="Normal 4 2 2 4 3 3 2 2 3" xfId="24590" xr:uid="{71019433-ED71-47D5-8DCF-2EC2FF403363}"/>
    <cellStyle name="Normal 4 2 2 4 3 3 2 2 4" xfId="16149" xr:uid="{58820B42-0829-460A-B550-012C325249DE}"/>
    <cellStyle name="Normal 4 2 2 4 3 3 2 3" xfId="28813" xr:uid="{1D2F1694-79B6-4A2D-9E0A-29A7A1A1C383}"/>
    <cellStyle name="Normal 4 2 2 4 3 3 2 4" xfId="20372" xr:uid="{4F31B259-4111-49BE-BD16-C9DF4A621563}"/>
    <cellStyle name="Normal 4 2 2 4 3 3 2 5" xfId="11931" xr:uid="{A1F4B78D-C41F-4190-8344-4EA8645A8F53}"/>
    <cellStyle name="Normal 4 2 2 4 3 3 3" xfId="5554" xr:uid="{00000000-0005-0000-0000-0000C3120000}"/>
    <cellStyle name="Normal 4 2 2 4 3 3 3 2" xfId="30886" xr:uid="{ED44D585-E02C-40A6-A0F0-11F3EDA12041}"/>
    <cellStyle name="Normal 4 2 2 4 3 3 3 3" xfId="22445" xr:uid="{2A5D8C91-BFB8-4EFB-909B-54F4E74FE6C6}"/>
    <cellStyle name="Normal 4 2 2 4 3 3 3 4" xfId="14004" xr:uid="{AF62ED91-0B0E-4630-B2EE-881E18B7F010}"/>
    <cellStyle name="Normal 4 2 2 4 3 3 4" xfId="26668" xr:uid="{F1269447-6395-4A82-8B19-B871ABF0CF03}"/>
    <cellStyle name="Normal 4 2 2 4 3 3 5" xfId="18227" xr:uid="{02D02DCF-8430-4A64-BBE3-3E6259FE4842}"/>
    <cellStyle name="Normal 4 2 2 4 3 3 6" xfId="9786" xr:uid="{1144864D-1CB2-4D82-A62C-42BD91A12D88}"/>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2 2 2" xfId="33444" xr:uid="{7B193A33-6933-4226-8375-708477B0F35C}"/>
    <cellStyle name="Normal 4 2 2 4 3 4 2 2 3" xfId="25003" xr:uid="{AADABE15-3049-4DF6-90C2-0DA1828574A7}"/>
    <cellStyle name="Normal 4 2 2 4 3 4 2 2 4" xfId="16562" xr:uid="{B2934FEB-72CC-4DE3-9200-44026521E46F}"/>
    <cellStyle name="Normal 4 2 2 4 3 4 2 3" xfId="29226" xr:uid="{999ED4FE-9949-4EC8-9635-C3782DBD3C46}"/>
    <cellStyle name="Normal 4 2 2 4 3 4 2 4" xfId="20785" xr:uid="{883145A9-0D72-4147-8624-6469300FE6DD}"/>
    <cellStyle name="Normal 4 2 2 4 3 4 2 5" xfId="12344" xr:uid="{4DEDF321-E02A-40FE-8B58-5B6DAF7DDF90}"/>
    <cellStyle name="Normal 4 2 2 4 3 4 3" xfId="5967" xr:uid="{00000000-0005-0000-0000-0000C7120000}"/>
    <cellStyle name="Normal 4 2 2 4 3 4 3 2" xfId="31299" xr:uid="{EF795816-8AE3-4ACF-81EC-AD029B847A37}"/>
    <cellStyle name="Normal 4 2 2 4 3 4 3 3" xfId="22858" xr:uid="{4FD1AC8A-C2BF-4D38-B46F-EE93EE5AAEC1}"/>
    <cellStyle name="Normal 4 2 2 4 3 4 3 4" xfId="14417" xr:uid="{BED776BF-3BD6-44B9-AE9C-EA68A4A3CCB0}"/>
    <cellStyle name="Normal 4 2 2 4 3 4 4" xfId="27081" xr:uid="{6A8DA0BF-C9E5-4380-9615-271FA32C187F}"/>
    <cellStyle name="Normal 4 2 2 4 3 4 5" xfId="18640" xr:uid="{E1A78115-AB1E-4FE8-A2DC-704FFC3FCF5E}"/>
    <cellStyle name="Normal 4 2 2 4 3 4 6" xfId="10199" xr:uid="{3DDC55B2-09A5-4220-B2D2-128A6B8182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2 2 2" xfId="33857" xr:uid="{4DC7CB84-5F62-4A49-A25C-3FFBE3668077}"/>
    <cellStyle name="Normal 4 2 2 4 3 5 2 2 3" xfId="25416" xr:uid="{2C41B667-3222-4264-AAFC-B225829D6C99}"/>
    <cellStyle name="Normal 4 2 2 4 3 5 2 2 4" xfId="16975" xr:uid="{B5FF07BF-C69F-4C2A-8726-5A7B64BB93E2}"/>
    <cellStyle name="Normal 4 2 2 4 3 5 2 3" xfId="29639" xr:uid="{EACFCD01-85C6-4651-B30B-FB07B673D517}"/>
    <cellStyle name="Normal 4 2 2 4 3 5 2 4" xfId="21198" xr:uid="{DF0C0DA3-B293-4585-ABC4-1A2DE9393783}"/>
    <cellStyle name="Normal 4 2 2 4 3 5 2 5" xfId="12757" xr:uid="{86DE3D02-E7B3-41AA-9E2E-8AD9DF241F72}"/>
    <cellStyle name="Normal 4 2 2 4 3 5 3" xfId="6380" xr:uid="{00000000-0005-0000-0000-0000CB120000}"/>
    <cellStyle name="Normal 4 2 2 4 3 5 3 2" xfId="31712" xr:uid="{B7EB2B1E-0FDC-4780-9EDE-304398480BF5}"/>
    <cellStyle name="Normal 4 2 2 4 3 5 3 3" xfId="23271" xr:uid="{014918FA-9278-400E-AC4B-4B13F31B7D6E}"/>
    <cellStyle name="Normal 4 2 2 4 3 5 3 4" xfId="14830" xr:uid="{439D9348-A238-4649-84C3-E4A7C816DA41}"/>
    <cellStyle name="Normal 4 2 2 4 3 5 4" xfId="27494" xr:uid="{177C02CB-F805-4E9D-8BB3-CEA26E1E0F4D}"/>
    <cellStyle name="Normal 4 2 2 4 3 5 5" xfId="19053" xr:uid="{F906F532-96DB-4857-AE49-ADAE9DD80796}"/>
    <cellStyle name="Normal 4 2 2 4 3 5 6" xfId="10612" xr:uid="{4B46FA87-D6BE-4F36-9F69-342B8CA83BE3}"/>
    <cellStyle name="Normal 4 2 2 4 3 6" xfId="2510" xr:uid="{00000000-0005-0000-0000-0000CC120000}"/>
    <cellStyle name="Normal 4 2 2 4 3 6 2" xfId="6793" xr:uid="{00000000-0005-0000-0000-0000CD120000}"/>
    <cellStyle name="Normal 4 2 2 4 3 6 2 2" xfId="32125" xr:uid="{67880D78-B00B-4E32-8D60-6928852EF62C}"/>
    <cellStyle name="Normal 4 2 2 4 3 6 2 3" xfId="23684" xr:uid="{9A7560FD-3A5D-43C7-A321-3983D3D920ED}"/>
    <cellStyle name="Normal 4 2 2 4 3 6 2 4" xfId="15243" xr:uid="{3A332EC2-72D7-4840-9FDC-D90C0AA8CCAA}"/>
    <cellStyle name="Normal 4 2 2 4 3 6 3" xfId="27907" xr:uid="{BBEE95D4-5501-4D24-9CDB-AE6D479A220F}"/>
    <cellStyle name="Normal 4 2 2 4 3 6 4" xfId="19466" xr:uid="{200C830D-B3EA-4859-95F4-B870034D26D8}"/>
    <cellStyle name="Normal 4 2 2 4 3 6 5" xfId="11025" xr:uid="{56F8617C-5672-46E8-BB94-2ABC91C26DCA}"/>
    <cellStyle name="Normal 4 2 2 4 3 7" xfId="4728" xr:uid="{00000000-0005-0000-0000-0000CE120000}"/>
    <cellStyle name="Normal 4 2 2 4 3 7 2" xfId="30060" xr:uid="{4C374A96-4733-4B13-AD9D-13F914BB41A2}"/>
    <cellStyle name="Normal 4 2 2 4 3 7 3" xfId="21619" xr:uid="{CB314A0E-0B1A-45B0-B21A-E01996B2F126}"/>
    <cellStyle name="Normal 4 2 2 4 3 7 4" xfId="13178" xr:uid="{C84391CD-899E-45CB-9505-D4957AF6CF72}"/>
    <cellStyle name="Normal 4 2 2 4 3 8" xfId="25842" xr:uid="{D18723BD-1D1E-4E5B-842A-E1925A232909}"/>
    <cellStyle name="Normal 4 2 2 4 3 9" xfId="17401" xr:uid="{0D0668B4-FF06-4BA3-A96E-0A337B3A577D}"/>
    <cellStyle name="Normal 4 2 2 4 4" xfId="824" xr:uid="{00000000-0005-0000-0000-0000CF120000}"/>
    <cellStyle name="Normal 4 2 2 4 4 2" xfId="3061" xr:uid="{00000000-0005-0000-0000-0000D0120000}"/>
    <cellStyle name="Normal 4 2 2 4 4 2 2" xfId="7283" xr:uid="{00000000-0005-0000-0000-0000D1120000}"/>
    <cellStyle name="Normal 4 2 2 4 4 2 2 2" xfId="32615" xr:uid="{BA7DD875-8844-4554-96E4-83FC20FF3561}"/>
    <cellStyle name="Normal 4 2 2 4 4 2 2 3" xfId="24174" xr:uid="{73816462-A2B6-491C-B1D3-ED50A6701EE9}"/>
    <cellStyle name="Normal 4 2 2 4 4 2 2 4" xfId="15733" xr:uid="{A09B369D-6E9A-4AAC-B555-03935633671D}"/>
    <cellStyle name="Normal 4 2 2 4 4 2 3" xfId="28397" xr:uid="{4711849A-AEBC-413A-A318-9A85B82242F9}"/>
    <cellStyle name="Normal 4 2 2 4 4 2 4" xfId="19956" xr:uid="{5B01D69F-2D98-4DC8-A92A-9CD91CF4A94B}"/>
    <cellStyle name="Normal 4 2 2 4 4 2 5" xfId="11515" xr:uid="{D46B87A0-AA5D-4190-B080-254DE658D5A8}"/>
    <cellStyle name="Normal 4 2 2 4 4 3" xfId="5138" xr:uid="{00000000-0005-0000-0000-0000D2120000}"/>
    <cellStyle name="Normal 4 2 2 4 4 3 2" xfId="30470" xr:uid="{8BD34023-4FB1-4E85-8900-58BE16CA789E}"/>
    <cellStyle name="Normal 4 2 2 4 4 3 3" xfId="22029" xr:uid="{041B9292-8393-4329-95D6-B0E07D28BA99}"/>
    <cellStyle name="Normal 4 2 2 4 4 3 4" xfId="13588" xr:uid="{E3EDE837-0EF5-49A6-932B-267EBB57A3B0}"/>
    <cellStyle name="Normal 4 2 2 4 4 4" xfId="26252" xr:uid="{7441A62E-62AF-4DBE-B62F-CE1DECC583D1}"/>
    <cellStyle name="Normal 4 2 2 4 4 5" xfId="17811" xr:uid="{68D94BB6-DD12-4EDF-A3F7-6D47711B6527}"/>
    <cellStyle name="Normal 4 2 2 4 4 6" xfId="9370" xr:uid="{DB6A8088-97A2-4112-A974-C601AE3EF473}"/>
    <cellStyle name="Normal 4 2 2 4 5" xfId="1244" xr:uid="{00000000-0005-0000-0000-0000D3120000}"/>
    <cellStyle name="Normal 4 2 2 4 5 2" xfId="3474" xr:uid="{00000000-0005-0000-0000-0000D4120000}"/>
    <cellStyle name="Normal 4 2 2 4 5 2 2" xfId="7696" xr:uid="{00000000-0005-0000-0000-0000D5120000}"/>
    <cellStyle name="Normal 4 2 2 4 5 2 2 2" xfId="33028" xr:uid="{3706A3FF-8546-44F8-A068-34A1C96C8EFB}"/>
    <cellStyle name="Normal 4 2 2 4 5 2 2 3" xfId="24587" xr:uid="{A3ADB936-F83A-401F-9B1F-D70D199DB82E}"/>
    <cellStyle name="Normal 4 2 2 4 5 2 2 4" xfId="16146" xr:uid="{B8B6EA26-A1DE-4547-BE46-25DAEB9D4558}"/>
    <cellStyle name="Normal 4 2 2 4 5 2 3" xfId="28810" xr:uid="{DFAD0916-C73A-4003-847C-625C2087B37E}"/>
    <cellStyle name="Normal 4 2 2 4 5 2 4" xfId="20369" xr:uid="{35713C98-7F74-44DB-B87E-3202D70DA88F}"/>
    <cellStyle name="Normal 4 2 2 4 5 2 5" xfId="11928" xr:uid="{D2C3373A-FFA3-48D4-9C49-9C6DE76C3AD4}"/>
    <cellStyle name="Normal 4 2 2 4 5 3" xfId="5551" xr:uid="{00000000-0005-0000-0000-0000D6120000}"/>
    <cellStyle name="Normal 4 2 2 4 5 3 2" xfId="30883" xr:uid="{E7A358DD-083D-4161-99E5-6BEC1EB101CC}"/>
    <cellStyle name="Normal 4 2 2 4 5 3 3" xfId="22442" xr:uid="{20FB5076-A507-4B03-9A15-11D891E3AD29}"/>
    <cellStyle name="Normal 4 2 2 4 5 3 4" xfId="14001" xr:uid="{03F17138-24EC-417A-B3FE-B71AD1CAA478}"/>
    <cellStyle name="Normal 4 2 2 4 5 4" xfId="26665" xr:uid="{E200C842-5FA6-403D-A9D7-6E648BA907C8}"/>
    <cellStyle name="Normal 4 2 2 4 5 5" xfId="18224" xr:uid="{DD871932-ADD1-44FC-852E-E48BC85CDF6D}"/>
    <cellStyle name="Normal 4 2 2 4 5 6" xfId="9783" xr:uid="{169BD6C7-3F7E-4006-802F-E3A8583EDB79}"/>
    <cellStyle name="Normal 4 2 2 4 6" xfId="1657" xr:uid="{00000000-0005-0000-0000-0000D7120000}"/>
    <cellStyle name="Normal 4 2 2 4 6 2" xfId="3887" xr:uid="{00000000-0005-0000-0000-0000D8120000}"/>
    <cellStyle name="Normal 4 2 2 4 6 2 2" xfId="8109" xr:uid="{00000000-0005-0000-0000-0000D9120000}"/>
    <cellStyle name="Normal 4 2 2 4 6 2 2 2" xfId="33441" xr:uid="{665336D1-8B84-446D-8DF7-735D0C4CA77F}"/>
    <cellStyle name="Normal 4 2 2 4 6 2 2 3" xfId="25000" xr:uid="{E7225345-3151-4EA7-BCA3-6D9F839F231B}"/>
    <cellStyle name="Normal 4 2 2 4 6 2 2 4" xfId="16559" xr:uid="{2D379143-4B30-47EB-A37C-0C48D9E9F103}"/>
    <cellStyle name="Normal 4 2 2 4 6 2 3" xfId="29223" xr:uid="{5963117F-A9CA-4EB7-B3BE-4B1DD40E95EB}"/>
    <cellStyle name="Normal 4 2 2 4 6 2 4" xfId="20782" xr:uid="{BBB5349C-A0D7-4B6C-9C3B-3947842DE208}"/>
    <cellStyle name="Normal 4 2 2 4 6 2 5" xfId="12341" xr:uid="{DB76A836-FF2D-4ECA-BDEE-62532258891C}"/>
    <cellStyle name="Normal 4 2 2 4 6 3" xfId="5964" xr:uid="{00000000-0005-0000-0000-0000DA120000}"/>
    <cellStyle name="Normal 4 2 2 4 6 3 2" xfId="31296" xr:uid="{97630302-70F8-401A-A5C9-B75AA923122D}"/>
    <cellStyle name="Normal 4 2 2 4 6 3 3" xfId="22855" xr:uid="{0BC3E69D-CA4F-4AF8-94E9-AAAD252519DF}"/>
    <cellStyle name="Normal 4 2 2 4 6 3 4" xfId="14414" xr:uid="{A6E30336-44F3-4615-820B-FEE1B84FF83F}"/>
    <cellStyle name="Normal 4 2 2 4 6 4" xfId="27078" xr:uid="{6E8898AA-C3A6-4619-8460-6F0ADA65AEBB}"/>
    <cellStyle name="Normal 4 2 2 4 6 5" xfId="18637" xr:uid="{1F9758E5-CA42-4A3B-A189-C0486CE908AF}"/>
    <cellStyle name="Normal 4 2 2 4 6 6" xfId="10196" xr:uid="{494A2198-8B49-40F5-809F-E07110D1E471}"/>
    <cellStyle name="Normal 4 2 2 4 7" xfId="2071" xr:uid="{00000000-0005-0000-0000-0000DB120000}"/>
    <cellStyle name="Normal 4 2 2 4 7 2" xfId="4300" xr:uid="{00000000-0005-0000-0000-0000DC120000}"/>
    <cellStyle name="Normal 4 2 2 4 7 2 2" xfId="8522" xr:uid="{00000000-0005-0000-0000-0000DD120000}"/>
    <cellStyle name="Normal 4 2 2 4 7 2 2 2" xfId="33854" xr:uid="{702E9A3C-BDA7-420A-9E6A-C9643C2D9F2C}"/>
    <cellStyle name="Normal 4 2 2 4 7 2 2 3" xfId="25413" xr:uid="{A4E6FA7E-43B6-4663-9EFA-AD51C8BC8EB4}"/>
    <cellStyle name="Normal 4 2 2 4 7 2 2 4" xfId="16972" xr:uid="{2C262A1F-A5C3-4F2A-BBD6-3AFD2B9D6AD2}"/>
    <cellStyle name="Normal 4 2 2 4 7 2 3" xfId="29636" xr:uid="{EFDAE21C-3D6B-45DB-A8D2-F4A73111DE3E}"/>
    <cellStyle name="Normal 4 2 2 4 7 2 4" xfId="21195" xr:uid="{FB1A1133-1982-4224-B3ED-F4B52824CB23}"/>
    <cellStyle name="Normal 4 2 2 4 7 2 5" xfId="12754" xr:uid="{F1E803BE-6DEE-4952-82B5-2521519A9CD9}"/>
    <cellStyle name="Normal 4 2 2 4 7 3" xfId="6377" xr:uid="{00000000-0005-0000-0000-0000DE120000}"/>
    <cellStyle name="Normal 4 2 2 4 7 3 2" xfId="31709" xr:uid="{3B7E0854-3C15-4464-A3B1-401D39D72E66}"/>
    <cellStyle name="Normal 4 2 2 4 7 3 3" xfId="23268" xr:uid="{CC85AF65-EE30-492A-8E0C-19386591C45D}"/>
    <cellStyle name="Normal 4 2 2 4 7 3 4" xfId="14827" xr:uid="{7E89B113-75EE-4505-986A-81096C83133D}"/>
    <cellStyle name="Normal 4 2 2 4 7 4" xfId="27491" xr:uid="{1CD01F54-2276-4CD0-B2A1-874429CA223A}"/>
    <cellStyle name="Normal 4 2 2 4 7 5" xfId="19050" xr:uid="{A1F03EAA-9D64-44CF-8391-EE868914F42B}"/>
    <cellStyle name="Normal 4 2 2 4 7 6" xfId="10609" xr:uid="{EB66D879-D6C6-4E19-8451-15681A9693F8}"/>
    <cellStyle name="Normal 4 2 2 4 8" xfId="2507" xr:uid="{00000000-0005-0000-0000-0000DF120000}"/>
    <cellStyle name="Normal 4 2 2 4 8 2" xfId="6790" xr:uid="{00000000-0005-0000-0000-0000E0120000}"/>
    <cellStyle name="Normal 4 2 2 4 8 2 2" xfId="32122" xr:uid="{FF2F80FC-4A42-43BD-A4F3-68BADD9B9843}"/>
    <cellStyle name="Normal 4 2 2 4 8 2 3" xfId="23681" xr:uid="{5ECAAFA7-E0EC-4C2A-BC3F-1AC953F4F3E7}"/>
    <cellStyle name="Normal 4 2 2 4 8 2 4" xfId="15240" xr:uid="{8C59A9E5-924F-4859-BB2E-719EBA84FDBC}"/>
    <cellStyle name="Normal 4 2 2 4 8 3" xfId="27904" xr:uid="{440FBE5B-BE83-48C5-B949-ED334C1A3854}"/>
    <cellStyle name="Normal 4 2 2 4 8 4" xfId="19463" xr:uid="{31A9199C-0770-4C3A-991C-283C82F2489F}"/>
    <cellStyle name="Normal 4 2 2 4 8 5" xfId="11022" xr:uid="{C262C599-A08D-4F0D-8B16-AE420F266314}"/>
    <cellStyle name="Normal 4 2 2 4 9" xfId="4725" xr:uid="{00000000-0005-0000-0000-0000E1120000}"/>
    <cellStyle name="Normal 4 2 2 4 9 2" xfId="30057" xr:uid="{921D587B-41E2-4869-B285-011CFDF5DC0B}"/>
    <cellStyle name="Normal 4 2 2 4 9 3" xfId="21616" xr:uid="{19A91EEE-6E20-4909-82A4-757A18BE334C}"/>
    <cellStyle name="Normal 4 2 2 4 9 4" xfId="13175" xr:uid="{E9ABFBB2-69C2-407C-A93C-E85DABE855B4}"/>
    <cellStyle name="Normal 4 2 2 5" xfId="351" xr:uid="{00000000-0005-0000-0000-0000E2120000}"/>
    <cellStyle name="Normal 4 2 2 5 10" xfId="17402" xr:uid="{571A81B2-10A4-416C-804A-A0E6257E1DAA}"/>
    <cellStyle name="Normal 4 2 2 5 11" xfId="8961" xr:uid="{4C528AC8-7ADD-4761-8758-A66D5B211CE4}"/>
    <cellStyle name="Normal 4 2 2 5 2" xfId="352" xr:uid="{00000000-0005-0000-0000-0000E3120000}"/>
    <cellStyle name="Normal 4 2 2 5 2 10" xfId="8962" xr:uid="{B883CBD3-62B7-404A-83D8-13529DABF8F9}"/>
    <cellStyle name="Normal 4 2 2 5 2 2" xfId="829" xr:uid="{00000000-0005-0000-0000-0000E4120000}"/>
    <cellStyle name="Normal 4 2 2 5 2 2 2" xfId="3066" xr:uid="{00000000-0005-0000-0000-0000E5120000}"/>
    <cellStyle name="Normal 4 2 2 5 2 2 2 2" xfId="7288" xr:uid="{00000000-0005-0000-0000-0000E6120000}"/>
    <cellStyle name="Normal 4 2 2 5 2 2 2 2 2" xfId="32620" xr:uid="{A9E85FAC-288E-41A4-A769-2AE7FFD9ABEB}"/>
    <cellStyle name="Normal 4 2 2 5 2 2 2 2 3" xfId="24179" xr:uid="{17341F74-08F9-4DFC-87D9-D4B9912B2E0D}"/>
    <cellStyle name="Normal 4 2 2 5 2 2 2 2 4" xfId="15738" xr:uid="{7DA9ADAF-5250-4EDF-AA81-A86F5D744CC9}"/>
    <cellStyle name="Normal 4 2 2 5 2 2 2 3" xfId="28402" xr:uid="{102F0055-3171-43E4-80BD-9919626FBDC0}"/>
    <cellStyle name="Normal 4 2 2 5 2 2 2 4" xfId="19961" xr:uid="{E22E55DD-595A-49E6-A2DF-770629279CCA}"/>
    <cellStyle name="Normal 4 2 2 5 2 2 2 5" xfId="11520" xr:uid="{DA421282-10B7-4679-B74E-B7B3FB127F91}"/>
    <cellStyle name="Normal 4 2 2 5 2 2 3" xfId="5143" xr:uid="{00000000-0005-0000-0000-0000E7120000}"/>
    <cellStyle name="Normal 4 2 2 5 2 2 3 2" xfId="30475" xr:uid="{8D21CF96-A182-4BB2-8038-02A4563EAD64}"/>
    <cellStyle name="Normal 4 2 2 5 2 2 3 3" xfId="22034" xr:uid="{29F9CC1C-F311-4138-9BC8-241D322E4C84}"/>
    <cellStyle name="Normal 4 2 2 5 2 2 3 4" xfId="13593" xr:uid="{CEC7658F-FCDC-4E83-8549-0C54C433D138}"/>
    <cellStyle name="Normal 4 2 2 5 2 2 4" xfId="26257" xr:uid="{023F7475-29E9-43A4-95A4-AD4CC22C3541}"/>
    <cellStyle name="Normal 4 2 2 5 2 2 5" xfId="17816" xr:uid="{FAB662B9-B4E2-40B8-965F-6FA4A8EA4B7A}"/>
    <cellStyle name="Normal 4 2 2 5 2 2 6" xfId="9375" xr:uid="{E7201E4E-CBF5-458F-A610-A934C4944C36}"/>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2 2 2" xfId="33033" xr:uid="{759D26A0-460D-441D-A2A4-751126566352}"/>
    <cellStyle name="Normal 4 2 2 5 2 3 2 2 3" xfId="24592" xr:uid="{092556A6-9915-40AD-93E1-695BCBD411E0}"/>
    <cellStyle name="Normal 4 2 2 5 2 3 2 2 4" xfId="16151" xr:uid="{79566664-87BD-43E8-97F9-DF046E6E0BA6}"/>
    <cellStyle name="Normal 4 2 2 5 2 3 2 3" xfId="28815" xr:uid="{21A31DAA-2EAC-4DB3-B8CB-6E6A954ECF4F}"/>
    <cellStyle name="Normal 4 2 2 5 2 3 2 4" xfId="20374" xr:uid="{893ABCBC-47B1-4625-802C-509A6E03586B}"/>
    <cellStyle name="Normal 4 2 2 5 2 3 2 5" xfId="11933" xr:uid="{754B2595-8C3F-4C1E-91BB-E2086E9A6F1C}"/>
    <cellStyle name="Normal 4 2 2 5 2 3 3" xfId="5556" xr:uid="{00000000-0005-0000-0000-0000EB120000}"/>
    <cellStyle name="Normal 4 2 2 5 2 3 3 2" xfId="30888" xr:uid="{08963152-9CB6-4F5A-AA0D-DB855085AA98}"/>
    <cellStyle name="Normal 4 2 2 5 2 3 3 3" xfId="22447" xr:uid="{1E338F11-173A-47AD-A55D-6237805DF1C6}"/>
    <cellStyle name="Normal 4 2 2 5 2 3 3 4" xfId="14006" xr:uid="{75610219-49CE-4D2E-B7B0-4E47D85760DE}"/>
    <cellStyle name="Normal 4 2 2 5 2 3 4" xfId="26670" xr:uid="{F9FC8F0E-4223-4625-9F15-AD5AB5CBF5AE}"/>
    <cellStyle name="Normal 4 2 2 5 2 3 5" xfId="18229" xr:uid="{BBD1733D-C735-41E3-ABF0-D05AC7F75D55}"/>
    <cellStyle name="Normal 4 2 2 5 2 3 6" xfId="9788" xr:uid="{3C1E1D68-9D7E-46ED-81DA-576E2988065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2 2 2" xfId="33446" xr:uid="{C3564B52-A128-41F5-A3C4-80E9C15DC408}"/>
    <cellStyle name="Normal 4 2 2 5 2 4 2 2 3" xfId="25005" xr:uid="{E88A600A-A8B0-49E2-B210-ACBC224CACBE}"/>
    <cellStyle name="Normal 4 2 2 5 2 4 2 2 4" xfId="16564" xr:uid="{D9D85F0A-93C8-4694-8CA1-1356383D03B8}"/>
    <cellStyle name="Normal 4 2 2 5 2 4 2 3" xfId="29228" xr:uid="{AD4431A0-8764-4DE0-8BE4-C36408C16233}"/>
    <cellStyle name="Normal 4 2 2 5 2 4 2 4" xfId="20787" xr:uid="{0FFEEDE5-F50E-4159-A45A-14E0FFF73540}"/>
    <cellStyle name="Normal 4 2 2 5 2 4 2 5" xfId="12346" xr:uid="{73C10D52-1823-437B-9F44-68722DDA3CC5}"/>
    <cellStyle name="Normal 4 2 2 5 2 4 3" xfId="5969" xr:uid="{00000000-0005-0000-0000-0000EF120000}"/>
    <cellStyle name="Normal 4 2 2 5 2 4 3 2" xfId="31301" xr:uid="{D925D5CD-6760-4DE3-AB26-C42AA324CB96}"/>
    <cellStyle name="Normal 4 2 2 5 2 4 3 3" xfId="22860" xr:uid="{A278EA2F-393B-46F5-ABD4-7B0A02E315CC}"/>
    <cellStyle name="Normal 4 2 2 5 2 4 3 4" xfId="14419" xr:uid="{E2D4808B-0116-4F2B-AF02-878039E8DB55}"/>
    <cellStyle name="Normal 4 2 2 5 2 4 4" xfId="27083" xr:uid="{4F586E1D-09F3-43C1-913F-5F52C5CB0766}"/>
    <cellStyle name="Normal 4 2 2 5 2 4 5" xfId="18642" xr:uid="{37D41578-97F4-4672-B75E-9CFFFAEFD76C}"/>
    <cellStyle name="Normal 4 2 2 5 2 4 6" xfId="10201" xr:uid="{BB89520A-FCBC-4FE8-8933-A376FCDA2E8D}"/>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2 2 2" xfId="33859" xr:uid="{92270D4E-55B5-4C72-8148-A88622A2F654}"/>
    <cellStyle name="Normal 4 2 2 5 2 5 2 2 3" xfId="25418" xr:uid="{89F02250-BF57-4070-96A0-CDCE70610A04}"/>
    <cellStyle name="Normal 4 2 2 5 2 5 2 2 4" xfId="16977" xr:uid="{6A18FF90-56FE-437D-B740-6FFB426BEBFC}"/>
    <cellStyle name="Normal 4 2 2 5 2 5 2 3" xfId="29641" xr:uid="{B24742BC-047D-4E74-91F9-F613381D1A84}"/>
    <cellStyle name="Normal 4 2 2 5 2 5 2 4" xfId="21200" xr:uid="{0D551A42-4750-43C4-A4A0-C57414501516}"/>
    <cellStyle name="Normal 4 2 2 5 2 5 2 5" xfId="12759" xr:uid="{4618C707-9732-46CA-96C7-B19787B7288D}"/>
    <cellStyle name="Normal 4 2 2 5 2 5 3" xfId="6382" xr:uid="{00000000-0005-0000-0000-0000F3120000}"/>
    <cellStyle name="Normal 4 2 2 5 2 5 3 2" xfId="31714" xr:uid="{0DBFD677-7642-4FEF-A51B-B6EDAA1BF7FC}"/>
    <cellStyle name="Normal 4 2 2 5 2 5 3 3" xfId="23273" xr:uid="{DF5BF03B-A735-42EB-AB00-AD99903ABF79}"/>
    <cellStyle name="Normal 4 2 2 5 2 5 3 4" xfId="14832" xr:uid="{BC3C1FFC-2EEF-46C8-A813-5089D1EB5A5A}"/>
    <cellStyle name="Normal 4 2 2 5 2 5 4" xfId="27496" xr:uid="{0C054E20-38E7-4E11-BE39-50EC5ABDA121}"/>
    <cellStyle name="Normal 4 2 2 5 2 5 5" xfId="19055" xr:uid="{5B5894A8-363F-4837-BE16-A7942888F599}"/>
    <cellStyle name="Normal 4 2 2 5 2 5 6" xfId="10614" xr:uid="{B781D735-E648-4B8F-86DD-307086F95CC1}"/>
    <cellStyle name="Normal 4 2 2 5 2 6" xfId="2512" xr:uid="{00000000-0005-0000-0000-0000F4120000}"/>
    <cellStyle name="Normal 4 2 2 5 2 6 2" xfId="6795" xr:uid="{00000000-0005-0000-0000-0000F5120000}"/>
    <cellStyle name="Normal 4 2 2 5 2 6 2 2" xfId="32127" xr:uid="{C14C2C31-9ACB-45F0-A39F-640C5E0B0180}"/>
    <cellStyle name="Normal 4 2 2 5 2 6 2 3" xfId="23686" xr:uid="{D4D53B27-C2B8-4561-9E38-BCE54AB5B864}"/>
    <cellStyle name="Normal 4 2 2 5 2 6 2 4" xfId="15245" xr:uid="{6645CB28-A742-415C-95F3-F434C6B36480}"/>
    <cellStyle name="Normal 4 2 2 5 2 6 3" xfId="27909" xr:uid="{BD9BB816-D266-43CF-90BE-EF20E8FA1B79}"/>
    <cellStyle name="Normal 4 2 2 5 2 6 4" xfId="19468" xr:uid="{228760B2-8051-4572-AEB5-5D799D277186}"/>
    <cellStyle name="Normal 4 2 2 5 2 6 5" xfId="11027" xr:uid="{A371022F-EECD-4CF0-AFEF-5DAE60662E55}"/>
    <cellStyle name="Normal 4 2 2 5 2 7" xfId="4730" xr:uid="{00000000-0005-0000-0000-0000F6120000}"/>
    <cellStyle name="Normal 4 2 2 5 2 7 2" xfId="30062" xr:uid="{E01AD69A-3956-469E-90F4-2C2071E438C4}"/>
    <cellStyle name="Normal 4 2 2 5 2 7 3" xfId="21621" xr:uid="{4BB3234D-8F27-4B3F-966E-5DB42F1C81E2}"/>
    <cellStyle name="Normal 4 2 2 5 2 7 4" xfId="13180" xr:uid="{BC6F02F6-A2D8-4F5F-9F76-C86CDF53CB0B}"/>
    <cellStyle name="Normal 4 2 2 5 2 8" xfId="25844" xr:uid="{394D7AFA-D5E0-44D4-956A-86377D52A65F}"/>
    <cellStyle name="Normal 4 2 2 5 2 9" xfId="17403" xr:uid="{00BC4870-57F3-4FAF-8F1F-507FC77C9C40}"/>
    <cellStyle name="Normal 4 2 2 5 3" xfId="828" xr:uid="{00000000-0005-0000-0000-0000F7120000}"/>
    <cellStyle name="Normal 4 2 2 5 3 2" xfId="3065" xr:uid="{00000000-0005-0000-0000-0000F8120000}"/>
    <cellStyle name="Normal 4 2 2 5 3 2 2" xfId="7287" xr:uid="{00000000-0005-0000-0000-0000F9120000}"/>
    <cellStyle name="Normal 4 2 2 5 3 2 2 2" xfId="32619" xr:uid="{81BBB562-5C17-47FA-9F6F-2A934D9CBFB9}"/>
    <cellStyle name="Normal 4 2 2 5 3 2 2 3" xfId="24178" xr:uid="{7FA0F69E-6E19-490D-A3CB-213EB8B59455}"/>
    <cellStyle name="Normal 4 2 2 5 3 2 2 4" xfId="15737" xr:uid="{7332CC95-DEF1-4163-B012-C0DC0187EB90}"/>
    <cellStyle name="Normal 4 2 2 5 3 2 3" xfId="28401" xr:uid="{B2C76450-81E2-4A52-A0DF-433CFEC9748C}"/>
    <cellStyle name="Normal 4 2 2 5 3 2 4" xfId="19960" xr:uid="{26327881-EF44-4DB7-892C-D3E8FE6979DC}"/>
    <cellStyle name="Normal 4 2 2 5 3 2 5" xfId="11519" xr:uid="{AE5CC38F-9071-4E06-A108-38CEAAB824C9}"/>
    <cellStyle name="Normal 4 2 2 5 3 3" xfId="5142" xr:uid="{00000000-0005-0000-0000-0000FA120000}"/>
    <cellStyle name="Normal 4 2 2 5 3 3 2" xfId="30474" xr:uid="{341CAB63-DA7C-4B84-BEE6-D6FADC6C3243}"/>
    <cellStyle name="Normal 4 2 2 5 3 3 3" xfId="22033" xr:uid="{F32C7721-204E-4CCD-B93C-BA5CCA1665A3}"/>
    <cellStyle name="Normal 4 2 2 5 3 3 4" xfId="13592" xr:uid="{6F15B2C8-4D47-43EA-92A8-1D2A031405CF}"/>
    <cellStyle name="Normal 4 2 2 5 3 4" xfId="26256" xr:uid="{0803793D-BBCE-45C4-8442-52617462D281}"/>
    <cellStyle name="Normal 4 2 2 5 3 5" xfId="17815" xr:uid="{1A05DE00-9795-4174-972C-A8D42453CDBF}"/>
    <cellStyle name="Normal 4 2 2 5 3 6" xfId="9374" xr:uid="{911A260E-1513-4C91-93F1-3B167E3A6C34}"/>
    <cellStyle name="Normal 4 2 2 5 4" xfId="1248" xr:uid="{00000000-0005-0000-0000-0000FB120000}"/>
    <cellStyle name="Normal 4 2 2 5 4 2" xfId="3478" xr:uid="{00000000-0005-0000-0000-0000FC120000}"/>
    <cellStyle name="Normal 4 2 2 5 4 2 2" xfId="7700" xr:uid="{00000000-0005-0000-0000-0000FD120000}"/>
    <cellStyle name="Normal 4 2 2 5 4 2 2 2" xfId="33032" xr:uid="{EF0758BA-E00B-4480-B437-EAD6F0E4486C}"/>
    <cellStyle name="Normal 4 2 2 5 4 2 2 3" xfId="24591" xr:uid="{12820BC6-039A-4AB5-9727-3B131A09BE4C}"/>
    <cellStyle name="Normal 4 2 2 5 4 2 2 4" xfId="16150" xr:uid="{216B6159-F644-4D12-A4BF-36531D3C3CCD}"/>
    <cellStyle name="Normal 4 2 2 5 4 2 3" xfId="28814" xr:uid="{82B1CB88-77F3-490A-AF1D-042168EE7C3D}"/>
    <cellStyle name="Normal 4 2 2 5 4 2 4" xfId="20373" xr:uid="{C0A3C416-4140-4EBB-A2B1-5B9DF4235BE0}"/>
    <cellStyle name="Normal 4 2 2 5 4 2 5" xfId="11932" xr:uid="{D48EFB6D-B19E-4937-87CB-4B4432C9C32A}"/>
    <cellStyle name="Normal 4 2 2 5 4 3" xfId="5555" xr:uid="{00000000-0005-0000-0000-0000FE120000}"/>
    <cellStyle name="Normal 4 2 2 5 4 3 2" xfId="30887" xr:uid="{988F59CD-F681-41D6-90EA-15CB4DFBF54F}"/>
    <cellStyle name="Normal 4 2 2 5 4 3 3" xfId="22446" xr:uid="{687DA012-01CD-4597-B63C-51676BBDB50C}"/>
    <cellStyle name="Normal 4 2 2 5 4 3 4" xfId="14005" xr:uid="{8461806F-91C3-4BD7-BDDB-214D8B464C50}"/>
    <cellStyle name="Normal 4 2 2 5 4 4" xfId="26669" xr:uid="{266ADA18-9A89-4C66-BE97-3233DEA25CE7}"/>
    <cellStyle name="Normal 4 2 2 5 4 5" xfId="18228" xr:uid="{989ED669-E29D-45E4-AB28-16CA02FCA696}"/>
    <cellStyle name="Normal 4 2 2 5 4 6" xfId="9787" xr:uid="{A0DFCB5A-6161-47D3-A1C2-99B43DAD07B7}"/>
    <cellStyle name="Normal 4 2 2 5 5" xfId="1661" xr:uid="{00000000-0005-0000-0000-0000FF120000}"/>
    <cellStyle name="Normal 4 2 2 5 5 2" xfId="3891" xr:uid="{00000000-0005-0000-0000-000000130000}"/>
    <cellStyle name="Normal 4 2 2 5 5 2 2" xfId="8113" xr:uid="{00000000-0005-0000-0000-000001130000}"/>
    <cellStyle name="Normal 4 2 2 5 5 2 2 2" xfId="33445" xr:uid="{C6BDED4E-B641-4BD0-8D92-08D7289FCA55}"/>
    <cellStyle name="Normal 4 2 2 5 5 2 2 3" xfId="25004" xr:uid="{6A5B8CAD-1885-49F5-8CB0-7F9B6E0AE05E}"/>
    <cellStyle name="Normal 4 2 2 5 5 2 2 4" xfId="16563" xr:uid="{B1F2B108-ACBA-4046-9EBB-49A932EE03F6}"/>
    <cellStyle name="Normal 4 2 2 5 5 2 3" xfId="29227" xr:uid="{DAED49C9-99D2-4097-84AC-D6489EE0280A}"/>
    <cellStyle name="Normal 4 2 2 5 5 2 4" xfId="20786" xr:uid="{C123BF0F-D47B-4831-9951-F34A7AA6C599}"/>
    <cellStyle name="Normal 4 2 2 5 5 2 5" xfId="12345" xr:uid="{BD7D3E23-DD08-44FF-AD43-E95D207E3582}"/>
    <cellStyle name="Normal 4 2 2 5 5 3" xfId="5968" xr:uid="{00000000-0005-0000-0000-000002130000}"/>
    <cellStyle name="Normal 4 2 2 5 5 3 2" xfId="31300" xr:uid="{55994EBC-32D3-4B72-ABEA-AC83420AADDD}"/>
    <cellStyle name="Normal 4 2 2 5 5 3 3" xfId="22859" xr:uid="{AA07ED0B-103A-4FC3-B6CD-F4018FA1AB94}"/>
    <cellStyle name="Normal 4 2 2 5 5 3 4" xfId="14418" xr:uid="{4893F3EF-866B-40BB-9DE1-C634A8B0332B}"/>
    <cellStyle name="Normal 4 2 2 5 5 4" xfId="27082" xr:uid="{958AA50B-A77E-49E5-90D6-3B14EB1F0FD6}"/>
    <cellStyle name="Normal 4 2 2 5 5 5" xfId="18641" xr:uid="{EF7BAAF5-3927-48B9-9203-A6BFD72A7A20}"/>
    <cellStyle name="Normal 4 2 2 5 5 6" xfId="10200" xr:uid="{0A98DD25-EBBF-43E3-8D73-69ED9360712C}"/>
    <cellStyle name="Normal 4 2 2 5 6" xfId="2075" xr:uid="{00000000-0005-0000-0000-000003130000}"/>
    <cellStyle name="Normal 4 2 2 5 6 2" xfId="4304" xr:uid="{00000000-0005-0000-0000-000004130000}"/>
    <cellStyle name="Normal 4 2 2 5 6 2 2" xfId="8526" xr:uid="{00000000-0005-0000-0000-000005130000}"/>
    <cellStyle name="Normal 4 2 2 5 6 2 2 2" xfId="33858" xr:uid="{4779D203-3F7B-4D2E-8F04-4920890D86BD}"/>
    <cellStyle name="Normal 4 2 2 5 6 2 2 3" xfId="25417" xr:uid="{8A48AE96-E330-479D-BD56-D53FC0FE957C}"/>
    <cellStyle name="Normal 4 2 2 5 6 2 2 4" xfId="16976" xr:uid="{CE7BC833-D1BE-4DB0-8F6F-765ED793CDD9}"/>
    <cellStyle name="Normal 4 2 2 5 6 2 3" xfId="29640" xr:uid="{FEC2DA5C-2F43-4B44-B6E6-72C1A80C734D}"/>
    <cellStyle name="Normal 4 2 2 5 6 2 4" xfId="21199" xr:uid="{7E2512C5-72E2-458B-946D-1DF358205177}"/>
    <cellStyle name="Normal 4 2 2 5 6 2 5" xfId="12758" xr:uid="{1BE7106D-3225-4007-B96B-65B0D1A08F32}"/>
    <cellStyle name="Normal 4 2 2 5 6 3" xfId="6381" xr:uid="{00000000-0005-0000-0000-000006130000}"/>
    <cellStyle name="Normal 4 2 2 5 6 3 2" xfId="31713" xr:uid="{30D3BAE1-8251-4336-96C0-E944A3424FA3}"/>
    <cellStyle name="Normal 4 2 2 5 6 3 3" xfId="23272" xr:uid="{CA19AF2A-1640-40D4-B296-4AFE0A6BED95}"/>
    <cellStyle name="Normal 4 2 2 5 6 3 4" xfId="14831" xr:uid="{0A6E738C-5BBB-4A00-9546-8C460E4DC151}"/>
    <cellStyle name="Normal 4 2 2 5 6 4" xfId="27495" xr:uid="{EBD432A9-2907-4FEA-8BA4-9807314CAB15}"/>
    <cellStyle name="Normal 4 2 2 5 6 5" xfId="19054" xr:uid="{7F31C086-1BC8-43B8-BA5C-1BBB5DD26C1F}"/>
    <cellStyle name="Normal 4 2 2 5 6 6" xfId="10613" xr:uid="{61D9AFF7-214A-49F1-9732-2C0D4BCD4AA6}"/>
    <cellStyle name="Normal 4 2 2 5 7" xfId="2511" xr:uid="{00000000-0005-0000-0000-000007130000}"/>
    <cellStyle name="Normal 4 2 2 5 7 2" xfId="6794" xr:uid="{00000000-0005-0000-0000-000008130000}"/>
    <cellStyle name="Normal 4 2 2 5 7 2 2" xfId="32126" xr:uid="{5819CF91-DD4E-4F13-98FC-F86FB43E2686}"/>
    <cellStyle name="Normal 4 2 2 5 7 2 3" xfId="23685" xr:uid="{A218B0C2-8390-4BA8-A804-B9F10353E290}"/>
    <cellStyle name="Normal 4 2 2 5 7 2 4" xfId="15244" xr:uid="{9FA592F8-3AEB-43E0-BD66-98A2F169E86C}"/>
    <cellStyle name="Normal 4 2 2 5 7 3" xfId="27908" xr:uid="{BDF4DF33-072D-4C65-93E9-66F05D04FF63}"/>
    <cellStyle name="Normal 4 2 2 5 7 4" xfId="19467" xr:uid="{6895894C-2412-49E1-AE32-06AA19FF2455}"/>
    <cellStyle name="Normal 4 2 2 5 7 5" xfId="11026" xr:uid="{A612DB0C-C96F-4BBD-97EA-F37F43628B3E}"/>
    <cellStyle name="Normal 4 2 2 5 8" xfId="4729" xr:uid="{00000000-0005-0000-0000-000009130000}"/>
    <cellStyle name="Normal 4 2 2 5 8 2" xfId="30061" xr:uid="{1D0C9B65-51D1-47F8-9F7A-7F6CEF4C69DB}"/>
    <cellStyle name="Normal 4 2 2 5 8 3" xfId="21620" xr:uid="{D40AB2B7-93DF-4EA7-9A97-916BBCF6386A}"/>
    <cellStyle name="Normal 4 2 2 5 8 4" xfId="13179" xr:uid="{1D3560D0-5586-4012-9163-CA7004824E90}"/>
    <cellStyle name="Normal 4 2 2 5 9" xfId="25843" xr:uid="{3FC68703-96BB-471E-9786-2D9D1B60CD38}"/>
    <cellStyle name="Normal 4 2 2 6" xfId="353" xr:uid="{00000000-0005-0000-0000-00000A130000}"/>
    <cellStyle name="Normal 4 2 2 6 10" xfId="8963" xr:uid="{AB017179-B20F-41FC-9765-A39769CE4155}"/>
    <cellStyle name="Normal 4 2 2 6 2" xfId="830" xr:uid="{00000000-0005-0000-0000-00000B130000}"/>
    <cellStyle name="Normal 4 2 2 6 2 2" xfId="3067" xr:uid="{00000000-0005-0000-0000-00000C130000}"/>
    <cellStyle name="Normal 4 2 2 6 2 2 2" xfId="7289" xr:uid="{00000000-0005-0000-0000-00000D130000}"/>
    <cellStyle name="Normal 4 2 2 6 2 2 2 2" xfId="32621" xr:uid="{0A5CAFAD-BADA-428E-B8E2-8A5F2BAB52BB}"/>
    <cellStyle name="Normal 4 2 2 6 2 2 2 3" xfId="24180" xr:uid="{0F4D57E1-5855-4F8B-8787-DE41DCF2EFED}"/>
    <cellStyle name="Normal 4 2 2 6 2 2 2 4" xfId="15739" xr:uid="{760759BA-5F16-4D4D-8513-61DFD9DDB927}"/>
    <cellStyle name="Normal 4 2 2 6 2 2 3" xfId="28403" xr:uid="{6B140770-EC3B-427B-BD84-82DA40F7817C}"/>
    <cellStyle name="Normal 4 2 2 6 2 2 4" xfId="19962" xr:uid="{994F1F20-1D59-4F68-8405-057D2C8943AB}"/>
    <cellStyle name="Normal 4 2 2 6 2 2 5" xfId="11521" xr:uid="{A135924E-F230-4C41-9BCA-2D8E9DA97712}"/>
    <cellStyle name="Normal 4 2 2 6 2 3" xfId="5144" xr:uid="{00000000-0005-0000-0000-00000E130000}"/>
    <cellStyle name="Normal 4 2 2 6 2 3 2" xfId="30476" xr:uid="{EEDFEF34-334F-403D-AD5F-B747119B3204}"/>
    <cellStyle name="Normal 4 2 2 6 2 3 3" xfId="22035" xr:uid="{313F24F7-229B-4569-B8FC-E69C1C1D0BE3}"/>
    <cellStyle name="Normal 4 2 2 6 2 3 4" xfId="13594" xr:uid="{D904A8B4-221C-4580-B8F1-830F4FCC5AC3}"/>
    <cellStyle name="Normal 4 2 2 6 2 4" xfId="26258" xr:uid="{1A56A422-D517-4416-A133-927124A5AF18}"/>
    <cellStyle name="Normal 4 2 2 6 2 5" xfId="17817" xr:uid="{B5F0FFE8-565A-4DE0-BFC3-2415177E024D}"/>
    <cellStyle name="Normal 4 2 2 6 2 6" xfId="9376" xr:uid="{3E3533AC-18EB-4E70-9637-CFA9E357EF31}"/>
    <cellStyle name="Normal 4 2 2 6 3" xfId="1250" xr:uid="{00000000-0005-0000-0000-00000F130000}"/>
    <cellStyle name="Normal 4 2 2 6 3 2" xfId="3480" xr:uid="{00000000-0005-0000-0000-000010130000}"/>
    <cellStyle name="Normal 4 2 2 6 3 2 2" xfId="7702" xr:uid="{00000000-0005-0000-0000-000011130000}"/>
    <cellStyle name="Normal 4 2 2 6 3 2 2 2" xfId="33034" xr:uid="{78CF77EB-86D5-4A6F-B411-0F48F7485CBF}"/>
    <cellStyle name="Normal 4 2 2 6 3 2 2 3" xfId="24593" xr:uid="{783527E4-37FC-40F6-8A40-13F675428390}"/>
    <cellStyle name="Normal 4 2 2 6 3 2 2 4" xfId="16152" xr:uid="{C31F98B9-ADAE-4311-947C-CA83E971C60E}"/>
    <cellStyle name="Normal 4 2 2 6 3 2 3" xfId="28816" xr:uid="{938D2169-DFF6-4C94-9998-CF8195A66C4D}"/>
    <cellStyle name="Normal 4 2 2 6 3 2 4" xfId="20375" xr:uid="{491BD4FC-8294-4498-97D0-153621962F91}"/>
    <cellStyle name="Normal 4 2 2 6 3 2 5" xfId="11934" xr:uid="{17590298-2080-4F50-B0E8-AE083DA46888}"/>
    <cellStyle name="Normal 4 2 2 6 3 3" xfId="5557" xr:uid="{00000000-0005-0000-0000-000012130000}"/>
    <cellStyle name="Normal 4 2 2 6 3 3 2" xfId="30889" xr:uid="{E48A0505-68C4-4D0E-B775-C247B5B0D825}"/>
    <cellStyle name="Normal 4 2 2 6 3 3 3" xfId="22448" xr:uid="{F3BB6AD8-1F5D-4AC4-8FEF-9927C1813566}"/>
    <cellStyle name="Normal 4 2 2 6 3 3 4" xfId="14007" xr:uid="{9C690101-9627-4556-8D9A-3A0190E63EBE}"/>
    <cellStyle name="Normal 4 2 2 6 3 4" xfId="26671" xr:uid="{A9A19239-AAA1-406C-B626-BF20698A3C26}"/>
    <cellStyle name="Normal 4 2 2 6 3 5" xfId="18230" xr:uid="{9ADB8B3A-7C19-4314-9978-AB0E252EA585}"/>
    <cellStyle name="Normal 4 2 2 6 3 6" xfId="9789" xr:uid="{29B3C10D-FAB4-4CD8-98E4-30C4F221B069}"/>
    <cellStyle name="Normal 4 2 2 6 4" xfId="1663" xr:uid="{00000000-0005-0000-0000-000013130000}"/>
    <cellStyle name="Normal 4 2 2 6 4 2" xfId="3893" xr:uid="{00000000-0005-0000-0000-000014130000}"/>
    <cellStyle name="Normal 4 2 2 6 4 2 2" xfId="8115" xr:uid="{00000000-0005-0000-0000-000015130000}"/>
    <cellStyle name="Normal 4 2 2 6 4 2 2 2" xfId="33447" xr:uid="{356AC18B-4891-4C6E-8F60-2C2EA75D515C}"/>
    <cellStyle name="Normal 4 2 2 6 4 2 2 3" xfId="25006" xr:uid="{3333F3FA-94C1-4DEF-B6B4-9FB08B32DBE0}"/>
    <cellStyle name="Normal 4 2 2 6 4 2 2 4" xfId="16565" xr:uid="{95552D70-5FBD-4951-8B19-EB800362BE3C}"/>
    <cellStyle name="Normal 4 2 2 6 4 2 3" xfId="29229" xr:uid="{45583AC6-9539-49C1-A902-9210D5B10D8D}"/>
    <cellStyle name="Normal 4 2 2 6 4 2 4" xfId="20788" xr:uid="{AAE081B1-815B-4131-8F33-3B39884500BE}"/>
    <cellStyle name="Normal 4 2 2 6 4 2 5" xfId="12347" xr:uid="{C75B91C3-96B6-4534-A32B-3EAD08808D89}"/>
    <cellStyle name="Normal 4 2 2 6 4 3" xfId="5970" xr:uid="{00000000-0005-0000-0000-000016130000}"/>
    <cellStyle name="Normal 4 2 2 6 4 3 2" xfId="31302" xr:uid="{401ED955-281D-4410-977A-F73566BFE8AD}"/>
    <cellStyle name="Normal 4 2 2 6 4 3 3" xfId="22861" xr:uid="{918526C6-B8C7-4B73-A799-A7A60CBA0F7C}"/>
    <cellStyle name="Normal 4 2 2 6 4 3 4" xfId="14420" xr:uid="{0985ACA8-85F3-494F-9CFF-CE49223FE0B0}"/>
    <cellStyle name="Normal 4 2 2 6 4 4" xfId="27084" xr:uid="{DCE714D8-5142-4636-8D51-71AED1329B15}"/>
    <cellStyle name="Normal 4 2 2 6 4 5" xfId="18643" xr:uid="{2D293ADB-EC4A-4668-9544-06A6F21A123B}"/>
    <cellStyle name="Normal 4 2 2 6 4 6" xfId="10202" xr:uid="{3DA409BA-2A22-4491-88E5-EDACB42F07BE}"/>
    <cellStyle name="Normal 4 2 2 6 5" xfId="2077" xr:uid="{00000000-0005-0000-0000-000017130000}"/>
    <cellStyle name="Normal 4 2 2 6 5 2" xfId="4306" xr:uid="{00000000-0005-0000-0000-000018130000}"/>
    <cellStyle name="Normal 4 2 2 6 5 2 2" xfId="8528" xr:uid="{00000000-0005-0000-0000-000019130000}"/>
    <cellStyle name="Normal 4 2 2 6 5 2 2 2" xfId="33860" xr:uid="{D43033BD-8FA6-49A3-8940-DEAFCA718CC9}"/>
    <cellStyle name="Normal 4 2 2 6 5 2 2 3" xfId="25419" xr:uid="{723C1FC9-3FCE-4A1E-9DCE-8EE3AA890CC2}"/>
    <cellStyle name="Normal 4 2 2 6 5 2 2 4" xfId="16978" xr:uid="{99B00787-0100-4635-86EF-4095DDEBFD70}"/>
    <cellStyle name="Normal 4 2 2 6 5 2 3" xfId="29642" xr:uid="{62CA3698-8A0D-423F-A286-BDF6165966BB}"/>
    <cellStyle name="Normal 4 2 2 6 5 2 4" xfId="21201" xr:uid="{9189B4AB-FAB1-4E71-BA6B-A0E53F2811DA}"/>
    <cellStyle name="Normal 4 2 2 6 5 2 5" xfId="12760" xr:uid="{CBC29480-C667-438F-B1F1-8CA9547BA08E}"/>
    <cellStyle name="Normal 4 2 2 6 5 3" xfId="6383" xr:uid="{00000000-0005-0000-0000-00001A130000}"/>
    <cellStyle name="Normal 4 2 2 6 5 3 2" xfId="31715" xr:uid="{435BEDD4-25AB-4790-B0AE-C476B7EB6E36}"/>
    <cellStyle name="Normal 4 2 2 6 5 3 3" xfId="23274" xr:uid="{92D3ED85-6805-4A30-A967-A30349A08D50}"/>
    <cellStyle name="Normal 4 2 2 6 5 3 4" xfId="14833" xr:uid="{D52B7A6D-94AA-48FC-90B0-8A937B665A18}"/>
    <cellStyle name="Normal 4 2 2 6 5 4" xfId="27497" xr:uid="{C6726587-638A-4B75-8977-167A2FBFE075}"/>
    <cellStyle name="Normal 4 2 2 6 5 5" xfId="19056" xr:uid="{44F9254E-35A5-4272-82F4-B63CD7672D3B}"/>
    <cellStyle name="Normal 4 2 2 6 5 6" xfId="10615" xr:uid="{044139C6-3672-4ED5-8A24-E70439C64E97}"/>
    <cellStyle name="Normal 4 2 2 6 6" xfId="2513" xr:uid="{00000000-0005-0000-0000-00001B130000}"/>
    <cellStyle name="Normal 4 2 2 6 6 2" xfId="6796" xr:uid="{00000000-0005-0000-0000-00001C130000}"/>
    <cellStyle name="Normal 4 2 2 6 6 2 2" xfId="32128" xr:uid="{B0FC2C4C-E5A0-4C92-9E15-8AD855CF56FD}"/>
    <cellStyle name="Normal 4 2 2 6 6 2 3" xfId="23687" xr:uid="{D30FE2E6-3D41-4FAA-9A5D-6141189B0153}"/>
    <cellStyle name="Normal 4 2 2 6 6 2 4" xfId="15246" xr:uid="{3BE47911-C087-48C4-B891-5D83643739E9}"/>
    <cellStyle name="Normal 4 2 2 6 6 3" xfId="27910" xr:uid="{F2091863-7E19-44A8-9796-3251CE0C13B4}"/>
    <cellStyle name="Normal 4 2 2 6 6 4" xfId="19469" xr:uid="{C3893F1B-C5BD-4D94-B4F1-380FD47A7DE1}"/>
    <cellStyle name="Normal 4 2 2 6 6 5" xfId="11028" xr:uid="{EB596FD9-603F-488A-9CDC-CD292E5295D8}"/>
    <cellStyle name="Normal 4 2 2 6 7" xfId="4731" xr:uid="{00000000-0005-0000-0000-00001D130000}"/>
    <cellStyle name="Normal 4 2 2 6 7 2" xfId="30063" xr:uid="{FF1FD9C0-3E0E-4EA3-918F-A27A94A1BDDB}"/>
    <cellStyle name="Normal 4 2 2 6 7 3" xfId="21622" xr:uid="{FF93794F-46B4-4665-8F96-D6CF9A55643D}"/>
    <cellStyle name="Normal 4 2 2 6 7 4" xfId="13181" xr:uid="{1768B688-A21B-4459-A56C-1AB8C867B34C}"/>
    <cellStyle name="Normal 4 2 2 6 8" xfId="25845" xr:uid="{BBEE03B9-B157-4C0F-8EAD-F25774C81C7F}"/>
    <cellStyle name="Normal 4 2 2 6 9" xfId="17404" xr:uid="{4C3F2844-C2AA-423C-B8ED-510934D836C1}"/>
    <cellStyle name="Normal 4 2 2 7" xfId="815" xr:uid="{00000000-0005-0000-0000-00001E130000}"/>
    <cellStyle name="Normal 4 2 2 7 2" xfId="3052" xr:uid="{00000000-0005-0000-0000-00001F130000}"/>
    <cellStyle name="Normal 4 2 2 7 2 2" xfId="7274" xr:uid="{00000000-0005-0000-0000-000020130000}"/>
    <cellStyle name="Normal 4 2 2 7 2 2 2" xfId="32606" xr:uid="{580409A2-9BB0-40E6-B147-6C8C0C6759F9}"/>
    <cellStyle name="Normal 4 2 2 7 2 2 3" xfId="24165" xr:uid="{BFC3D9BE-742A-431B-B99D-9840A15E92B5}"/>
    <cellStyle name="Normal 4 2 2 7 2 2 4" xfId="15724" xr:uid="{F13EDDB6-9B58-4C52-A115-09B4B14AF122}"/>
    <cellStyle name="Normal 4 2 2 7 2 3" xfId="28388" xr:uid="{595EF141-9A5A-4533-B795-613EDEA37559}"/>
    <cellStyle name="Normal 4 2 2 7 2 4" xfId="19947" xr:uid="{8D3CF258-EFBE-4A0D-9698-DF3A288BF797}"/>
    <cellStyle name="Normal 4 2 2 7 2 5" xfId="11506" xr:uid="{C5B6B5A8-BDFB-48A6-9739-5CA0A98403F7}"/>
    <cellStyle name="Normal 4 2 2 7 3" xfId="5129" xr:uid="{00000000-0005-0000-0000-000021130000}"/>
    <cellStyle name="Normal 4 2 2 7 3 2" xfId="30461" xr:uid="{97AB6426-9598-4867-A4B3-FDFCC49DCC6C}"/>
    <cellStyle name="Normal 4 2 2 7 3 3" xfId="22020" xr:uid="{BBBD9D60-3C4C-4687-982C-C3B6ECAEC49B}"/>
    <cellStyle name="Normal 4 2 2 7 3 4" xfId="13579" xr:uid="{BB339009-6724-4D3F-A2F4-03EFE04D4976}"/>
    <cellStyle name="Normal 4 2 2 7 4" xfId="26243" xr:uid="{7E1C419B-07DC-410E-A50F-F637D06C0FF4}"/>
    <cellStyle name="Normal 4 2 2 7 5" xfId="17802" xr:uid="{A8BB7876-C687-419D-B89F-8F85DBCF14F2}"/>
    <cellStyle name="Normal 4 2 2 7 6" xfId="9361" xr:uid="{178ACF18-8691-45A7-82FC-0CE534BC2AB4}"/>
    <cellStyle name="Normal 4 2 2 8" xfId="1235" xr:uid="{00000000-0005-0000-0000-000022130000}"/>
    <cellStyle name="Normal 4 2 2 8 2" xfId="3465" xr:uid="{00000000-0005-0000-0000-000023130000}"/>
    <cellStyle name="Normal 4 2 2 8 2 2" xfId="7687" xr:uid="{00000000-0005-0000-0000-000024130000}"/>
    <cellStyle name="Normal 4 2 2 8 2 2 2" xfId="33019" xr:uid="{0F79CA15-9326-42C9-98A5-6AC7C197850E}"/>
    <cellStyle name="Normal 4 2 2 8 2 2 3" xfId="24578" xr:uid="{93124EA7-F7EF-4CEE-970B-8186657DCF57}"/>
    <cellStyle name="Normal 4 2 2 8 2 2 4" xfId="16137" xr:uid="{6872BFEE-D41C-463A-8812-EAD31004237B}"/>
    <cellStyle name="Normal 4 2 2 8 2 3" xfId="28801" xr:uid="{5BAA08B9-49EF-44EB-80A6-CFE3D80AFD41}"/>
    <cellStyle name="Normal 4 2 2 8 2 4" xfId="20360" xr:uid="{EEFF67A9-7B28-4DEB-941D-046FEB11FC08}"/>
    <cellStyle name="Normal 4 2 2 8 2 5" xfId="11919" xr:uid="{42D2659C-67BA-4C19-890D-908E15EF830F}"/>
    <cellStyle name="Normal 4 2 2 8 3" xfId="5542" xr:uid="{00000000-0005-0000-0000-000025130000}"/>
    <cellStyle name="Normal 4 2 2 8 3 2" xfId="30874" xr:uid="{5568BBC9-4235-4C64-8BB3-35E9D1593230}"/>
    <cellStyle name="Normal 4 2 2 8 3 3" xfId="22433" xr:uid="{DD0BDBDF-2E54-40DE-99DD-B2C41FBCC9E1}"/>
    <cellStyle name="Normal 4 2 2 8 3 4" xfId="13992" xr:uid="{BEBA1A7B-3F8B-4374-A070-1D284BCA9687}"/>
    <cellStyle name="Normal 4 2 2 8 4" xfId="26656" xr:uid="{F53CC377-E2FA-4FFD-B328-48110887A047}"/>
    <cellStyle name="Normal 4 2 2 8 5" xfId="18215" xr:uid="{328B3ACD-D24A-4CDB-A88D-342C7F94FA88}"/>
    <cellStyle name="Normal 4 2 2 8 6" xfId="9774" xr:uid="{C6019F28-348F-43FD-8481-D5D16E8D3591}"/>
    <cellStyle name="Normal 4 2 2 9" xfId="1648" xr:uid="{00000000-0005-0000-0000-000026130000}"/>
    <cellStyle name="Normal 4 2 2 9 2" xfId="3878" xr:uid="{00000000-0005-0000-0000-000027130000}"/>
    <cellStyle name="Normal 4 2 2 9 2 2" xfId="8100" xr:uid="{00000000-0005-0000-0000-000028130000}"/>
    <cellStyle name="Normal 4 2 2 9 2 2 2" xfId="33432" xr:uid="{D0FAC7C0-C698-4645-B9EC-6D103EC92F49}"/>
    <cellStyle name="Normal 4 2 2 9 2 2 3" xfId="24991" xr:uid="{1034C794-54F9-4B8E-9D1D-EC7BC046E0F4}"/>
    <cellStyle name="Normal 4 2 2 9 2 2 4" xfId="16550" xr:uid="{4B609162-A1A7-4DC5-8825-8305525DB68C}"/>
    <cellStyle name="Normal 4 2 2 9 2 3" xfId="29214" xr:uid="{B04C1BD3-4884-472B-974F-2577E746BE6F}"/>
    <cellStyle name="Normal 4 2 2 9 2 4" xfId="20773" xr:uid="{DB0C3BFE-1E73-48D0-BAA4-6409BA1A6923}"/>
    <cellStyle name="Normal 4 2 2 9 2 5" xfId="12332" xr:uid="{947508B6-4DBD-4486-A128-3F398594741D}"/>
    <cellStyle name="Normal 4 2 2 9 3" xfId="5955" xr:uid="{00000000-0005-0000-0000-000029130000}"/>
    <cellStyle name="Normal 4 2 2 9 3 2" xfId="31287" xr:uid="{0EC64E6C-3B12-4E8D-ACA4-92E9108FE09E}"/>
    <cellStyle name="Normal 4 2 2 9 3 3" xfId="22846" xr:uid="{3DC5BE1A-C79B-4105-B0EC-2F60ED545B66}"/>
    <cellStyle name="Normal 4 2 2 9 3 4" xfId="14405" xr:uid="{9A2158D0-1997-4841-9594-BC5CB4234E6D}"/>
    <cellStyle name="Normal 4 2 2 9 4" xfId="27069" xr:uid="{30402FD8-600F-4C29-92AC-79628FB19F7F}"/>
    <cellStyle name="Normal 4 2 2 9 5" xfId="18628" xr:uid="{6CD4C694-E0A9-43F8-921A-7230DE1EB7C5}"/>
    <cellStyle name="Normal 4 2 2 9 6" xfId="10187" xr:uid="{8C35146E-D094-4549-B1FB-684EA5173976}"/>
    <cellStyle name="Normal 4 2 3" xfId="354" xr:uid="{00000000-0005-0000-0000-00002A130000}"/>
    <cellStyle name="Normal 4 2 4" xfId="355" xr:uid="{00000000-0005-0000-0000-00002B130000}"/>
    <cellStyle name="Normal 4 2 4 10" xfId="4732" xr:uid="{00000000-0005-0000-0000-00002C130000}"/>
    <cellStyle name="Normal 4 2 4 10 2" xfId="30064" xr:uid="{1440B1A7-1C78-4AE9-B5F7-6AFB5A49C5E0}"/>
    <cellStyle name="Normal 4 2 4 10 3" xfId="21623" xr:uid="{658F050F-D5A1-4778-ACB1-76147F493163}"/>
    <cellStyle name="Normal 4 2 4 10 4" xfId="13182" xr:uid="{2834F248-5907-4266-9DBC-3CA7B1CE6B1C}"/>
    <cellStyle name="Normal 4 2 4 11" xfId="25846" xr:uid="{69F97BE0-3BEA-46DC-8E55-474B73F61C8F}"/>
    <cellStyle name="Normal 4 2 4 12" xfId="17405" xr:uid="{296391D4-EF95-40FA-BF2E-599FA9AFC21B}"/>
    <cellStyle name="Normal 4 2 4 13" xfId="8964" xr:uid="{E62EA8C1-F7E9-4957-AFF6-5292E57DA1E7}"/>
    <cellStyle name="Normal 4 2 4 2" xfId="356" xr:uid="{00000000-0005-0000-0000-00002D130000}"/>
    <cellStyle name="Normal 4 2 4 2 10" xfId="25847" xr:uid="{8BE5E7CE-6B25-4957-B1B9-73508921E3B6}"/>
    <cellStyle name="Normal 4 2 4 2 11" xfId="17406" xr:uid="{DAF0DEB5-2C01-428C-AE9F-7378F5A8558C}"/>
    <cellStyle name="Normal 4 2 4 2 12" xfId="8965" xr:uid="{CA750610-6AEE-4B6E-939E-D1F0A42D771D}"/>
    <cellStyle name="Normal 4 2 4 2 2" xfId="357" xr:uid="{00000000-0005-0000-0000-00002E130000}"/>
    <cellStyle name="Normal 4 2 4 2 2 10" xfId="17407" xr:uid="{F5C5141D-D9F6-43BF-9FC4-9889E6BE36B4}"/>
    <cellStyle name="Normal 4 2 4 2 2 11" xfId="8966" xr:uid="{F6F48663-0FC7-42BA-BC4B-14D821897FC1}"/>
    <cellStyle name="Normal 4 2 4 2 2 2" xfId="358" xr:uid="{00000000-0005-0000-0000-00002F130000}"/>
    <cellStyle name="Normal 4 2 4 2 2 2 10" xfId="8967" xr:uid="{A7428E41-8DF3-4FA0-BC59-6942E0AD75A8}"/>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2 2 2" xfId="32625" xr:uid="{6931AE9F-8AA8-4143-88D3-EFCA23236ABB}"/>
    <cellStyle name="Normal 4 2 4 2 2 2 2 2 2 3" xfId="24184" xr:uid="{F68E8411-7106-4426-9263-088D5BF23FD5}"/>
    <cellStyle name="Normal 4 2 4 2 2 2 2 2 2 4" xfId="15743" xr:uid="{B1F5B359-501D-4683-9056-48DB73571CAF}"/>
    <cellStyle name="Normal 4 2 4 2 2 2 2 2 3" xfId="28407" xr:uid="{4C7C9CDB-E06E-4B79-95C2-7CCD40557A4F}"/>
    <cellStyle name="Normal 4 2 4 2 2 2 2 2 4" xfId="19966" xr:uid="{E151A543-AE0C-4CA7-8935-F2D1C9DB0CD6}"/>
    <cellStyle name="Normal 4 2 4 2 2 2 2 2 5" xfId="11525" xr:uid="{D5D56305-238B-4BF9-AF60-D6E473121A01}"/>
    <cellStyle name="Normal 4 2 4 2 2 2 2 3" xfId="5148" xr:uid="{00000000-0005-0000-0000-000033130000}"/>
    <cellStyle name="Normal 4 2 4 2 2 2 2 3 2" xfId="30480" xr:uid="{263A459E-B42B-4C25-B0D0-E55EA9E82E89}"/>
    <cellStyle name="Normal 4 2 4 2 2 2 2 3 3" xfId="22039" xr:uid="{97EA06B1-6AD6-4089-B381-725DB7B505BD}"/>
    <cellStyle name="Normal 4 2 4 2 2 2 2 3 4" xfId="13598" xr:uid="{4E100525-DC78-4543-9845-7557EF06AC17}"/>
    <cellStyle name="Normal 4 2 4 2 2 2 2 4" xfId="26262" xr:uid="{AE6E8AD1-295B-474A-88A3-BA6EB1F355A2}"/>
    <cellStyle name="Normal 4 2 4 2 2 2 2 5" xfId="17821" xr:uid="{14CFD805-BA3E-4037-ABBE-C62282BBFC9D}"/>
    <cellStyle name="Normal 4 2 4 2 2 2 2 6" xfId="9380" xr:uid="{B4592B9C-7E13-4D43-8D30-5E871178E1B7}"/>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2 2 2" xfId="33038" xr:uid="{57568EC8-B45E-4408-B13E-F868D88BE4BA}"/>
    <cellStyle name="Normal 4 2 4 2 2 2 3 2 2 3" xfId="24597" xr:uid="{95966A4E-9401-4349-9E3A-F33BC618B030}"/>
    <cellStyle name="Normal 4 2 4 2 2 2 3 2 2 4" xfId="16156" xr:uid="{44BF52DD-7F8F-463B-B39A-E9F9D140BE12}"/>
    <cellStyle name="Normal 4 2 4 2 2 2 3 2 3" xfId="28820" xr:uid="{EF96FF7F-B6B4-406F-8AE6-C15AAC7F1450}"/>
    <cellStyle name="Normal 4 2 4 2 2 2 3 2 4" xfId="20379" xr:uid="{BBD489BC-7B2E-4993-A943-EBA9FC8099E7}"/>
    <cellStyle name="Normal 4 2 4 2 2 2 3 2 5" xfId="11938" xr:uid="{392401C9-9B3F-49BB-8E20-7D3427731E5E}"/>
    <cellStyle name="Normal 4 2 4 2 2 2 3 3" xfId="5561" xr:uid="{00000000-0005-0000-0000-000037130000}"/>
    <cellStyle name="Normal 4 2 4 2 2 2 3 3 2" xfId="30893" xr:uid="{6ACCD42B-A5AB-426C-939F-1D3ED69DD91C}"/>
    <cellStyle name="Normal 4 2 4 2 2 2 3 3 3" xfId="22452" xr:uid="{FE9D1834-3908-47E5-9B37-78DC5254951E}"/>
    <cellStyle name="Normal 4 2 4 2 2 2 3 3 4" xfId="14011" xr:uid="{26F621FB-6720-43C5-BA04-D08EAC41FC6D}"/>
    <cellStyle name="Normal 4 2 4 2 2 2 3 4" xfId="26675" xr:uid="{D6A459DA-E748-4901-9D52-DC620D2979B5}"/>
    <cellStyle name="Normal 4 2 4 2 2 2 3 5" xfId="18234" xr:uid="{4803F663-708D-4CAA-9658-E2C2DD62711E}"/>
    <cellStyle name="Normal 4 2 4 2 2 2 3 6" xfId="9793" xr:uid="{4AFDC539-3F07-4E3A-AE1D-E44A0766953F}"/>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2 2 2" xfId="33451" xr:uid="{F249BB73-BC9C-44F4-BFF5-1B0FC599BC4C}"/>
    <cellStyle name="Normal 4 2 4 2 2 2 4 2 2 3" xfId="25010" xr:uid="{C45C45CF-1BAD-44BD-A04F-4BCD69FA59DA}"/>
    <cellStyle name="Normal 4 2 4 2 2 2 4 2 2 4" xfId="16569" xr:uid="{5F718C6C-A316-46ED-B75F-3EDDDFBA8A8D}"/>
    <cellStyle name="Normal 4 2 4 2 2 2 4 2 3" xfId="29233" xr:uid="{E7F6427B-E49D-4052-A6C0-580F70722180}"/>
    <cellStyle name="Normal 4 2 4 2 2 2 4 2 4" xfId="20792" xr:uid="{5F1B5E98-C49B-47BE-AE7D-2E84642CFC58}"/>
    <cellStyle name="Normal 4 2 4 2 2 2 4 2 5" xfId="12351" xr:uid="{7E2A7C7D-676D-480F-B58A-E170FCD80F75}"/>
    <cellStyle name="Normal 4 2 4 2 2 2 4 3" xfId="5974" xr:uid="{00000000-0005-0000-0000-00003B130000}"/>
    <cellStyle name="Normal 4 2 4 2 2 2 4 3 2" xfId="31306" xr:uid="{289088BF-A3A5-4457-B83F-EC9D1897E220}"/>
    <cellStyle name="Normal 4 2 4 2 2 2 4 3 3" xfId="22865" xr:uid="{9E97AF87-AA31-4D21-B601-F2865FE679D9}"/>
    <cellStyle name="Normal 4 2 4 2 2 2 4 3 4" xfId="14424" xr:uid="{CA54FEAA-8BC3-453A-8C69-6929652FBF91}"/>
    <cellStyle name="Normal 4 2 4 2 2 2 4 4" xfId="27088" xr:uid="{C67505B2-DCDF-4154-8B39-5F105A220031}"/>
    <cellStyle name="Normal 4 2 4 2 2 2 4 5" xfId="18647" xr:uid="{8A5CF467-8E03-43A7-8DA1-9D54DA47DA6A}"/>
    <cellStyle name="Normal 4 2 4 2 2 2 4 6" xfId="10206" xr:uid="{2C415F69-D652-4BDF-B517-045EB643E20A}"/>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2 2 2" xfId="33864" xr:uid="{E3890F38-19D9-4A10-AF44-BD5EA2975623}"/>
    <cellStyle name="Normal 4 2 4 2 2 2 5 2 2 3" xfId="25423" xr:uid="{8E6BF613-EEDF-4B2A-98F2-D2773D2113B7}"/>
    <cellStyle name="Normal 4 2 4 2 2 2 5 2 2 4" xfId="16982" xr:uid="{3DDE774F-4283-4825-9737-AD88E290B331}"/>
    <cellStyle name="Normal 4 2 4 2 2 2 5 2 3" xfId="29646" xr:uid="{8C93EC52-A11A-4061-A0A8-DDE8180D7964}"/>
    <cellStyle name="Normal 4 2 4 2 2 2 5 2 4" xfId="21205" xr:uid="{A103BBB7-204A-4F42-9FD9-FCC81A703389}"/>
    <cellStyle name="Normal 4 2 4 2 2 2 5 2 5" xfId="12764" xr:uid="{5CB9DD32-5474-4FE6-A766-9ABF9190C8FF}"/>
    <cellStyle name="Normal 4 2 4 2 2 2 5 3" xfId="6387" xr:uid="{00000000-0005-0000-0000-00003F130000}"/>
    <cellStyle name="Normal 4 2 4 2 2 2 5 3 2" xfId="31719" xr:uid="{B5DD9876-E0C5-4519-B91E-05881CD1C574}"/>
    <cellStyle name="Normal 4 2 4 2 2 2 5 3 3" xfId="23278" xr:uid="{D4686710-14D4-45AA-927B-D3E8B8A94A58}"/>
    <cellStyle name="Normal 4 2 4 2 2 2 5 3 4" xfId="14837" xr:uid="{2327E33C-0AF1-4039-B01B-89160E541409}"/>
    <cellStyle name="Normal 4 2 4 2 2 2 5 4" xfId="27501" xr:uid="{1089B032-E2C1-485E-A5F3-FFFA18018566}"/>
    <cellStyle name="Normal 4 2 4 2 2 2 5 5" xfId="19060" xr:uid="{7C22D3CC-0D3C-4964-BB8B-15AA247FB53B}"/>
    <cellStyle name="Normal 4 2 4 2 2 2 5 6" xfId="10619" xr:uid="{58070F5A-3453-4FA5-982D-9622BD3DAA93}"/>
    <cellStyle name="Normal 4 2 4 2 2 2 6" xfId="2517" xr:uid="{00000000-0005-0000-0000-000040130000}"/>
    <cellStyle name="Normal 4 2 4 2 2 2 6 2" xfId="6800" xr:uid="{00000000-0005-0000-0000-000041130000}"/>
    <cellStyle name="Normal 4 2 4 2 2 2 6 2 2" xfId="32132" xr:uid="{564229D5-25FF-4060-B265-456D3D5B2A22}"/>
    <cellStyle name="Normal 4 2 4 2 2 2 6 2 3" xfId="23691" xr:uid="{F56C9E74-5220-4665-9688-8C452C8A75ED}"/>
    <cellStyle name="Normal 4 2 4 2 2 2 6 2 4" xfId="15250" xr:uid="{8A260F9E-8D8F-4FD7-8EC1-AF2305804B99}"/>
    <cellStyle name="Normal 4 2 4 2 2 2 6 3" xfId="27914" xr:uid="{AD904593-9821-441C-AA7B-01F0F5B2B114}"/>
    <cellStyle name="Normal 4 2 4 2 2 2 6 4" xfId="19473" xr:uid="{6CA62FAA-1A06-4719-8425-46B70A6EF58F}"/>
    <cellStyle name="Normal 4 2 4 2 2 2 6 5" xfId="11032" xr:uid="{2A10DFB2-0516-4E6A-A896-CA7644114D9B}"/>
    <cellStyle name="Normal 4 2 4 2 2 2 7" xfId="4735" xr:uid="{00000000-0005-0000-0000-000042130000}"/>
    <cellStyle name="Normal 4 2 4 2 2 2 7 2" xfId="30067" xr:uid="{7EBB4A05-FCF4-4218-9088-E4B4031DA84F}"/>
    <cellStyle name="Normal 4 2 4 2 2 2 7 3" xfId="21626" xr:uid="{469DA2DB-5A76-4A20-A3EC-08E1A97DF154}"/>
    <cellStyle name="Normal 4 2 4 2 2 2 7 4" xfId="13185" xr:uid="{896877A4-9C50-4CA1-A701-38D722DEF007}"/>
    <cellStyle name="Normal 4 2 4 2 2 2 8" xfId="25849" xr:uid="{74B550A2-A3CE-49A5-81C2-FA92A90784E3}"/>
    <cellStyle name="Normal 4 2 4 2 2 2 9" xfId="17408" xr:uid="{323FC688-F349-4EEA-94C1-DE482E5A9039}"/>
    <cellStyle name="Normal 4 2 4 2 2 3" xfId="833" xr:uid="{00000000-0005-0000-0000-000043130000}"/>
    <cellStyle name="Normal 4 2 4 2 2 3 2" xfId="3070" xr:uid="{00000000-0005-0000-0000-000044130000}"/>
    <cellStyle name="Normal 4 2 4 2 2 3 2 2" xfId="7292" xr:uid="{00000000-0005-0000-0000-000045130000}"/>
    <cellStyle name="Normal 4 2 4 2 2 3 2 2 2" xfId="32624" xr:uid="{CEFD8F75-1AF2-4AE5-B1D5-879C437AC298}"/>
    <cellStyle name="Normal 4 2 4 2 2 3 2 2 3" xfId="24183" xr:uid="{65078605-4B0C-49EE-BB7A-FC395F4EC9B4}"/>
    <cellStyle name="Normal 4 2 4 2 2 3 2 2 4" xfId="15742" xr:uid="{A4FBB68A-7CF1-443C-815B-8AA6E1DD8D09}"/>
    <cellStyle name="Normal 4 2 4 2 2 3 2 3" xfId="28406" xr:uid="{862C60A2-FF02-48F5-93F4-ACEF394BE49A}"/>
    <cellStyle name="Normal 4 2 4 2 2 3 2 4" xfId="19965" xr:uid="{96EF025B-E741-4F7D-874F-07EE89230BC3}"/>
    <cellStyle name="Normal 4 2 4 2 2 3 2 5" xfId="11524" xr:uid="{189795A3-22BC-4F67-B54C-85454BC81117}"/>
    <cellStyle name="Normal 4 2 4 2 2 3 3" xfId="5147" xr:uid="{00000000-0005-0000-0000-000046130000}"/>
    <cellStyle name="Normal 4 2 4 2 2 3 3 2" xfId="30479" xr:uid="{7B2CF024-FB1C-4C37-933D-0C82052C508A}"/>
    <cellStyle name="Normal 4 2 4 2 2 3 3 3" xfId="22038" xr:uid="{1C99BD0D-E87E-4740-A0F2-2EA08E2FB547}"/>
    <cellStyle name="Normal 4 2 4 2 2 3 3 4" xfId="13597" xr:uid="{E8A1CFDD-93A8-4159-B977-D9C4E259CF0D}"/>
    <cellStyle name="Normal 4 2 4 2 2 3 4" xfId="26261" xr:uid="{3501A729-192E-4F4E-B90C-7E0F8694D880}"/>
    <cellStyle name="Normal 4 2 4 2 2 3 5" xfId="17820" xr:uid="{E6B37B58-E410-4487-828B-1794937118E2}"/>
    <cellStyle name="Normal 4 2 4 2 2 3 6" xfId="9379" xr:uid="{034C6F6F-6BC2-4F28-85E2-208BE06B9C3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2 2 2" xfId="33037" xr:uid="{37EF81F8-DAD7-43C0-B6B6-56060AD1A32D}"/>
    <cellStyle name="Normal 4 2 4 2 2 4 2 2 3" xfId="24596" xr:uid="{C39CBD4F-648D-440E-AD0E-7691A1A82506}"/>
    <cellStyle name="Normal 4 2 4 2 2 4 2 2 4" xfId="16155" xr:uid="{6D75DB55-701D-44F9-BACC-B74EC345E008}"/>
    <cellStyle name="Normal 4 2 4 2 2 4 2 3" xfId="28819" xr:uid="{A7373517-3C62-4D9D-8008-7C75B03E7DB4}"/>
    <cellStyle name="Normal 4 2 4 2 2 4 2 4" xfId="20378" xr:uid="{41120E5C-8606-4CB0-93F7-CFBE79E822AE}"/>
    <cellStyle name="Normal 4 2 4 2 2 4 2 5" xfId="11937" xr:uid="{BE68785E-C674-4178-B97C-22FEC30E1E8A}"/>
    <cellStyle name="Normal 4 2 4 2 2 4 3" xfId="5560" xr:uid="{00000000-0005-0000-0000-00004A130000}"/>
    <cellStyle name="Normal 4 2 4 2 2 4 3 2" xfId="30892" xr:uid="{350F6AB7-B280-4585-AF55-70CFB34D20B7}"/>
    <cellStyle name="Normal 4 2 4 2 2 4 3 3" xfId="22451" xr:uid="{998DAE42-5E7B-4451-85EC-27CF55E37248}"/>
    <cellStyle name="Normal 4 2 4 2 2 4 3 4" xfId="14010" xr:uid="{791E3C3C-2249-4392-AD32-146733E10535}"/>
    <cellStyle name="Normal 4 2 4 2 2 4 4" xfId="26674" xr:uid="{EFDC2A2B-848F-4ABE-8390-915405125750}"/>
    <cellStyle name="Normal 4 2 4 2 2 4 5" xfId="18233" xr:uid="{18879191-76E0-4DD6-9128-216960BF071A}"/>
    <cellStyle name="Normal 4 2 4 2 2 4 6" xfId="9792" xr:uid="{8DA435C3-B6B6-4240-A8FA-85910F73C8A8}"/>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2 2 2" xfId="33450" xr:uid="{80FA9369-D35E-4BA2-884B-FA31B298413D}"/>
    <cellStyle name="Normal 4 2 4 2 2 5 2 2 3" xfId="25009" xr:uid="{9AA9CBEA-537E-4A07-92B0-A31BA8183180}"/>
    <cellStyle name="Normal 4 2 4 2 2 5 2 2 4" xfId="16568" xr:uid="{1F669992-8062-4E2E-8993-EF0AFAE8628D}"/>
    <cellStyle name="Normal 4 2 4 2 2 5 2 3" xfId="29232" xr:uid="{5B08549C-C748-47F9-85C3-A98133CC1F4E}"/>
    <cellStyle name="Normal 4 2 4 2 2 5 2 4" xfId="20791" xr:uid="{C37D6189-F5F1-4467-977C-05B7E94E8547}"/>
    <cellStyle name="Normal 4 2 4 2 2 5 2 5" xfId="12350" xr:uid="{F4971385-EFEA-470D-B287-7CE287862A4E}"/>
    <cellStyle name="Normal 4 2 4 2 2 5 3" xfId="5973" xr:uid="{00000000-0005-0000-0000-00004E130000}"/>
    <cellStyle name="Normal 4 2 4 2 2 5 3 2" xfId="31305" xr:uid="{34A34523-7707-4371-B450-A51C3D0660C9}"/>
    <cellStyle name="Normal 4 2 4 2 2 5 3 3" xfId="22864" xr:uid="{2E161865-257C-4C7B-B3A9-6C94DF1755F2}"/>
    <cellStyle name="Normal 4 2 4 2 2 5 3 4" xfId="14423" xr:uid="{B8C1F117-6F87-429D-82DF-1AC602C397AF}"/>
    <cellStyle name="Normal 4 2 4 2 2 5 4" xfId="27087" xr:uid="{E72E0342-08DD-4F1A-981C-5789AB5DB9B3}"/>
    <cellStyle name="Normal 4 2 4 2 2 5 5" xfId="18646" xr:uid="{F66D78E2-4C03-4EC7-8AE1-6B9B31799BFA}"/>
    <cellStyle name="Normal 4 2 4 2 2 5 6" xfId="10205" xr:uid="{4887E77E-69AB-4F8D-BAC3-0EEA3B32304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2 2 2" xfId="33863" xr:uid="{A1339BAE-BC2A-45AD-AA63-0B0D313A02D3}"/>
    <cellStyle name="Normal 4 2 4 2 2 6 2 2 3" xfId="25422" xr:uid="{D2FD0D64-2119-4106-A320-023B4E7565D0}"/>
    <cellStyle name="Normal 4 2 4 2 2 6 2 2 4" xfId="16981" xr:uid="{BC6AF587-8512-42DC-81B2-1DAFFCA06429}"/>
    <cellStyle name="Normal 4 2 4 2 2 6 2 3" xfId="29645" xr:uid="{9FF54EC2-BCDC-4CBE-9FBE-DA732B53BDBC}"/>
    <cellStyle name="Normal 4 2 4 2 2 6 2 4" xfId="21204" xr:uid="{43CFE1A9-47A3-4B18-8A22-30779A710847}"/>
    <cellStyle name="Normal 4 2 4 2 2 6 2 5" xfId="12763" xr:uid="{70633304-4E14-4246-AFFD-F0396504044A}"/>
    <cellStyle name="Normal 4 2 4 2 2 6 3" xfId="6386" xr:uid="{00000000-0005-0000-0000-000052130000}"/>
    <cellStyle name="Normal 4 2 4 2 2 6 3 2" xfId="31718" xr:uid="{F6939B9E-BB0B-49CD-AE66-0B94F118949B}"/>
    <cellStyle name="Normal 4 2 4 2 2 6 3 3" xfId="23277" xr:uid="{A8FAFD2B-81F9-43EA-9602-B45F6E827140}"/>
    <cellStyle name="Normal 4 2 4 2 2 6 3 4" xfId="14836" xr:uid="{2A87FC21-93B1-4A47-9138-66870A69F1F2}"/>
    <cellStyle name="Normal 4 2 4 2 2 6 4" xfId="27500" xr:uid="{C1664D4B-537C-4D0C-86C3-1F4E4390DB3D}"/>
    <cellStyle name="Normal 4 2 4 2 2 6 5" xfId="19059" xr:uid="{64D6F27B-B922-4DFB-8C28-AAEAC2A40D31}"/>
    <cellStyle name="Normal 4 2 4 2 2 6 6" xfId="10618" xr:uid="{F01B56F8-0D17-4232-9100-70375D4BB7CD}"/>
    <cellStyle name="Normal 4 2 4 2 2 7" xfId="2516" xr:uid="{00000000-0005-0000-0000-000053130000}"/>
    <cellStyle name="Normal 4 2 4 2 2 7 2" xfId="6799" xr:uid="{00000000-0005-0000-0000-000054130000}"/>
    <cellStyle name="Normal 4 2 4 2 2 7 2 2" xfId="32131" xr:uid="{101744E4-0984-493A-8779-17859C6BA2F5}"/>
    <cellStyle name="Normal 4 2 4 2 2 7 2 3" xfId="23690" xr:uid="{4136E2A3-F2A7-4C64-BDDA-4ACD243F6A01}"/>
    <cellStyle name="Normal 4 2 4 2 2 7 2 4" xfId="15249" xr:uid="{E6A177A6-988C-42F4-A721-D300F20D57EA}"/>
    <cellStyle name="Normal 4 2 4 2 2 7 3" xfId="27913" xr:uid="{65D96057-38A7-4C5F-9EFC-8AD108D81282}"/>
    <cellStyle name="Normal 4 2 4 2 2 7 4" xfId="19472" xr:uid="{F634534E-1900-454A-833D-328AFD0FEDE3}"/>
    <cellStyle name="Normal 4 2 4 2 2 7 5" xfId="11031" xr:uid="{41EF221C-4CCE-4B57-9D66-66A81896A5F2}"/>
    <cellStyle name="Normal 4 2 4 2 2 8" xfId="4734" xr:uid="{00000000-0005-0000-0000-000055130000}"/>
    <cellStyle name="Normal 4 2 4 2 2 8 2" xfId="30066" xr:uid="{4E832552-3EB6-485A-AF5A-0B2C4F710CCC}"/>
    <cellStyle name="Normal 4 2 4 2 2 8 3" xfId="21625" xr:uid="{1DF604D5-9F1A-429E-8322-AE86509672F4}"/>
    <cellStyle name="Normal 4 2 4 2 2 8 4" xfId="13184" xr:uid="{C28C238F-5379-45DC-AEA8-9117FB1F617C}"/>
    <cellStyle name="Normal 4 2 4 2 2 9" xfId="25848" xr:uid="{16A32354-820D-4756-8C8A-EE220FCD6A8C}"/>
    <cellStyle name="Normal 4 2 4 2 3" xfId="359" xr:uid="{00000000-0005-0000-0000-000056130000}"/>
    <cellStyle name="Normal 4 2 4 2 3 10" xfId="8968" xr:uid="{D602D1CA-F89A-4585-BC0A-FE0D58DAD8BA}"/>
    <cellStyle name="Normal 4 2 4 2 3 2" xfId="835" xr:uid="{00000000-0005-0000-0000-000057130000}"/>
    <cellStyle name="Normal 4 2 4 2 3 2 2" xfId="3072" xr:uid="{00000000-0005-0000-0000-000058130000}"/>
    <cellStyle name="Normal 4 2 4 2 3 2 2 2" xfId="7294" xr:uid="{00000000-0005-0000-0000-000059130000}"/>
    <cellStyle name="Normal 4 2 4 2 3 2 2 2 2" xfId="32626" xr:uid="{DACBAC83-6D93-4ADE-B59B-330671996FF1}"/>
    <cellStyle name="Normal 4 2 4 2 3 2 2 2 3" xfId="24185" xr:uid="{B8FC39BA-D7D9-4284-89D7-EC1238325002}"/>
    <cellStyle name="Normal 4 2 4 2 3 2 2 2 4" xfId="15744" xr:uid="{0CE9500C-32DC-452C-81D5-F72D7221CEED}"/>
    <cellStyle name="Normal 4 2 4 2 3 2 2 3" xfId="28408" xr:uid="{959B718C-8496-4F4F-9474-BFD0FADF6419}"/>
    <cellStyle name="Normal 4 2 4 2 3 2 2 4" xfId="19967" xr:uid="{54EB3E43-9043-4BC8-A2EF-87DFF8C5DAA1}"/>
    <cellStyle name="Normal 4 2 4 2 3 2 2 5" xfId="11526" xr:uid="{2C96173C-C742-4625-93A1-4AD70540D1A7}"/>
    <cellStyle name="Normal 4 2 4 2 3 2 3" xfId="5149" xr:uid="{00000000-0005-0000-0000-00005A130000}"/>
    <cellStyle name="Normal 4 2 4 2 3 2 3 2" xfId="30481" xr:uid="{C7AEA1F1-1B4F-4D4E-95B3-BAEE7B213056}"/>
    <cellStyle name="Normal 4 2 4 2 3 2 3 3" xfId="22040" xr:uid="{9BE0BAFA-E101-4EA0-82FC-635CECB4D616}"/>
    <cellStyle name="Normal 4 2 4 2 3 2 3 4" xfId="13599" xr:uid="{EBA2F75F-82D6-4255-9FD0-FB7D4D760CA4}"/>
    <cellStyle name="Normal 4 2 4 2 3 2 4" xfId="26263" xr:uid="{B355C608-3D12-41F8-82C6-9C7D190C241A}"/>
    <cellStyle name="Normal 4 2 4 2 3 2 5" xfId="17822" xr:uid="{0A86A754-B516-4765-82D1-32D87CE8C4B5}"/>
    <cellStyle name="Normal 4 2 4 2 3 2 6" xfId="9381" xr:uid="{AF696B65-1D37-41E2-9C59-C63BED656ABE}"/>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2 2 2" xfId="33039" xr:uid="{E5A2EE7F-FB1D-42AF-AD47-520C10E7A894}"/>
    <cellStyle name="Normal 4 2 4 2 3 3 2 2 3" xfId="24598" xr:uid="{7CE74E12-792C-48B5-B02F-1F900AFAC1C6}"/>
    <cellStyle name="Normal 4 2 4 2 3 3 2 2 4" xfId="16157" xr:uid="{6D1CA685-0AAD-435E-B1B2-DD6CD0C88595}"/>
    <cellStyle name="Normal 4 2 4 2 3 3 2 3" xfId="28821" xr:uid="{C39A93A7-F166-4D25-8D71-C56CB850A6FB}"/>
    <cellStyle name="Normal 4 2 4 2 3 3 2 4" xfId="20380" xr:uid="{32F1D73A-D7C5-438E-8131-25850BFA6FE5}"/>
    <cellStyle name="Normal 4 2 4 2 3 3 2 5" xfId="11939" xr:uid="{47FF413B-35D5-4EEF-B3B2-AFC3739981A7}"/>
    <cellStyle name="Normal 4 2 4 2 3 3 3" xfId="5562" xr:uid="{00000000-0005-0000-0000-00005E130000}"/>
    <cellStyle name="Normal 4 2 4 2 3 3 3 2" xfId="30894" xr:uid="{9DD5DA8E-AF2A-4DCB-8F0C-E071F0759B98}"/>
    <cellStyle name="Normal 4 2 4 2 3 3 3 3" xfId="22453" xr:uid="{CEEC473C-7BFB-4EA6-A5E5-B7FBF4D34C51}"/>
    <cellStyle name="Normal 4 2 4 2 3 3 3 4" xfId="14012" xr:uid="{EAD3C2D4-1D0F-4236-BA24-C8CA0980CF73}"/>
    <cellStyle name="Normal 4 2 4 2 3 3 4" xfId="26676" xr:uid="{AA7CD9DE-F086-4D95-8B28-D83CE760DC06}"/>
    <cellStyle name="Normal 4 2 4 2 3 3 5" xfId="18235" xr:uid="{F5C2AFEB-224D-4EC2-988F-6872E37FCF98}"/>
    <cellStyle name="Normal 4 2 4 2 3 3 6" xfId="9794" xr:uid="{CE335875-9908-478C-A5B4-8F11E2A3F31C}"/>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2 2 2" xfId="33452" xr:uid="{56170AD8-FEC8-42ED-9C88-4C2A607B27DB}"/>
    <cellStyle name="Normal 4 2 4 2 3 4 2 2 3" xfId="25011" xr:uid="{68C52007-E029-45CE-9C40-B875E6231F74}"/>
    <cellStyle name="Normal 4 2 4 2 3 4 2 2 4" xfId="16570" xr:uid="{B6BDA181-51C0-478E-8F8D-A68EA635131C}"/>
    <cellStyle name="Normal 4 2 4 2 3 4 2 3" xfId="29234" xr:uid="{966A4AD3-8678-4755-AFF7-8C6F23248C99}"/>
    <cellStyle name="Normal 4 2 4 2 3 4 2 4" xfId="20793" xr:uid="{A958A052-E9D0-4DE9-85A2-E8B74E5F5428}"/>
    <cellStyle name="Normal 4 2 4 2 3 4 2 5" xfId="12352" xr:uid="{0DCC24E4-2EC7-4A66-BBEC-5BF4D7DA2735}"/>
    <cellStyle name="Normal 4 2 4 2 3 4 3" xfId="5975" xr:uid="{00000000-0005-0000-0000-000062130000}"/>
    <cellStyle name="Normal 4 2 4 2 3 4 3 2" xfId="31307" xr:uid="{CDA1D8AF-15E5-4655-BE11-508B138FF944}"/>
    <cellStyle name="Normal 4 2 4 2 3 4 3 3" xfId="22866" xr:uid="{5432DE2C-D115-48F8-9741-9D6D326E7C5C}"/>
    <cellStyle name="Normal 4 2 4 2 3 4 3 4" xfId="14425" xr:uid="{2908675C-135D-46EE-9401-753EE252C885}"/>
    <cellStyle name="Normal 4 2 4 2 3 4 4" xfId="27089" xr:uid="{8DDA3D24-9693-4B7D-A34F-43720FC35C53}"/>
    <cellStyle name="Normal 4 2 4 2 3 4 5" xfId="18648" xr:uid="{3B0027D6-CB4C-4C80-AF81-A2F9E5E882A2}"/>
    <cellStyle name="Normal 4 2 4 2 3 4 6" xfId="10207" xr:uid="{580382A0-713D-4342-A732-DBAC07572B65}"/>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2 2 2" xfId="33865" xr:uid="{74B78731-F5B5-4F06-BF8F-9AEE9201D9D3}"/>
    <cellStyle name="Normal 4 2 4 2 3 5 2 2 3" xfId="25424" xr:uid="{55A425EB-24DD-4BD5-9DAA-3092215B6D8F}"/>
    <cellStyle name="Normal 4 2 4 2 3 5 2 2 4" xfId="16983" xr:uid="{88CE2BC2-7701-49AC-BD0F-041E4CBA391B}"/>
    <cellStyle name="Normal 4 2 4 2 3 5 2 3" xfId="29647" xr:uid="{4E82E895-D071-49B9-85C4-CED3F973035F}"/>
    <cellStyle name="Normal 4 2 4 2 3 5 2 4" xfId="21206" xr:uid="{AE8E7E15-C6A4-4B81-A17E-378F303ECB2B}"/>
    <cellStyle name="Normal 4 2 4 2 3 5 2 5" xfId="12765" xr:uid="{6AE4F4C4-96A0-4D92-914B-A66CBBB6E4EE}"/>
    <cellStyle name="Normal 4 2 4 2 3 5 3" xfId="6388" xr:uid="{00000000-0005-0000-0000-000066130000}"/>
    <cellStyle name="Normal 4 2 4 2 3 5 3 2" xfId="31720" xr:uid="{7A76394E-399F-4AF9-82F9-ABEC43AB6707}"/>
    <cellStyle name="Normal 4 2 4 2 3 5 3 3" xfId="23279" xr:uid="{44768B31-1C00-489E-A58A-A57A52A5741F}"/>
    <cellStyle name="Normal 4 2 4 2 3 5 3 4" xfId="14838" xr:uid="{0BF9F453-EB52-429E-A319-96C2B693EDBB}"/>
    <cellStyle name="Normal 4 2 4 2 3 5 4" xfId="27502" xr:uid="{50DD719E-E566-4A5A-9365-9F99DF44B3CC}"/>
    <cellStyle name="Normal 4 2 4 2 3 5 5" xfId="19061" xr:uid="{6CAA72DB-57A3-437C-88EA-691A845DBA30}"/>
    <cellStyle name="Normal 4 2 4 2 3 5 6" xfId="10620" xr:uid="{7CAC3100-57D1-401A-A080-52B59AEEE936}"/>
    <cellStyle name="Normal 4 2 4 2 3 6" xfId="2518" xr:uid="{00000000-0005-0000-0000-000067130000}"/>
    <cellStyle name="Normal 4 2 4 2 3 6 2" xfId="6801" xr:uid="{00000000-0005-0000-0000-000068130000}"/>
    <cellStyle name="Normal 4 2 4 2 3 6 2 2" xfId="32133" xr:uid="{B2AE1CAB-8A17-4431-BC5F-C6D7295A4403}"/>
    <cellStyle name="Normal 4 2 4 2 3 6 2 3" xfId="23692" xr:uid="{887611C6-DE30-4201-A76A-2AF52F31E573}"/>
    <cellStyle name="Normal 4 2 4 2 3 6 2 4" xfId="15251" xr:uid="{D6E76BFB-15A1-4C28-96A5-387D5F7F8621}"/>
    <cellStyle name="Normal 4 2 4 2 3 6 3" xfId="27915" xr:uid="{A644D480-AC94-4BF8-89F2-68478F913FF2}"/>
    <cellStyle name="Normal 4 2 4 2 3 6 4" xfId="19474" xr:uid="{7FA341B0-BADE-424D-9B4C-532AE9C8D343}"/>
    <cellStyle name="Normal 4 2 4 2 3 6 5" xfId="11033" xr:uid="{1FC9446F-61FF-4216-B8EB-7F61E960213A}"/>
    <cellStyle name="Normal 4 2 4 2 3 7" xfId="4736" xr:uid="{00000000-0005-0000-0000-000069130000}"/>
    <cellStyle name="Normal 4 2 4 2 3 7 2" xfId="30068" xr:uid="{E3C3305F-9D10-49AA-93F8-8FD726B1DD72}"/>
    <cellStyle name="Normal 4 2 4 2 3 7 3" xfId="21627" xr:uid="{B553F130-16EC-4DDC-A5F2-F8F1FBC05B1A}"/>
    <cellStyle name="Normal 4 2 4 2 3 7 4" xfId="13186" xr:uid="{4E2A093C-F42D-4AB2-BBC3-9A61B86746DF}"/>
    <cellStyle name="Normal 4 2 4 2 3 8" xfId="25850" xr:uid="{2F024E22-5039-48DF-904B-985244FFBFB5}"/>
    <cellStyle name="Normal 4 2 4 2 3 9" xfId="17409" xr:uid="{98159D83-B171-4FDF-94B1-4925B42209B7}"/>
    <cellStyle name="Normal 4 2 4 2 4" xfId="832" xr:uid="{00000000-0005-0000-0000-00006A130000}"/>
    <cellStyle name="Normal 4 2 4 2 4 2" xfId="3069" xr:uid="{00000000-0005-0000-0000-00006B130000}"/>
    <cellStyle name="Normal 4 2 4 2 4 2 2" xfId="7291" xr:uid="{00000000-0005-0000-0000-00006C130000}"/>
    <cellStyle name="Normal 4 2 4 2 4 2 2 2" xfId="32623" xr:uid="{5C5B88E8-DF82-4E27-B285-529BEF4A39D4}"/>
    <cellStyle name="Normal 4 2 4 2 4 2 2 3" xfId="24182" xr:uid="{A43FADE1-DD1E-44C8-93B9-6BD3FA638E0C}"/>
    <cellStyle name="Normal 4 2 4 2 4 2 2 4" xfId="15741" xr:uid="{383BDC57-0EA3-42E8-B654-4430ED0E592D}"/>
    <cellStyle name="Normal 4 2 4 2 4 2 3" xfId="28405" xr:uid="{FE6DBE1B-1805-4B09-A701-57F4889D8D29}"/>
    <cellStyle name="Normal 4 2 4 2 4 2 4" xfId="19964" xr:uid="{BFB08A2C-B9C6-48FC-84B5-98A1D6726241}"/>
    <cellStyle name="Normal 4 2 4 2 4 2 5" xfId="11523" xr:uid="{73CC7BD5-5B65-4BBE-A8F1-DB866FAFC2B2}"/>
    <cellStyle name="Normal 4 2 4 2 4 3" xfId="5146" xr:uid="{00000000-0005-0000-0000-00006D130000}"/>
    <cellStyle name="Normal 4 2 4 2 4 3 2" xfId="30478" xr:uid="{BAA6505D-6930-4765-896B-80E521FED75D}"/>
    <cellStyle name="Normal 4 2 4 2 4 3 3" xfId="22037" xr:uid="{9771F085-910A-4B69-B432-08A9B0251031}"/>
    <cellStyle name="Normal 4 2 4 2 4 3 4" xfId="13596" xr:uid="{5E6D68AF-3164-48AA-9B14-805034AC97C4}"/>
    <cellStyle name="Normal 4 2 4 2 4 4" xfId="26260" xr:uid="{238C35B0-14BE-4987-A9E0-2E0390FB1D8B}"/>
    <cellStyle name="Normal 4 2 4 2 4 5" xfId="17819" xr:uid="{2136D7CA-7E4A-4CDD-8DAD-A7546498CAF3}"/>
    <cellStyle name="Normal 4 2 4 2 4 6" xfId="9378" xr:uid="{CCB78913-D4A3-4EB2-BF2A-F48259C135E4}"/>
    <cellStyle name="Normal 4 2 4 2 5" xfId="1252" xr:uid="{00000000-0005-0000-0000-00006E130000}"/>
    <cellStyle name="Normal 4 2 4 2 5 2" xfId="3482" xr:uid="{00000000-0005-0000-0000-00006F130000}"/>
    <cellStyle name="Normal 4 2 4 2 5 2 2" xfId="7704" xr:uid="{00000000-0005-0000-0000-000070130000}"/>
    <cellStyle name="Normal 4 2 4 2 5 2 2 2" xfId="33036" xr:uid="{423FCFF8-3E4B-4433-9E98-31DF9FFE6FAF}"/>
    <cellStyle name="Normal 4 2 4 2 5 2 2 3" xfId="24595" xr:uid="{65F9B58E-CD60-4B8F-8938-404534FEC678}"/>
    <cellStyle name="Normal 4 2 4 2 5 2 2 4" xfId="16154" xr:uid="{F0069476-2F7C-40E3-8CD5-5648EEB0E5C5}"/>
    <cellStyle name="Normal 4 2 4 2 5 2 3" xfId="28818" xr:uid="{A9ADF846-EC27-4BEC-8E40-4CE6AC7B51B0}"/>
    <cellStyle name="Normal 4 2 4 2 5 2 4" xfId="20377" xr:uid="{942F1C4B-EEEF-4B65-A1E1-CF8F24AD57EA}"/>
    <cellStyle name="Normal 4 2 4 2 5 2 5" xfId="11936" xr:uid="{5E566776-35D3-4A23-9CF9-A630FD70D569}"/>
    <cellStyle name="Normal 4 2 4 2 5 3" xfId="5559" xr:uid="{00000000-0005-0000-0000-000071130000}"/>
    <cellStyle name="Normal 4 2 4 2 5 3 2" xfId="30891" xr:uid="{5933E083-3478-4B53-B65E-48A7DFA79107}"/>
    <cellStyle name="Normal 4 2 4 2 5 3 3" xfId="22450" xr:uid="{A7ED5C71-DB11-4F5F-A613-1AA2D9793187}"/>
    <cellStyle name="Normal 4 2 4 2 5 3 4" xfId="14009" xr:uid="{38DC7671-0748-480A-BE43-594BE3EC5150}"/>
    <cellStyle name="Normal 4 2 4 2 5 4" xfId="26673" xr:uid="{0E38A9F0-5321-43D2-8CB0-2B7C083682D2}"/>
    <cellStyle name="Normal 4 2 4 2 5 5" xfId="18232" xr:uid="{48ED7AE9-1D43-4668-B640-5F4DAD2A23F2}"/>
    <cellStyle name="Normal 4 2 4 2 5 6" xfId="9791" xr:uid="{9C967935-751A-43DE-AE58-B89FA4C391A6}"/>
    <cellStyle name="Normal 4 2 4 2 6" xfId="1665" xr:uid="{00000000-0005-0000-0000-000072130000}"/>
    <cellStyle name="Normal 4 2 4 2 6 2" xfId="3895" xr:uid="{00000000-0005-0000-0000-000073130000}"/>
    <cellStyle name="Normal 4 2 4 2 6 2 2" xfId="8117" xr:uid="{00000000-0005-0000-0000-000074130000}"/>
    <cellStyle name="Normal 4 2 4 2 6 2 2 2" xfId="33449" xr:uid="{4A2B372F-8F05-4CBB-8B3A-E654ED600BC9}"/>
    <cellStyle name="Normal 4 2 4 2 6 2 2 3" xfId="25008" xr:uid="{BAC52619-CD3D-445C-B593-BA8903E5F9DE}"/>
    <cellStyle name="Normal 4 2 4 2 6 2 2 4" xfId="16567" xr:uid="{AB45A508-B13C-4FE5-B94A-3C7115DE69AB}"/>
    <cellStyle name="Normal 4 2 4 2 6 2 3" xfId="29231" xr:uid="{39B260C9-1B46-447D-A0CD-1F90A3DAACF2}"/>
    <cellStyle name="Normal 4 2 4 2 6 2 4" xfId="20790" xr:uid="{FCFB746F-505F-403A-BF76-97BC60A9D08A}"/>
    <cellStyle name="Normal 4 2 4 2 6 2 5" xfId="12349" xr:uid="{FB320C1A-779C-447A-BA92-8C56799AD984}"/>
    <cellStyle name="Normal 4 2 4 2 6 3" xfId="5972" xr:uid="{00000000-0005-0000-0000-000075130000}"/>
    <cellStyle name="Normal 4 2 4 2 6 3 2" xfId="31304" xr:uid="{FE8E8400-1300-4BBE-B7EA-6EBEE5F0B14F}"/>
    <cellStyle name="Normal 4 2 4 2 6 3 3" xfId="22863" xr:uid="{23CFC757-D472-49E9-874B-1F94DCE0687C}"/>
    <cellStyle name="Normal 4 2 4 2 6 3 4" xfId="14422" xr:uid="{EC9EA4BE-0161-46F5-AC5E-7AE59C8B9228}"/>
    <cellStyle name="Normal 4 2 4 2 6 4" xfId="27086" xr:uid="{E84F0996-533D-4BBA-AFF8-283337E3FAF8}"/>
    <cellStyle name="Normal 4 2 4 2 6 5" xfId="18645" xr:uid="{1E457327-B334-4687-8A67-062B90830A6A}"/>
    <cellStyle name="Normal 4 2 4 2 6 6" xfId="10204" xr:uid="{3406F63D-BDCF-4BCB-868B-080984C7F491}"/>
    <cellStyle name="Normal 4 2 4 2 7" xfId="2079" xr:uid="{00000000-0005-0000-0000-000076130000}"/>
    <cellStyle name="Normal 4 2 4 2 7 2" xfId="4308" xr:uid="{00000000-0005-0000-0000-000077130000}"/>
    <cellStyle name="Normal 4 2 4 2 7 2 2" xfId="8530" xr:uid="{00000000-0005-0000-0000-000078130000}"/>
    <cellStyle name="Normal 4 2 4 2 7 2 2 2" xfId="33862" xr:uid="{19C9BFA5-9EEA-42C6-9730-F8A2DCE8C3F4}"/>
    <cellStyle name="Normal 4 2 4 2 7 2 2 3" xfId="25421" xr:uid="{A0EECB91-2048-4074-9CDA-167C960C7160}"/>
    <cellStyle name="Normal 4 2 4 2 7 2 2 4" xfId="16980" xr:uid="{51C3DBF6-DBBB-43A9-8DDD-ABE6B7F81AD0}"/>
    <cellStyle name="Normal 4 2 4 2 7 2 3" xfId="29644" xr:uid="{F68DAD57-7DDA-49AB-A278-B5612687BA98}"/>
    <cellStyle name="Normal 4 2 4 2 7 2 4" xfId="21203" xr:uid="{2FA43ECF-AE1A-4C30-A459-1026113955E8}"/>
    <cellStyle name="Normal 4 2 4 2 7 2 5" xfId="12762" xr:uid="{39A6C61C-47BB-4BF5-BD5E-52DEFA6B4E3D}"/>
    <cellStyle name="Normal 4 2 4 2 7 3" xfId="6385" xr:uid="{00000000-0005-0000-0000-000079130000}"/>
    <cellStyle name="Normal 4 2 4 2 7 3 2" xfId="31717" xr:uid="{3CEF63DD-046A-4AC6-AFA0-1F6BA8E52A8D}"/>
    <cellStyle name="Normal 4 2 4 2 7 3 3" xfId="23276" xr:uid="{E4698849-7D09-46C9-B664-05771BCC2E86}"/>
    <cellStyle name="Normal 4 2 4 2 7 3 4" xfId="14835" xr:uid="{E28D655A-B005-4BDB-BE16-D743E4C20FC4}"/>
    <cellStyle name="Normal 4 2 4 2 7 4" xfId="27499" xr:uid="{ACA03695-01EC-4971-ABB9-76095CA6E000}"/>
    <cellStyle name="Normal 4 2 4 2 7 5" xfId="19058" xr:uid="{29FF957F-6018-42FF-849F-E695637E31DB}"/>
    <cellStyle name="Normal 4 2 4 2 7 6" xfId="10617" xr:uid="{DF20229B-AAAA-4B08-8D41-FA4769F57F52}"/>
    <cellStyle name="Normal 4 2 4 2 8" xfId="2515" xr:uid="{00000000-0005-0000-0000-00007A130000}"/>
    <cellStyle name="Normal 4 2 4 2 8 2" xfId="6798" xr:uid="{00000000-0005-0000-0000-00007B130000}"/>
    <cellStyle name="Normal 4 2 4 2 8 2 2" xfId="32130" xr:uid="{9D156F12-F9BD-4561-BE50-AE7013669678}"/>
    <cellStyle name="Normal 4 2 4 2 8 2 3" xfId="23689" xr:uid="{3ACAC314-E4B1-45C8-BF9E-C98B31108535}"/>
    <cellStyle name="Normal 4 2 4 2 8 2 4" xfId="15248" xr:uid="{C18534C5-91BF-4D85-92EC-F2FCFA0004DA}"/>
    <cellStyle name="Normal 4 2 4 2 8 3" xfId="27912" xr:uid="{0CE92042-D0B2-4D52-B6B2-C3A0937CE2DF}"/>
    <cellStyle name="Normal 4 2 4 2 8 4" xfId="19471" xr:uid="{6021E27C-773A-4C5B-892D-91D1144AF61D}"/>
    <cellStyle name="Normal 4 2 4 2 8 5" xfId="11030" xr:uid="{DFD17BEE-D35B-41C8-BE36-31426B09C020}"/>
    <cellStyle name="Normal 4 2 4 2 9" xfId="4733" xr:uid="{00000000-0005-0000-0000-00007C130000}"/>
    <cellStyle name="Normal 4 2 4 2 9 2" xfId="30065" xr:uid="{5D741621-C5BF-43FF-81F5-A692966EA4E4}"/>
    <cellStyle name="Normal 4 2 4 2 9 3" xfId="21624" xr:uid="{3DC32081-C75D-4B4C-A6EB-71C016A25EFF}"/>
    <cellStyle name="Normal 4 2 4 2 9 4" xfId="13183" xr:uid="{FDB6719F-B126-4532-9E13-04E9F9265250}"/>
    <cellStyle name="Normal 4 2 4 3" xfId="360" xr:uid="{00000000-0005-0000-0000-00007D130000}"/>
    <cellStyle name="Normal 4 2 4 3 10" xfId="17410" xr:uid="{3BFA89E3-9F89-4416-B0BF-9B279A3EEBAF}"/>
    <cellStyle name="Normal 4 2 4 3 11" xfId="8969" xr:uid="{3299B2BC-BF9A-4F8D-8834-4C452AC38F4C}"/>
    <cellStyle name="Normal 4 2 4 3 2" xfId="361" xr:uid="{00000000-0005-0000-0000-00007E130000}"/>
    <cellStyle name="Normal 4 2 4 3 2 10" xfId="8970" xr:uid="{DA83CD51-081C-4BAE-B050-67169129B7F7}"/>
    <cellStyle name="Normal 4 2 4 3 2 2" xfId="837" xr:uid="{00000000-0005-0000-0000-00007F130000}"/>
    <cellStyle name="Normal 4 2 4 3 2 2 2" xfId="3074" xr:uid="{00000000-0005-0000-0000-000080130000}"/>
    <cellStyle name="Normal 4 2 4 3 2 2 2 2" xfId="7296" xr:uid="{00000000-0005-0000-0000-000081130000}"/>
    <cellStyle name="Normal 4 2 4 3 2 2 2 2 2" xfId="32628" xr:uid="{EF0AB4C6-4059-40E6-81B5-3C0490B75114}"/>
    <cellStyle name="Normal 4 2 4 3 2 2 2 2 3" xfId="24187" xr:uid="{95DAFCD6-5DFE-4997-A468-1F3BAD1928B1}"/>
    <cellStyle name="Normal 4 2 4 3 2 2 2 2 4" xfId="15746" xr:uid="{95318C66-460D-4A5C-868F-00E70202489F}"/>
    <cellStyle name="Normal 4 2 4 3 2 2 2 3" xfId="28410" xr:uid="{7E785888-E4B3-4EFB-9BAB-CC7BB9B57B3C}"/>
    <cellStyle name="Normal 4 2 4 3 2 2 2 4" xfId="19969" xr:uid="{F90160AE-3637-4311-B714-58BC6EE7189B}"/>
    <cellStyle name="Normal 4 2 4 3 2 2 2 5" xfId="11528" xr:uid="{4DC0A625-9CE9-43C1-9B93-8D8F81A10F75}"/>
    <cellStyle name="Normal 4 2 4 3 2 2 3" xfId="5151" xr:uid="{00000000-0005-0000-0000-000082130000}"/>
    <cellStyle name="Normal 4 2 4 3 2 2 3 2" xfId="30483" xr:uid="{EEC7D86F-9CDC-4415-A276-747A3507AA75}"/>
    <cellStyle name="Normal 4 2 4 3 2 2 3 3" xfId="22042" xr:uid="{85B88461-AF00-4FF3-BCE8-4483DA03AEC3}"/>
    <cellStyle name="Normal 4 2 4 3 2 2 3 4" xfId="13601" xr:uid="{B42559B9-68B5-4F59-9A9F-12853018D57F}"/>
    <cellStyle name="Normal 4 2 4 3 2 2 4" xfId="26265" xr:uid="{265AA3C5-9280-4C01-80FE-9A61CCB49DC9}"/>
    <cellStyle name="Normal 4 2 4 3 2 2 5" xfId="17824" xr:uid="{8175108B-9F46-496D-9977-BEF36696CEB9}"/>
    <cellStyle name="Normal 4 2 4 3 2 2 6" xfId="9383" xr:uid="{437CF4B8-7687-4F4D-943B-72590A93CA8E}"/>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2 2 2" xfId="33041" xr:uid="{81FD2881-68A5-40DD-B294-0BB47E407291}"/>
    <cellStyle name="Normal 4 2 4 3 2 3 2 2 3" xfId="24600" xr:uid="{26A0D58C-EAAC-4C65-AA82-AF8320E3E8E5}"/>
    <cellStyle name="Normal 4 2 4 3 2 3 2 2 4" xfId="16159" xr:uid="{EC7C39B3-9923-4F06-8522-1CB0CB22A5DF}"/>
    <cellStyle name="Normal 4 2 4 3 2 3 2 3" xfId="28823" xr:uid="{0642C8BB-7D6D-451A-AA4B-345ED2661BDB}"/>
    <cellStyle name="Normal 4 2 4 3 2 3 2 4" xfId="20382" xr:uid="{C7C420C1-B6F2-4E3D-8D50-8576EDA23F7C}"/>
    <cellStyle name="Normal 4 2 4 3 2 3 2 5" xfId="11941" xr:uid="{4EDF68C7-1DA1-4BCB-9A92-FD329284BE98}"/>
    <cellStyle name="Normal 4 2 4 3 2 3 3" xfId="5564" xr:uid="{00000000-0005-0000-0000-000086130000}"/>
    <cellStyle name="Normal 4 2 4 3 2 3 3 2" xfId="30896" xr:uid="{1782E3B5-5720-47AC-99FD-47007D852FD2}"/>
    <cellStyle name="Normal 4 2 4 3 2 3 3 3" xfId="22455" xr:uid="{B821A2AC-67C2-40BA-9379-113453DE461E}"/>
    <cellStyle name="Normal 4 2 4 3 2 3 3 4" xfId="14014" xr:uid="{3CA4D6D7-1AA6-4B3E-97F2-CC7963D9E664}"/>
    <cellStyle name="Normal 4 2 4 3 2 3 4" xfId="26678" xr:uid="{9EF04F64-096E-42AC-918F-40405CD29F3F}"/>
    <cellStyle name="Normal 4 2 4 3 2 3 5" xfId="18237" xr:uid="{A9C2DA7E-413A-44D3-A297-6E89F3A3ADF4}"/>
    <cellStyle name="Normal 4 2 4 3 2 3 6" xfId="9796" xr:uid="{DED53C27-70AE-42D6-BFA3-41AEFF1B9CB9}"/>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2 2 2" xfId="33454" xr:uid="{ACAD678F-CFDD-4EA9-A215-F7EFFBD729F9}"/>
    <cellStyle name="Normal 4 2 4 3 2 4 2 2 3" xfId="25013" xr:uid="{BDF5A589-6876-4334-AE54-8252A6535A1E}"/>
    <cellStyle name="Normal 4 2 4 3 2 4 2 2 4" xfId="16572" xr:uid="{80D740A0-94EA-404E-A459-339376E021AD}"/>
    <cellStyle name="Normal 4 2 4 3 2 4 2 3" xfId="29236" xr:uid="{9E974663-5621-434B-840C-49DF851895BB}"/>
    <cellStyle name="Normal 4 2 4 3 2 4 2 4" xfId="20795" xr:uid="{A345CDFE-63B5-497A-A198-11C5B3A286AE}"/>
    <cellStyle name="Normal 4 2 4 3 2 4 2 5" xfId="12354" xr:uid="{8DDAD5E2-9506-43AA-A985-89FE2A16D274}"/>
    <cellStyle name="Normal 4 2 4 3 2 4 3" xfId="5977" xr:uid="{00000000-0005-0000-0000-00008A130000}"/>
    <cellStyle name="Normal 4 2 4 3 2 4 3 2" xfId="31309" xr:uid="{6BAEFE9D-5A32-41F5-930A-F43A892A09A8}"/>
    <cellStyle name="Normal 4 2 4 3 2 4 3 3" xfId="22868" xr:uid="{2300CCF7-0B1E-4481-8EB0-B172861C8AC8}"/>
    <cellStyle name="Normal 4 2 4 3 2 4 3 4" xfId="14427" xr:uid="{CBF54780-E329-4971-8116-E56F7D41B64D}"/>
    <cellStyle name="Normal 4 2 4 3 2 4 4" xfId="27091" xr:uid="{28BBB317-B720-4C36-81B8-32959CB9EABF}"/>
    <cellStyle name="Normal 4 2 4 3 2 4 5" xfId="18650" xr:uid="{1B1577E1-9BA1-4251-B2DE-3443F8B9CAE9}"/>
    <cellStyle name="Normal 4 2 4 3 2 4 6" xfId="10209" xr:uid="{2EC844AA-BD51-42AE-9FD6-0A507466941F}"/>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2 2 2" xfId="33867" xr:uid="{0AEE3065-3D54-4539-ACE8-3A73C26EBB16}"/>
    <cellStyle name="Normal 4 2 4 3 2 5 2 2 3" xfId="25426" xr:uid="{82BA61EF-AE3F-4701-B69E-3D2853B80311}"/>
    <cellStyle name="Normal 4 2 4 3 2 5 2 2 4" xfId="16985" xr:uid="{FBB4CC6A-B5FA-4098-BC4C-91E0A67F3A77}"/>
    <cellStyle name="Normal 4 2 4 3 2 5 2 3" xfId="29649" xr:uid="{30FEC26F-FDA5-48E0-BC78-EC10084F7A96}"/>
    <cellStyle name="Normal 4 2 4 3 2 5 2 4" xfId="21208" xr:uid="{DE692F0C-A692-424F-869B-209CB6EDAA2F}"/>
    <cellStyle name="Normal 4 2 4 3 2 5 2 5" xfId="12767" xr:uid="{E46E3B2B-A6E0-4609-8E82-09B77391D2A8}"/>
    <cellStyle name="Normal 4 2 4 3 2 5 3" xfId="6390" xr:uid="{00000000-0005-0000-0000-00008E130000}"/>
    <cellStyle name="Normal 4 2 4 3 2 5 3 2" xfId="31722" xr:uid="{0551319C-0EC6-4DB9-8FFE-6BF9F49D0116}"/>
    <cellStyle name="Normal 4 2 4 3 2 5 3 3" xfId="23281" xr:uid="{B5CFB100-A76F-4A31-8BBF-188A70C49886}"/>
    <cellStyle name="Normal 4 2 4 3 2 5 3 4" xfId="14840" xr:uid="{6671677F-611A-41BA-8F22-8A7299637892}"/>
    <cellStyle name="Normal 4 2 4 3 2 5 4" xfId="27504" xr:uid="{E6032A98-C3D6-4EBB-99BE-CB59D47EB57D}"/>
    <cellStyle name="Normal 4 2 4 3 2 5 5" xfId="19063" xr:uid="{39F8AEA3-60B0-49D9-ABFF-19E12D54E13B}"/>
    <cellStyle name="Normal 4 2 4 3 2 5 6" xfId="10622" xr:uid="{65ABA676-BA20-485D-B1C6-33A27568E224}"/>
    <cellStyle name="Normal 4 2 4 3 2 6" xfId="2520" xr:uid="{00000000-0005-0000-0000-00008F130000}"/>
    <cellStyle name="Normal 4 2 4 3 2 6 2" xfId="6803" xr:uid="{00000000-0005-0000-0000-000090130000}"/>
    <cellStyle name="Normal 4 2 4 3 2 6 2 2" xfId="32135" xr:uid="{EBB3511F-6A69-4923-9073-E2A49386E38A}"/>
    <cellStyle name="Normal 4 2 4 3 2 6 2 3" xfId="23694" xr:uid="{F04EDFCA-D922-4E90-B8CE-751F14CEB543}"/>
    <cellStyle name="Normal 4 2 4 3 2 6 2 4" xfId="15253" xr:uid="{785BA84F-4B7D-4316-832B-6BBBE1CAFACA}"/>
    <cellStyle name="Normal 4 2 4 3 2 6 3" xfId="27917" xr:uid="{A68C1539-F344-4753-A1BA-51365031D426}"/>
    <cellStyle name="Normal 4 2 4 3 2 6 4" xfId="19476" xr:uid="{5886E01E-519B-45E9-B3AF-F856BB31BC61}"/>
    <cellStyle name="Normal 4 2 4 3 2 6 5" xfId="11035" xr:uid="{DB886631-91C2-4A8C-9F8B-AE98B1B8009F}"/>
    <cellStyle name="Normal 4 2 4 3 2 7" xfId="4738" xr:uid="{00000000-0005-0000-0000-000091130000}"/>
    <cellStyle name="Normal 4 2 4 3 2 7 2" xfId="30070" xr:uid="{1B7C11C1-C690-4A72-8B4B-F49BDA2C22BB}"/>
    <cellStyle name="Normal 4 2 4 3 2 7 3" xfId="21629" xr:uid="{E21EBF36-8C22-4A6F-834D-5B5D18DD0313}"/>
    <cellStyle name="Normal 4 2 4 3 2 7 4" xfId="13188" xr:uid="{8DC47188-9AAA-4694-9FAC-F78CD12CDEC7}"/>
    <cellStyle name="Normal 4 2 4 3 2 8" xfId="25852" xr:uid="{9894E89E-144E-49B7-A022-E6F740546347}"/>
    <cellStyle name="Normal 4 2 4 3 2 9" xfId="17411" xr:uid="{BAC9A4DD-9508-41BF-A984-107E111C6133}"/>
    <cellStyle name="Normal 4 2 4 3 3" xfId="836" xr:uid="{00000000-0005-0000-0000-000092130000}"/>
    <cellStyle name="Normal 4 2 4 3 3 2" xfId="3073" xr:uid="{00000000-0005-0000-0000-000093130000}"/>
    <cellStyle name="Normal 4 2 4 3 3 2 2" xfId="7295" xr:uid="{00000000-0005-0000-0000-000094130000}"/>
    <cellStyle name="Normal 4 2 4 3 3 2 2 2" xfId="32627" xr:uid="{2D23C8C0-FCED-40F2-8481-2FEEC67599D9}"/>
    <cellStyle name="Normal 4 2 4 3 3 2 2 3" xfId="24186" xr:uid="{BE611701-1E4E-4940-89FB-7415FF669854}"/>
    <cellStyle name="Normal 4 2 4 3 3 2 2 4" xfId="15745" xr:uid="{41C04582-48E0-40D5-8748-DA1F85ED1DDD}"/>
    <cellStyle name="Normal 4 2 4 3 3 2 3" xfId="28409" xr:uid="{5ABF4CE2-938A-462B-B77D-4BDBE279F8CB}"/>
    <cellStyle name="Normal 4 2 4 3 3 2 4" xfId="19968" xr:uid="{DBBA788B-95F5-4D26-9B91-CE039B60580E}"/>
    <cellStyle name="Normal 4 2 4 3 3 2 5" xfId="11527" xr:uid="{AE10E407-93DB-474C-81FF-B1D25787F53B}"/>
    <cellStyle name="Normal 4 2 4 3 3 3" xfId="5150" xr:uid="{00000000-0005-0000-0000-000095130000}"/>
    <cellStyle name="Normal 4 2 4 3 3 3 2" xfId="30482" xr:uid="{5FEA88A1-1C41-424E-ABA1-1EDEE3F1FD22}"/>
    <cellStyle name="Normal 4 2 4 3 3 3 3" xfId="22041" xr:uid="{99C31B42-148C-48BA-977F-315C2E74A09F}"/>
    <cellStyle name="Normal 4 2 4 3 3 3 4" xfId="13600" xr:uid="{E83F243C-A966-432F-AFA4-8852A80A9EC5}"/>
    <cellStyle name="Normal 4 2 4 3 3 4" xfId="26264" xr:uid="{ADE1F88B-1137-4470-9A9B-1014143D1D1B}"/>
    <cellStyle name="Normal 4 2 4 3 3 5" xfId="17823" xr:uid="{088B47DD-3B0C-4C37-9C76-31FD7E28A218}"/>
    <cellStyle name="Normal 4 2 4 3 3 6" xfId="9382" xr:uid="{7FD7ABB0-A07D-4286-9A35-70948A1C1B4F}"/>
    <cellStyle name="Normal 4 2 4 3 4" xfId="1256" xr:uid="{00000000-0005-0000-0000-000096130000}"/>
    <cellStyle name="Normal 4 2 4 3 4 2" xfId="3486" xr:uid="{00000000-0005-0000-0000-000097130000}"/>
    <cellStyle name="Normal 4 2 4 3 4 2 2" xfId="7708" xr:uid="{00000000-0005-0000-0000-000098130000}"/>
    <cellStyle name="Normal 4 2 4 3 4 2 2 2" xfId="33040" xr:uid="{EB7FFC40-5F15-4D67-AF64-EB1153E0E1B4}"/>
    <cellStyle name="Normal 4 2 4 3 4 2 2 3" xfId="24599" xr:uid="{910F7646-294F-4FE1-9CF2-10AB50AC4CAD}"/>
    <cellStyle name="Normal 4 2 4 3 4 2 2 4" xfId="16158" xr:uid="{4D40C540-8803-4109-886B-EB118D49FB06}"/>
    <cellStyle name="Normal 4 2 4 3 4 2 3" xfId="28822" xr:uid="{2133597B-24AD-4704-A38B-D163C8CE2C7D}"/>
    <cellStyle name="Normal 4 2 4 3 4 2 4" xfId="20381" xr:uid="{FFFE07C1-78A1-49EB-A7C3-B9E360099803}"/>
    <cellStyle name="Normal 4 2 4 3 4 2 5" xfId="11940" xr:uid="{99E7A19D-8FC2-4E14-A712-42B49C974865}"/>
    <cellStyle name="Normal 4 2 4 3 4 3" xfId="5563" xr:uid="{00000000-0005-0000-0000-000099130000}"/>
    <cellStyle name="Normal 4 2 4 3 4 3 2" xfId="30895" xr:uid="{10593590-0CFE-4D65-8E33-D1591BF612E9}"/>
    <cellStyle name="Normal 4 2 4 3 4 3 3" xfId="22454" xr:uid="{B7734968-F6CB-4F5C-8341-63ABEA47B5AE}"/>
    <cellStyle name="Normal 4 2 4 3 4 3 4" xfId="14013" xr:uid="{411E4097-33C0-46A8-AFA1-96A139A20296}"/>
    <cellStyle name="Normal 4 2 4 3 4 4" xfId="26677" xr:uid="{E1E48DA4-669A-4416-BB8D-A39EAD42CD94}"/>
    <cellStyle name="Normal 4 2 4 3 4 5" xfId="18236" xr:uid="{C5E1053C-F2D8-441A-AF00-B563836BF216}"/>
    <cellStyle name="Normal 4 2 4 3 4 6" xfId="9795" xr:uid="{007C331A-880B-401D-AF64-F58E8878FE9C}"/>
    <cellStyle name="Normal 4 2 4 3 5" xfId="1669" xr:uid="{00000000-0005-0000-0000-00009A130000}"/>
    <cellStyle name="Normal 4 2 4 3 5 2" xfId="3899" xr:uid="{00000000-0005-0000-0000-00009B130000}"/>
    <cellStyle name="Normal 4 2 4 3 5 2 2" xfId="8121" xr:uid="{00000000-0005-0000-0000-00009C130000}"/>
    <cellStyle name="Normal 4 2 4 3 5 2 2 2" xfId="33453" xr:uid="{8139F70A-CE8B-4E04-A1A4-CA1622C232E3}"/>
    <cellStyle name="Normal 4 2 4 3 5 2 2 3" xfId="25012" xr:uid="{EAA4F012-2342-40D1-BB68-D26EA01F2D25}"/>
    <cellStyle name="Normal 4 2 4 3 5 2 2 4" xfId="16571" xr:uid="{C9A41706-3614-45EE-8360-A3705EA7A338}"/>
    <cellStyle name="Normal 4 2 4 3 5 2 3" xfId="29235" xr:uid="{3E492DA3-555B-4CA8-813C-82213F4C9CA0}"/>
    <cellStyle name="Normal 4 2 4 3 5 2 4" xfId="20794" xr:uid="{CCBC2EC2-BBC7-4C50-8213-A5E18F8A05C7}"/>
    <cellStyle name="Normal 4 2 4 3 5 2 5" xfId="12353" xr:uid="{64871B55-0296-4677-8D22-8C371182891F}"/>
    <cellStyle name="Normal 4 2 4 3 5 3" xfId="5976" xr:uid="{00000000-0005-0000-0000-00009D130000}"/>
    <cellStyle name="Normal 4 2 4 3 5 3 2" xfId="31308" xr:uid="{5353FEFA-28B9-4284-B5DC-04F722370202}"/>
    <cellStyle name="Normal 4 2 4 3 5 3 3" xfId="22867" xr:uid="{48A15489-E53D-4D1F-B908-2691F46B2AE2}"/>
    <cellStyle name="Normal 4 2 4 3 5 3 4" xfId="14426" xr:uid="{CB543356-FF50-4362-AFAB-F08E4C2F267D}"/>
    <cellStyle name="Normal 4 2 4 3 5 4" xfId="27090" xr:uid="{932E5568-7BE3-4841-AD4C-9D9BB6ED67B9}"/>
    <cellStyle name="Normal 4 2 4 3 5 5" xfId="18649" xr:uid="{BC8940C8-158E-4EB2-A741-F58C12302C11}"/>
    <cellStyle name="Normal 4 2 4 3 5 6" xfId="10208" xr:uid="{FADDEE56-A008-44B3-A3BB-38162A2CACBB}"/>
    <cellStyle name="Normal 4 2 4 3 6" xfId="2083" xr:uid="{00000000-0005-0000-0000-00009E130000}"/>
    <cellStyle name="Normal 4 2 4 3 6 2" xfId="4312" xr:uid="{00000000-0005-0000-0000-00009F130000}"/>
    <cellStyle name="Normal 4 2 4 3 6 2 2" xfId="8534" xr:uid="{00000000-0005-0000-0000-0000A0130000}"/>
    <cellStyle name="Normal 4 2 4 3 6 2 2 2" xfId="33866" xr:uid="{67F428D3-39E8-45C8-8584-FD1BD6EC0C72}"/>
    <cellStyle name="Normal 4 2 4 3 6 2 2 3" xfId="25425" xr:uid="{06262919-648E-4A41-9210-83D0E7AAEF89}"/>
    <cellStyle name="Normal 4 2 4 3 6 2 2 4" xfId="16984" xr:uid="{8A3C6F45-BEAA-4052-9D89-F4AF1CD89C12}"/>
    <cellStyle name="Normal 4 2 4 3 6 2 3" xfId="29648" xr:uid="{E3E6C890-2D83-4CF5-9574-4AFD67AAE538}"/>
    <cellStyle name="Normal 4 2 4 3 6 2 4" xfId="21207" xr:uid="{2D58A905-2540-461C-91EB-11D45797DC3D}"/>
    <cellStyle name="Normal 4 2 4 3 6 2 5" xfId="12766" xr:uid="{DD1E7407-2A21-4998-9AFE-B3BC653C5EF6}"/>
    <cellStyle name="Normal 4 2 4 3 6 3" xfId="6389" xr:uid="{00000000-0005-0000-0000-0000A1130000}"/>
    <cellStyle name="Normal 4 2 4 3 6 3 2" xfId="31721" xr:uid="{4EEEA35B-FC97-4E91-8B46-13D4FB808A37}"/>
    <cellStyle name="Normal 4 2 4 3 6 3 3" xfId="23280" xr:uid="{87CC0DF8-1D60-44A9-AF2B-8DD252D1B3A2}"/>
    <cellStyle name="Normal 4 2 4 3 6 3 4" xfId="14839" xr:uid="{67C55B1B-A98C-4E0E-B956-8426BBBCBC6C}"/>
    <cellStyle name="Normal 4 2 4 3 6 4" xfId="27503" xr:uid="{2EBAA66D-3B95-44E8-A9D3-D5280502F69A}"/>
    <cellStyle name="Normal 4 2 4 3 6 5" xfId="19062" xr:uid="{8EE98640-6310-467D-AAB6-1F43BC384AC1}"/>
    <cellStyle name="Normal 4 2 4 3 6 6" xfId="10621" xr:uid="{D636261C-77F7-44F8-A0B9-ED84557F9E85}"/>
    <cellStyle name="Normal 4 2 4 3 7" xfId="2519" xr:uid="{00000000-0005-0000-0000-0000A2130000}"/>
    <cellStyle name="Normal 4 2 4 3 7 2" xfId="6802" xr:uid="{00000000-0005-0000-0000-0000A3130000}"/>
    <cellStyle name="Normal 4 2 4 3 7 2 2" xfId="32134" xr:uid="{01D2755B-EEB4-472A-B361-61968EA7CB6D}"/>
    <cellStyle name="Normal 4 2 4 3 7 2 3" xfId="23693" xr:uid="{3E84910F-28F2-47C1-8CC4-26A7D4D0781F}"/>
    <cellStyle name="Normal 4 2 4 3 7 2 4" xfId="15252" xr:uid="{950123E6-4611-4E53-AE39-97F7CAF1D42F}"/>
    <cellStyle name="Normal 4 2 4 3 7 3" xfId="27916" xr:uid="{81CADE67-C22D-4B6B-A58C-D870B8350B98}"/>
    <cellStyle name="Normal 4 2 4 3 7 4" xfId="19475" xr:uid="{358DF5AE-C9F6-44A2-AEB4-4EB0D1D76072}"/>
    <cellStyle name="Normal 4 2 4 3 7 5" xfId="11034" xr:uid="{00388EB2-CBF5-4AAC-9C47-23651FC01E42}"/>
    <cellStyle name="Normal 4 2 4 3 8" xfId="4737" xr:uid="{00000000-0005-0000-0000-0000A4130000}"/>
    <cellStyle name="Normal 4 2 4 3 8 2" xfId="30069" xr:uid="{131E74C2-CF85-4DF3-AD3E-2FFD20019A03}"/>
    <cellStyle name="Normal 4 2 4 3 8 3" xfId="21628" xr:uid="{CD93DFBC-2722-4901-AB13-ACE698966DFE}"/>
    <cellStyle name="Normal 4 2 4 3 8 4" xfId="13187" xr:uid="{BF5FA45D-4578-4E22-814D-20065BAFA844}"/>
    <cellStyle name="Normal 4 2 4 3 9" xfId="25851" xr:uid="{70CB57A7-790B-4469-A211-12AEC6CC34A4}"/>
    <cellStyle name="Normal 4 2 4 4" xfId="362" xr:uid="{00000000-0005-0000-0000-0000A5130000}"/>
    <cellStyle name="Normal 4 2 4 4 10" xfId="8971" xr:uid="{EAFD2B33-BA05-41B9-B0A8-3E60BEAA6F26}"/>
    <cellStyle name="Normal 4 2 4 4 2" xfId="838" xr:uid="{00000000-0005-0000-0000-0000A6130000}"/>
    <cellStyle name="Normal 4 2 4 4 2 2" xfId="3075" xr:uid="{00000000-0005-0000-0000-0000A7130000}"/>
    <cellStyle name="Normal 4 2 4 4 2 2 2" xfId="7297" xr:uid="{00000000-0005-0000-0000-0000A8130000}"/>
    <cellStyle name="Normal 4 2 4 4 2 2 2 2" xfId="32629" xr:uid="{967B7A3F-6941-4794-8157-1D75335A33C3}"/>
    <cellStyle name="Normal 4 2 4 4 2 2 2 3" xfId="24188" xr:uid="{81F263B2-7920-49D2-9581-6F19C97CC9AB}"/>
    <cellStyle name="Normal 4 2 4 4 2 2 2 4" xfId="15747" xr:uid="{FF06C6F6-43F7-4311-9729-664A2A07E5A9}"/>
    <cellStyle name="Normal 4 2 4 4 2 2 3" xfId="28411" xr:uid="{CF5DCA5E-1445-46B1-B202-0C8D7A0D5D40}"/>
    <cellStyle name="Normal 4 2 4 4 2 2 4" xfId="19970" xr:uid="{BCC738FA-6910-4CAA-8B5A-78DB05031CB3}"/>
    <cellStyle name="Normal 4 2 4 4 2 2 5" xfId="11529" xr:uid="{86F28B7B-14D4-49E8-975B-0DBD99C16242}"/>
    <cellStyle name="Normal 4 2 4 4 2 3" xfId="5152" xr:uid="{00000000-0005-0000-0000-0000A9130000}"/>
    <cellStyle name="Normal 4 2 4 4 2 3 2" xfId="30484" xr:uid="{19B3BF5F-3AE8-40F4-9465-B0D955B8751F}"/>
    <cellStyle name="Normal 4 2 4 4 2 3 3" xfId="22043" xr:uid="{4D521FEC-CDA4-431B-A33F-703BAD8CDB8C}"/>
    <cellStyle name="Normal 4 2 4 4 2 3 4" xfId="13602" xr:uid="{F82EB159-0723-49AF-8EAB-756E7028039E}"/>
    <cellStyle name="Normal 4 2 4 4 2 4" xfId="26266" xr:uid="{2B787CBF-9E54-4855-8AD8-80484EC2681E}"/>
    <cellStyle name="Normal 4 2 4 4 2 5" xfId="17825" xr:uid="{AE9F16B7-8935-4454-9563-1B700E722B49}"/>
    <cellStyle name="Normal 4 2 4 4 2 6" xfId="9384" xr:uid="{3A70635C-9E15-43AB-BAC0-F38A7A771560}"/>
    <cellStyle name="Normal 4 2 4 4 3" xfId="1258" xr:uid="{00000000-0005-0000-0000-0000AA130000}"/>
    <cellStyle name="Normal 4 2 4 4 3 2" xfId="3488" xr:uid="{00000000-0005-0000-0000-0000AB130000}"/>
    <cellStyle name="Normal 4 2 4 4 3 2 2" xfId="7710" xr:uid="{00000000-0005-0000-0000-0000AC130000}"/>
    <cellStyle name="Normal 4 2 4 4 3 2 2 2" xfId="33042" xr:uid="{382F20DE-1902-4522-A339-45CCE14652B0}"/>
    <cellStyle name="Normal 4 2 4 4 3 2 2 3" xfId="24601" xr:uid="{63B460BF-BEB3-43D4-8414-836BD25E8BA8}"/>
    <cellStyle name="Normal 4 2 4 4 3 2 2 4" xfId="16160" xr:uid="{31A28CC6-B6DE-44D3-9413-8A564009A037}"/>
    <cellStyle name="Normal 4 2 4 4 3 2 3" xfId="28824" xr:uid="{9E6008D7-8B29-45D7-938A-71F3CA01A776}"/>
    <cellStyle name="Normal 4 2 4 4 3 2 4" xfId="20383" xr:uid="{9B5BFAFB-52B7-437F-8A12-09756CA8A878}"/>
    <cellStyle name="Normal 4 2 4 4 3 2 5" xfId="11942" xr:uid="{2892817A-F449-49CA-B04C-A82EC5836704}"/>
    <cellStyle name="Normal 4 2 4 4 3 3" xfId="5565" xr:uid="{00000000-0005-0000-0000-0000AD130000}"/>
    <cellStyle name="Normal 4 2 4 4 3 3 2" xfId="30897" xr:uid="{64DB902E-ACDE-435C-9538-AAD5DDA8AA34}"/>
    <cellStyle name="Normal 4 2 4 4 3 3 3" xfId="22456" xr:uid="{E24F2725-DCE8-4FE1-BC03-2E28536E9E86}"/>
    <cellStyle name="Normal 4 2 4 4 3 3 4" xfId="14015" xr:uid="{F52E1366-394C-473F-8F6D-F0023D696360}"/>
    <cellStyle name="Normal 4 2 4 4 3 4" xfId="26679" xr:uid="{15C03D8A-5206-4E01-9513-BC118FC14209}"/>
    <cellStyle name="Normal 4 2 4 4 3 5" xfId="18238" xr:uid="{6700BFAF-EBB5-45B2-B6DB-205791213F68}"/>
    <cellStyle name="Normal 4 2 4 4 3 6" xfId="9797" xr:uid="{4FCB8D31-6660-4217-8CD6-9B8AE6CD68C4}"/>
    <cellStyle name="Normal 4 2 4 4 4" xfId="1671" xr:uid="{00000000-0005-0000-0000-0000AE130000}"/>
    <cellStyle name="Normal 4 2 4 4 4 2" xfId="3901" xr:uid="{00000000-0005-0000-0000-0000AF130000}"/>
    <cellStyle name="Normal 4 2 4 4 4 2 2" xfId="8123" xr:uid="{00000000-0005-0000-0000-0000B0130000}"/>
    <cellStyle name="Normal 4 2 4 4 4 2 2 2" xfId="33455" xr:uid="{74147377-8D2D-49FD-BD65-95CC1725D4B7}"/>
    <cellStyle name="Normal 4 2 4 4 4 2 2 3" xfId="25014" xr:uid="{B26F26EB-6F26-4623-852E-C35EDD2503AF}"/>
    <cellStyle name="Normal 4 2 4 4 4 2 2 4" xfId="16573" xr:uid="{13FC0BC3-B17B-4A80-AF8E-D8ADA8894A79}"/>
    <cellStyle name="Normal 4 2 4 4 4 2 3" xfId="29237" xr:uid="{D93CEE70-20A7-4A47-A4C1-318A00735B17}"/>
    <cellStyle name="Normal 4 2 4 4 4 2 4" xfId="20796" xr:uid="{A0F5CCCD-4D27-46B5-966A-134445C775BA}"/>
    <cellStyle name="Normal 4 2 4 4 4 2 5" xfId="12355" xr:uid="{E09A3958-D125-42AF-ACC9-7171B286A49A}"/>
    <cellStyle name="Normal 4 2 4 4 4 3" xfId="5978" xr:uid="{00000000-0005-0000-0000-0000B1130000}"/>
    <cellStyle name="Normal 4 2 4 4 4 3 2" xfId="31310" xr:uid="{80166E64-EA48-4737-92EF-D9364288C6B3}"/>
    <cellStyle name="Normal 4 2 4 4 4 3 3" xfId="22869" xr:uid="{DE67519F-CCA7-4770-BF88-6E337D186AAF}"/>
    <cellStyle name="Normal 4 2 4 4 4 3 4" xfId="14428" xr:uid="{DF4AA5B5-50EE-4D52-8073-48011EEA8184}"/>
    <cellStyle name="Normal 4 2 4 4 4 4" xfId="27092" xr:uid="{C051E837-8E6E-426B-AE46-FEB1E27F1FE8}"/>
    <cellStyle name="Normal 4 2 4 4 4 5" xfId="18651" xr:uid="{0C7D6389-B723-45B5-8AE2-2E8680D550D1}"/>
    <cellStyle name="Normal 4 2 4 4 4 6" xfId="10210" xr:uid="{A56F4286-7571-48F2-A4C6-B9EC0DE54FFC}"/>
    <cellStyle name="Normal 4 2 4 4 5" xfId="2085" xr:uid="{00000000-0005-0000-0000-0000B2130000}"/>
    <cellStyle name="Normal 4 2 4 4 5 2" xfId="4314" xr:uid="{00000000-0005-0000-0000-0000B3130000}"/>
    <cellStyle name="Normal 4 2 4 4 5 2 2" xfId="8536" xr:uid="{00000000-0005-0000-0000-0000B4130000}"/>
    <cellStyle name="Normal 4 2 4 4 5 2 2 2" xfId="33868" xr:uid="{4CC38AFB-845C-4A6D-B644-3B8B18FB9C75}"/>
    <cellStyle name="Normal 4 2 4 4 5 2 2 3" xfId="25427" xr:uid="{98D85DF3-DC90-45C9-9C71-AAD389D44F8F}"/>
    <cellStyle name="Normal 4 2 4 4 5 2 2 4" xfId="16986" xr:uid="{92E83EE7-0402-40EA-BC40-788EEFDE2466}"/>
    <cellStyle name="Normal 4 2 4 4 5 2 3" xfId="29650" xr:uid="{E7D9689B-0531-4EA2-98A8-83C57CB989FF}"/>
    <cellStyle name="Normal 4 2 4 4 5 2 4" xfId="21209" xr:uid="{1AE8B3C6-FC24-4A56-913D-194A24BBF699}"/>
    <cellStyle name="Normal 4 2 4 4 5 2 5" xfId="12768" xr:uid="{20FDB916-04DD-42FE-934F-7E682C0E37F4}"/>
    <cellStyle name="Normal 4 2 4 4 5 3" xfId="6391" xr:uid="{00000000-0005-0000-0000-0000B5130000}"/>
    <cellStyle name="Normal 4 2 4 4 5 3 2" xfId="31723" xr:uid="{E0DAC686-E932-4AD1-83E0-A475B86D1D07}"/>
    <cellStyle name="Normal 4 2 4 4 5 3 3" xfId="23282" xr:uid="{D00F60AF-AF3C-4948-B5DD-D936CE8D022A}"/>
    <cellStyle name="Normal 4 2 4 4 5 3 4" xfId="14841" xr:uid="{3E57EA9D-9BF7-4BC4-9C3E-FB892E66CDA8}"/>
    <cellStyle name="Normal 4 2 4 4 5 4" xfId="27505" xr:uid="{D65267EF-7891-41A7-A906-77E44ABE5B47}"/>
    <cellStyle name="Normal 4 2 4 4 5 5" xfId="19064" xr:uid="{2F6F313F-2195-40A4-BAA1-D43C1A00E10E}"/>
    <cellStyle name="Normal 4 2 4 4 5 6" xfId="10623" xr:uid="{7C89EBC5-F200-4E1C-956F-C302A6F63819}"/>
    <cellStyle name="Normal 4 2 4 4 6" xfId="2521" xr:uid="{00000000-0005-0000-0000-0000B6130000}"/>
    <cellStyle name="Normal 4 2 4 4 6 2" xfId="6804" xr:uid="{00000000-0005-0000-0000-0000B7130000}"/>
    <cellStyle name="Normal 4 2 4 4 6 2 2" xfId="32136" xr:uid="{4A0B29DA-9DA3-4A8A-A7D3-BAE68C80C15D}"/>
    <cellStyle name="Normal 4 2 4 4 6 2 3" xfId="23695" xr:uid="{6B065080-9749-462B-B472-9076138AAFC0}"/>
    <cellStyle name="Normal 4 2 4 4 6 2 4" xfId="15254" xr:uid="{EFE49D52-107E-4C68-AC21-BA36C76E0A78}"/>
    <cellStyle name="Normal 4 2 4 4 6 3" xfId="27918" xr:uid="{73E3D527-8EE3-4852-B67C-70CF4AAAEB5B}"/>
    <cellStyle name="Normal 4 2 4 4 6 4" xfId="19477" xr:uid="{65613422-E38F-4FE2-86AF-07FACBA24B84}"/>
    <cellStyle name="Normal 4 2 4 4 6 5" xfId="11036" xr:uid="{8343E972-C336-458E-A2E0-AB1BF0E80073}"/>
    <cellStyle name="Normal 4 2 4 4 7" xfId="4739" xr:uid="{00000000-0005-0000-0000-0000B8130000}"/>
    <cellStyle name="Normal 4 2 4 4 7 2" xfId="30071" xr:uid="{293F36C8-740E-4A44-BC30-FE61F2A630AE}"/>
    <cellStyle name="Normal 4 2 4 4 7 3" xfId="21630" xr:uid="{6905CD2F-2E4D-4770-886C-107D38C265BD}"/>
    <cellStyle name="Normal 4 2 4 4 7 4" xfId="13189" xr:uid="{28419AF1-9C8A-4AAA-86B0-316760EEAD90}"/>
    <cellStyle name="Normal 4 2 4 4 8" xfId="25853" xr:uid="{1F0D276B-A138-4C0B-87C7-4EF3710235C8}"/>
    <cellStyle name="Normal 4 2 4 4 9" xfId="17412" xr:uid="{C9028C26-39C1-4E33-A881-F071EADA2BDA}"/>
    <cellStyle name="Normal 4 2 4 5" xfId="831" xr:uid="{00000000-0005-0000-0000-0000B9130000}"/>
    <cellStyle name="Normal 4 2 4 5 2" xfId="3068" xr:uid="{00000000-0005-0000-0000-0000BA130000}"/>
    <cellStyle name="Normal 4 2 4 5 2 2" xfId="7290" xr:uid="{00000000-0005-0000-0000-0000BB130000}"/>
    <cellStyle name="Normal 4 2 4 5 2 2 2" xfId="32622" xr:uid="{0558194A-78BF-4A7F-B693-9CB701E6CEF1}"/>
    <cellStyle name="Normal 4 2 4 5 2 2 3" xfId="24181" xr:uid="{82D726AA-88F1-4DA7-A763-9FA70F31DE36}"/>
    <cellStyle name="Normal 4 2 4 5 2 2 4" xfId="15740" xr:uid="{2022681E-B3E4-42C1-9F3C-EF2F6E399AD5}"/>
    <cellStyle name="Normal 4 2 4 5 2 3" xfId="28404" xr:uid="{8A619ED4-C311-42BB-99AB-4ECB5F8A3930}"/>
    <cellStyle name="Normal 4 2 4 5 2 4" xfId="19963" xr:uid="{FE56CB40-09FC-49BA-AF58-79331405E486}"/>
    <cellStyle name="Normal 4 2 4 5 2 5" xfId="11522" xr:uid="{8CCBC850-DAFA-48BF-A142-4DCD4E55966D}"/>
    <cellStyle name="Normal 4 2 4 5 3" xfId="5145" xr:uid="{00000000-0005-0000-0000-0000BC130000}"/>
    <cellStyle name="Normal 4 2 4 5 3 2" xfId="30477" xr:uid="{D1F95B00-2FF7-4EBD-8410-C19C3571EB52}"/>
    <cellStyle name="Normal 4 2 4 5 3 3" xfId="22036" xr:uid="{D436C4FF-4441-41A1-B47F-3CD42CA29821}"/>
    <cellStyle name="Normal 4 2 4 5 3 4" xfId="13595" xr:uid="{7472A925-1AC0-4658-9C82-D5288D13B413}"/>
    <cellStyle name="Normal 4 2 4 5 4" xfId="26259" xr:uid="{C53427CC-8A19-462C-AA3A-5341CCAF9CAD}"/>
    <cellStyle name="Normal 4 2 4 5 5" xfId="17818" xr:uid="{22E85C2A-5A5D-4C44-8FCC-2464C63D4274}"/>
    <cellStyle name="Normal 4 2 4 5 6" xfId="9377" xr:uid="{E2881ABE-8EE4-4F1D-9268-BAD505293046}"/>
    <cellStyle name="Normal 4 2 4 6" xfId="1251" xr:uid="{00000000-0005-0000-0000-0000BD130000}"/>
    <cellStyle name="Normal 4 2 4 6 2" xfId="3481" xr:uid="{00000000-0005-0000-0000-0000BE130000}"/>
    <cellStyle name="Normal 4 2 4 6 2 2" xfId="7703" xr:uid="{00000000-0005-0000-0000-0000BF130000}"/>
    <cellStyle name="Normal 4 2 4 6 2 2 2" xfId="33035" xr:uid="{499B8C28-B72E-475E-B1D1-A2104DCD38EF}"/>
    <cellStyle name="Normal 4 2 4 6 2 2 3" xfId="24594" xr:uid="{38E82C94-2EEE-42FC-B3E2-9A2898BF6E01}"/>
    <cellStyle name="Normal 4 2 4 6 2 2 4" xfId="16153" xr:uid="{46E690EE-4363-45DB-838D-277C9F5F600D}"/>
    <cellStyle name="Normal 4 2 4 6 2 3" xfId="28817" xr:uid="{1665E80C-3B89-4359-A264-346385CF1B33}"/>
    <cellStyle name="Normal 4 2 4 6 2 4" xfId="20376" xr:uid="{8DABA167-5CA5-4198-9689-0F3C210D1271}"/>
    <cellStyle name="Normal 4 2 4 6 2 5" xfId="11935" xr:uid="{5A47F5BE-4373-4671-9205-7F0CDB43DFC3}"/>
    <cellStyle name="Normal 4 2 4 6 3" xfId="5558" xr:uid="{00000000-0005-0000-0000-0000C0130000}"/>
    <cellStyle name="Normal 4 2 4 6 3 2" xfId="30890" xr:uid="{D5D5A3ED-10E8-42FB-9972-B937651F2A8F}"/>
    <cellStyle name="Normal 4 2 4 6 3 3" xfId="22449" xr:uid="{5955C173-F037-4972-A1D3-D010ED507DC4}"/>
    <cellStyle name="Normal 4 2 4 6 3 4" xfId="14008" xr:uid="{49CC3B64-7973-4AF7-B83A-4516AA6175AC}"/>
    <cellStyle name="Normal 4 2 4 6 4" xfId="26672" xr:uid="{C6D2D880-A555-4FC4-BA66-B269E30353B1}"/>
    <cellStyle name="Normal 4 2 4 6 5" xfId="18231" xr:uid="{1F2D53EA-154C-4AFC-A561-59859060AE4D}"/>
    <cellStyle name="Normal 4 2 4 6 6" xfId="9790" xr:uid="{B9284533-3B4A-4714-8864-847E5F8D4524}"/>
    <cellStyle name="Normal 4 2 4 7" xfId="1664" xr:uid="{00000000-0005-0000-0000-0000C1130000}"/>
    <cellStyle name="Normal 4 2 4 7 2" xfId="3894" xr:uid="{00000000-0005-0000-0000-0000C2130000}"/>
    <cellStyle name="Normal 4 2 4 7 2 2" xfId="8116" xr:uid="{00000000-0005-0000-0000-0000C3130000}"/>
    <cellStyle name="Normal 4 2 4 7 2 2 2" xfId="33448" xr:uid="{3522EA9E-A7D4-47CB-881F-E24918CF15F0}"/>
    <cellStyle name="Normal 4 2 4 7 2 2 3" xfId="25007" xr:uid="{A2A9537D-CAA5-4D35-8C91-A4AAA747C923}"/>
    <cellStyle name="Normal 4 2 4 7 2 2 4" xfId="16566" xr:uid="{80783021-7EE7-447D-8903-3DF7A8D6547B}"/>
    <cellStyle name="Normal 4 2 4 7 2 3" xfId="29230" xr:uid="{0B5247B0-B34F-4954-9F69-D67CCE311614}"/>
    <cellStyle name="Normal 4 2 4 7 2 4" xfId="20789" xr:uid="{186CC96A-6155-47F8-A2C5-49EDDD749EDD}"/>
    <cellStyle name="Normal 4 2 4 7 2 5" xfId="12348" xr:uid="{A2F73420-3237-4E0B-A630-50675DC34442}"/>
    <cellStyle name="Normal 4 2 4 7 3" xfId="5971" xr:uid="{00000000-0005-0000-0000-0000C4130000}"/>
    <cellStyle name="Normal 4 2 4 7 3 2" xfId="31303" xr:uid="{600A82DA-6338-49EB-B7AA-E66BD09749EF}"/>
    <cellStyle name="Normal 4 2 4 7 3 3" xfId="22862" xr:uid="{5EDBD65B-3C3F-4FCF-8BEC-7A328C6A96FE}"/>
    <cellStyle name="Normal 4 2 4 7 3 4" xfId="14421" xr:uid="{F08B1F57-7CEB-47AE-8EBB-EB1DEBF25029}"/>
    <cellStyle name="Normal 4 2 4 7 4" xfId="27085" xr:uid="{6EC97F57-5147-4151-AA85-C3D67E037E81}"/>
    <cellStyle name="Normal 4 2 4 7 5" xfId="18644" xr:uid="{A58E3C7E-4EFB-4187-A880-76E1882CC613}"/>
    <cellStyle name="Normal 4 2 4 7 6" xfId="10203" xr:uid="{7C6980A2-DBCD-4791-8237-3AF9BEDCF4DD}"/>
    <cellStyle name="Normal 4 2 4 8" xfId="2078" xr:uid="{00000000-0005-0000-0000-0000C5130000}"/>
    <cellStyle name="Normal 4 2 4 8 2" xfId="4307" xr:uid="{00000000-0005-0000-0000-0000C6130000}"/>
    <cellStyle name="Normal 4 2 4 8 2 2" xfId="8529" xr:uid="{00000000-0005-0000-0000-0000C7130000}"/>
    <cellStyle name="Normal 4 2 4 8 2 2 2" xfId="33861" xr:uid="{D976F3F3-6163-475F-B4B4-50590DC63DA6}"/>
    <cellStyle name="Normal 4 2 4 8 2 2 3" xfId="25420" xr:uid="{47CE3F73-5B32-42B4-831A-794B66CE4128}"/>
    <cellStyle name="Normal 4 2 4 8 2 2 4" xfId="16979" xr:uid="{0AE8E0C2-48CA-4FB7-BB68-C1522290AC5A}"/>
    <cellStyle name="Normal 4 2 4 8 2 3" xfId="29643" xr:uid="{CAA23903-BDFA-4ADD-A142-831094D6D1B7}"/>
    <cellStyle name="Normal 4 2 4 8 2 4" xfId="21202" xr:uid="{7B3C7146-3D3A-4921-8697-9073411CD47F}"/>
    <cellStyle name="Normal 4 2 4 8 2 5" xfId="12761" xr:uid="{F692B8EB-25EF-4719-891A-D6FEB6C4C2C5}"/>
    <cellStyle name="Normal 4 2 4 8 3" xfId="6384" xr:uid="{00000000-0005-0000-0000-0000C8130000}"/>
    <cellStyle name="Normal 4 2 4 8 3 2" xfId="31716" xr:uid="{69D041E8-855D-4A9F-9CFE-C2E19527C463}"/>
    <cellStyle name="Normal 4 2 4 8 3 3" xfId="23275" xr:uid="{01697586-CF6A-4A05-AF4E-4FE9EFE408C5}"/>
    <cellStyle name="Normal 4 2 4 8 3 4" xfId="14834" xr:uid="{72D70BA6-1245-4A91-B2F0-B26595240377}"/>
    <cellStyle name="Normal 4 2 4 8 4" xfId="27498" xr:uid="{EE08644B-9FCE-4131-8547-2762F9558E09}"/>
    <cellStyle name="Normal 4 2 4 8 5" xfId="19057" xr:uid="{433A403C-77DE-46C4-AEAB-87EA9473DDDF}"/>
    <cellStyle name="Normal 4 2 4 8 6" xfId="10616" xr:uid="{2F72AC07-D02D-4CA0-A37B-B668C61E3F57}"/>
    <cellStyle name="Normal 4 2 4 9" xfId="2514" xr:uid="{00000000-0005-0000-0000-0000C9130000}"/>
    <cellStyle name="Normal 4 2 4 9 2" xfId="6797" xr:uid="{00000000-0005-0000-0000-0000CA130000}"/>
    <cellStyle name="Normal 4 2 4 9 2 2" xfId="32129" xr:uid="{18C8EC2F-1696-4A05-887C-7818AABFDC21}"/>
    <cellStyle name="Normal 4 2 4 9 2 3" xfId="23688" xr:uid="{6170A7FB-94A7-4373-8517-843AE5967273}"/>
    <cellStyle name="Normal 4 2 4 9 2 4" xfId="15247" xr:uid="{1AFCE03A-167A-4F09-B6FE-3427D972F9FF}"/>
    <cellStyle name="Normal 4 2 4 9 3" xfId="27911" xr:uid="{F459B703-42A1-4152-B91B-E2BC73847CD9}"/>
    <cellStyle name="Normal 4 2 4 9 4" xfId="19470" xr:uid="{552EA134-624E-40B6-96B7-9A8B6EA5C920}"/>
    <cellStyle name="Normal 4 2 4 9 5" xfId="11029" xr:uid="{E3950781-4660-4D28-A110-2FAB2E2FDDDF}"/>
    <cellStyle name="Normal 4 2 5" xfId="363" xr:uid="{00000000-0005-0000-0000-0000CB130000}"/>
    <cellStyle name="Normal 4 2 5 10" xfId="17413" xr:uid="{D812D046-E550-40BB-A918-B0940A512BEB}"/>
    <cellStyle name="Normal 4 2 5 11" xfId="8972" xr:uid="{1C1B19A2-34FA-431D-858C-811CA4D30386}"/>
    <cellStyle name="Normal 4 2 5 2" xfId="364" xr:uid="{00000000-0005-0000-0000-0000CC130000}"/>
    <cellStyle name="Normal 4 2 5 2 10" xfId="8973" xr:uid="{D70459D2-CD2A-4FDA-A0F7-4E6B6DE09AB0}"/>
    <cellStyle name="Normal 4 2 5 2 2" xfId="840" xr:uid="{00000000-0005-0000-0000-0000CD130000}"/>
    <cellStyle name="Normal 4 2 5 2 2 2" xfId="3077" xr:uid="{00000000-0005-0000-0000-0000CE130000}"/>
    <cellStyle name="Normal 4 2 5 2 2 2 2" xfId="7299" xr:uid="{00000000-0005-0000-0000-0000CF130000}"/>
    <cellStyle name="Normal 4 2 5 2 2 2 2 2" xfId="32631" xr:uid="{6267E4A1-0E5C-44B2-888B-48CDAAD50C65}"/>
    <cellStyle name="Normal 4 2 5 2 2 2 2 3" xfId="24190" xr:uid="{D19D930D-8804-47F9-8C5B-976A913CA76E}"/>
    <cellStyle name="Normal 4 2 5 2 2 2 2 4" xfId="15749" xr:uid="{1FB727F4-1754-4340-9C80-EF11C34807A3}"/>
    <cellStyle name="Normal 4 2 5 2 2 2 3" xfId="28413" xr:uid="{3F21515D-946D-44CA-A50E-735E8A0996F6}"/>
    <cellStyle name="Normal 4 2 5 2 2 2 4" xfId="19972" xr:uid="{0A4C9F86-48A1-4635-8BDA-2ECC0750443C}"/>
    <cellStyle name="Normal 4 2 5 2 2 2 5" xfId="11531" xr:uid="{A4E32A4C-D8CC-4084-B6AC-EF738C352AA0}"/>
    <cellStyle name="Normal 4 2 5 2 2 3" xfId="5154" xr:uid="{00000000-0005-0000-0000-0000D0130000}"/>
    <cellStyle name="Normal 4 2 5 2 2 3 2" xfId="30486" xr:uid="{682C5959-F136-4AF6-9556-1020797B2954}"/>
    <cellStyle name="Normal 4 2 5 2 2 3 3" xfId="22045" xr:uid="{75643DE7-7D33-4330-9904-8DD6679FC2B9}"/>
    <cellStyle name="Normal 4 2 5 2 2 3 4" xfId="13604" xr:uid="{64D89B1C-5BA9-4E8A-AA27-32C3E9AFBEDE}"/>
    <cellStyle name="Normal 4 2 5 2 2 4" xfId="26268" xr:uid="{057974E3-44EE-49A0-B4C6-889D33AEAF56}"/>
    <cellStyle name="Normal 4 2 5 2 2 5" xfId="17827" xr:uid="{2E26626A-7789-44FB-8FA6-DDD41A9B0052}"/>
    <cellStyle name="Normal 4 2 5 2 2 6" xfId="9386" xr:uid="{59CC5C21-60D8-4F19-8039-2F91A45F36B2}"/>
    <cellStyle name="Normal 4 2 5 2 3" xfId="1260" xr:uid="{00000000-0005-0000-0000-0000D1130000}"/>
    <cellStyle name="Normal 4 2 5 2 3 2" xfId="3490" xr:uid="{00000000-0005-0000-0000-0000D2130000}"/>
    <cellStyle name="Normal 4 2 5 2 3 2 2" xfId="7712" xr:uid="{00000000-0005-0000-0000-0000D3130000}"/>
    <cellStyle name="Normal 4 2 5 2 3 2 2 2" xfId="33044" xr:uid="{0AC98765-763A-43CB-BEA6-CD3C46F5639D}"/>
    <cellStyle name="Normal 4 2 5 2 3 2 2 3" xfId="24603" xr:uid="{ADB3AB44-22D9-4985-A6E9-8F1DC8400D2F}"/>
    <cellStyle name="Normal 4 2 5 2 3 2 2 4" xfId="16162" xr:uid="{12114CBE-7995-4A10-8256-0CDA6002415A}"/>
    <cellStyle name="Normal 4 2 5 2 3 2 3" xfId="28826" xr:uid="{9FB5FF14-1497-442C-B306-589498566C01}"/>
    <cellStyle name="Normal 4 2 5 2 3 2 4" xfId="20385" xr:uid="{309846F3-3A3C-4DF2-B289-6AF8820439EB}"/>
    <cellStyle name="Normal 4 2 5 2 3 2 5" xfId="11944" xr:uid="{C6BD5A9F-90BA-4DA9-8874-CE9073C625E2}"/>
    <cellStyle name="Normal 4 2 5 2 3 3" xfId="5567" xr:uid="{00000000-0005-0000-0000-0000D4130000}"/>
    <cellStyle name="Normal 4 2 5 2 3 3 2" xfId="30899" xr:uid="{663E3711-D91D-439F-95ED-3A06498D3C3B}"/>
    <cellStyle name="Normal 4 2 5 2 3 3 3" xfId="22458" xr:uid="{717FC822-8D3A-47E3-8E41-920580A4DDF9}"/>
    <cellStyle name="Normal 4 2 5 2 3 3 4" xfId="14017" xr:uid="{E5D86DD9-8FD2-480C-876A-C52392580BA9}"/>
    <cellStyle name="Normal 4 2 5 2 3 4" xfId="26681" xr:uid="{9756F16F-080B-4562-9172-ADE28B8CBD0C}"/>
    <cellStyle name="Normal 4 2 5 2 3 5" xfId="18240" xr:uid="{14A54E31-22E1-4837-AA34-8815F166152D}"/>
    <cellStyle name="Normal 4 2 5 2 3 6" xfId="9799" xr:uid="{8798E845-2B30-458E-BB77-960BD4AF3F3F}"/>
    <cellStyle name="Normal 4 2 5 2 4" xfId="1673" xr:uid="{00000000-0005-0000-0000-0000D5130000}"/>
    <cellStyle name="Normal 4 2 5 2 4 2" xfId="3903" xr:uid="{00000000-0005-0000-0000-0000D6130000}"/>
    <cellStyle name="Normal 4 2 5 2 4 2 2" xfId="8125" xr:uid="{00000000-0005-0000-0000-0000D7130000}"/>
    <cellStyle name="Normal 4 2 5 2 4 2 2 2" xfId="33457" xr:uid="{DE60BF43-32C9-4AB4-B24F-7EB5A33A2DD8}"/>
    <cellStyle name="Normal 4 2 5 2 4 2 2 3" xfId="25016" xr:uid="{18FDE750-C2CA-4568-80B5-A49526084516}"/>
    <cellStyle name="Normal 4 2 5 2 4 2 2 4" xfId="16575" xr:uid="{C994DFB1-1E52-4C8F-972A-BB536AAB3A2A}"/>
    <cellStyle name="Normal 4 2 5 2 4 2 3" xfId="29239" xr:uid="{1F1368E1-57F6-4CE1-A9E6-425325DE9FB9}"/>
    <cellStyle name="Normal 4 2 5 2 4 2 4" xfId="20798" xr:uid="{3C479597-13A8-414B-BF3D-6E1224F187F9}"/>
    <cellStyle name="Normal 4 2 5 2 4 2 5" xfId="12357" xr:uid="{64F505B2-F84E-45A5-99A0-F263A6CD5B30}"/>
    <cellStyle name="Normal 4 2 5 2 4 3" xfId="5980" xr:uid="{00000000-0005-0000-0000-0000D8130000}"/>
    <cellStyle name="Normal 4 2 5 2 4 3 2" xfId="31312" xr:uid="{C330E33F-21F3-482C-9841-E89A7564126D}"/>
    <cellStyle name="Normal 4 2 5 2 4 3 3" xfId="22871" xr:uid="{3F3B3FFB-24BC-4BA6-A84F-05090E15B578}"/>
    <cellStyle name="Normal 4 2 5 2 4 3 4" xfId="14430" xr:uid="{AED67787-8AD2-40F7-B779-0C3E3AD137C2}"/>
    <cellStyle name="Normal 4 2 5 2 4 4" xfId="27094" xr:uid="{30ED87E5-94FF-4896-AEE6-5724CB36403C}"/>
    <cellStyle name="Normal 4 2 5 2 4 5" xfId="18653" xr:uid="{80834330-C862-4E96-99E9-A8DB1A46C2B9}"/>
    <cellStyle name="Normal 4 2 5 2 4 6" xfId="10212" xr:uid="{293EAA86-DE2D-4223-8D9D-A493D96B4A9D}"/>
    <cellStyle name="Normal 4 2 5 2 5" xfId="2087" xr:uid="{00000000-0005-0000-0000-0000D9130000}"/>
    <cellStyle name="Normal 4 2 5 2 5 2" xfId="4316" xr:uid="{00000000-0005-0000-0000-0000DA130000}"/>
    <cellStyle name="Normal 4 2 5 2 5 2 2" xfId="8538" xr:uid="{00000000-0005-0000-0000-0000DB130000}"/>
    <cellStyle name="Normal 4 2 5 2 5 2 2 2" xfId="33870" xr:uid="{BF574138-5992-4828-A369-84D5D3DF36A0}"/>
    <cellStyle name="Normal 4 2 5 2 5 2 2 3" xfId="25429" xr:uid="{477549C6-3D95-4D22-ADE4-132AB0841D02}"/>
    <cellStyle name="Normal 4 2 5 2 5 2 2 4" xfId="16988" xr:uid="{2BB5C751-B2A1-4E42-95B6-632F917FDCF0}"/>
    <cellStyle name="Normal 4 2 5 2 5 2 3" xfId="29652" xr:uid="{A9D2EB3D-1A7E-4BA7-8B08-3BA6FCA0EBF2}"/>
    <cellStyle name="Normal 4 2 5 2 5 2 4" xfId="21211" xr:uid="{026EAAAC-426E-41DF-81A6-69CC54657AB4}"/>
    <cellStyle name="Normal 4 2 5 2 5 2 5" xfId="12770" xr:uid="{DAAD14EA-5D25-4DEA-B0F8-47428280EDB3}"/>
    <cellStyle name="Normal 4 2 5 2 5 3" xfId="6393" xr:uid="{00000000-0005-0000-0000-0000DC130000}"/>
    <cellStyle name="Normal 4 2 5 2 5 3 2" xfId="31725" xr:uid="{CDCC8D2D-8669-4AE5-B92B-5BB41E919EB1}"/>
    <cellStyle name="Normal 4 2 5 2 5 3 3" xfId="23284" xr:uid="{928B7AB1-538E-4AA5-8C8B-87D22CA0C890}"/>
    <cellStyle name="Normal 4 2 5 2 5 3 4" xfId="14843" xr:uid="{08ACFD3D-AE76-406E-ABF7-E5BA1C248D46}"/>
    <cellStyle name="Normal 4 2 5 2 5 4" xfId="27507" xr:uid="{31CD852C-0B3E-4A15-B62C-0E35A46BE9F3}"/>
    <cellStyle name="Normal 4 2 5 2 5 5" xfId="19066" xr:uid="{DF11A74A-7384-48FD-9A1E-4E6313B52C05}"/>
    <cellStyle name="Normal 4 2 5 2 5 6" xfId="10625" xr:uid="{424972AB-AB29-44F6-86ED-AFBD9BF77AD4}"/>
    <cellStyle name="Normal 4 2 5 2 6" xfId="2523" xr:uid="{00000000-0005-0000-0000-0000DD130000}"/>
    <cellStyle name="Normal 4 2 5 2 6 2" xfId="6806" xr:uid="{00000000-0005-0000-0000-0000DE130000}"/>
    <cellStyle name="Normal 4 2 5 2 6 2 2" xfId="32138" xr:uid="{7B317F3C-60A7-42EE-896C-F45645344431}"/>
    <cellStyle name="Normal 4 2 5 2 6 2 3" xfId="23697" xr:uid="{2D50B7DC-AA6B-4C30-916F-AE51A1BA13DE}"/>
    <cellStyle name="Normal 4 2 5 2 6 2 4" xfId="15256" xr:uid="{6F4093E5-4135-4499-8529-122B4A1CDE34}"/>
    <cellStyle name="Normal 4 2 5 2 6 3" xfId="27920" xr:uid="{E4DCA4FA-47F0-44FD-9266-4D9B22454A30}"/>
    <cellStyle name="Normal 4 2 5 2 6 4" xfId="19479" xr:uid="{8C5C96C0-8B52-412B-8D91-E82EC1483074}"/>
    <cellStyle name="Normal 4 2 5 2 6 5" xfId="11038" xr:uid="{D86D164F-B9D5-48BC-BFDA-982F0EEC1DCE}"/>
    <cellStyle name="Normal 4 2 5 2 7" xfId="4741" xr:uid="{00000000-0005-0000-0000-0000DF130000}"/>
    <cellStyle name="Normal 4 2 5 2 7 2" xfId="30073" xr:uid="{825303DE-E86B-4793-B3A6-CED57D837C3C}"/>
    <cellStyle name="Normal 4 2 5 2 7 3" xfId="21632" xr:uid="{A8E03DDE-376F-4F8D-8BF4-E29B8159B65E}"/>
    <cellStyle name="Normal 4 2 5 2 7 4" xfId="13191" xr:uid="{2F1D4F47-F3F4-42EB-924D-0BD9EBE59BC7}"/>
    <cellStyle name="Normal 4 2 5 2 8" xfId="25855" xr:uid="{AB26453D-B29B-412C-891B-BD3AFCA54F9F}"/>
    <cellStyle name="Normal 4 2 5 2 9" xfId="17414" xr:uid="{FDEF5621-AA80-4392-A0AD-4E64DD87451C}"/>
    <cellStyle name="Normal 4 2 5 3" xfId="839" xr:uid="{00000000-0005-0000-0000-0000E0130000}"/>
    <cellStyle name="Normal 4 2 5 3 2" xfId="3076" xr:uid="{00000000-0005-0000-0000-0000E1130000}"/>
    <cellStyle name="Normal 4 2 5 3 2 2" xfId="7298" xr:uid="{00000000-0005-0000-0000-0000E2130000}"/>
    <cellStyle name="Normal 4 2 5 3 2 2 2" xfId="32630" xr:uid="{33504E1D-C1CC-43B8-9FA7-A09C592EA74D}"/>
    <cellStyle name="Normal 4 2 5 3 2 2 3" xfId="24189" xr:uid="{870F8693-07CB-4D29-B000-2DB9E332386A}"/>
    <cellStyle name="Normal 4 2 5 3 2 2 4" xfId="15748" xr:uid="{E1707044-A026-4308-BDB0-2D8EEC265E6D}"/>
    <cellStyle name="Normal 4 2 5 3 2 3" xfId="28412" xr:uid="{9019C296-B3A6-4425-A491-2DBD7F625AC3}"/>
    <cellStyle name="Normal 4 2 5 3 2 4" xfId="19971" xr:uid="{AE0A28F8-E90F-4146-8380-E3A3A7F4E451}"/>
    <cellStyle name="Normal 4 2 5 3 2 5" xfId="11530" xr:uid="{1C805E10-7DD5-4982-9CD4-1322B37CAF32}"/>
    <cellStyle name="Normal 4 2 5 3 3" xfId="5153" xr:uid="{00000000-0005-0000-0000-0000E3130000}"/>
    <cellStyle name="Normal 4 2 5 3 3 2" xfId="30485" xr:uid="{1ACB289F-A6C1-46CD-9768-68458E42C201}"/>
    <cellStyle name="Normal 4 2 5 3 3 3" xfId="22044" xr:uid="{E0C19CD7-B5CE-43C0-8AEC-F529B2A927EA}"/>
    <cellStyle name="Normal 4 2 5 3 3 4" xfId="13603" xr:uid="{48FCB63E-7C93-4E7A-B0BA-52D3791769BA}"/>
    <cellStyle name="Normal 4 2 5 3 4" xfId="26267" xr:uid="{FFA36A85-9EC1-4A22-9681-FA0328C6B248}"/>
    <cellStyle name="Normal 4 2 5 3 5" xfId="17826" xr:uid="{5FE701DD-79DA-4266-9AD1-B330371406AD}"/>
    <cellStyle name="Normal 4 2 5 3 6" xfId="9385" xr:uid="{DE7FEBD5-3DB9-436A-A479-37017CACFA17}"/>
    <cellStyle name="Normal 4 2 5 4" xfId="1259" xr:uid="{00000000-0005-0000-0000-0000E4130000}"/>
    <cellStyle name="Normal 4 2 5 4 2" xfId="3489" xr:uid="{00000000-0005-0000-0000-0000E5130000}"/>
    <cellStyle name="Normal 4 2 5 4 2 2" xfId="7711" xr:uid="{00000000-0005-0000-0000-0000E6130000}"/>
    <cellStyle name="Normal 4 2 5 4 2 2 2" xfId="33043" xr:uid="{73C5516B-6503-4064-ABC2-012DF273EB57}"/>
    <cellStyle name="Normal 4 2 5 4 2 2 3" xfId="24602" xr:uid="{07379312-C214-4C1D-A56A-F65688F4916A}"/>
    <cellStyle name="Normal 4 2 5 4 2 2 4" xfId="16161" xr:uid="{62B375D7-83BA-4474-9A2D-038FD51B0336}"/>
    <cellStyle name="Normal 4 2 5 4 2 3" xfId="28825" xr:uid="{FFF5758B-D1BD-46F9-A922-4ACFA6AF3D20}"/>
    <cellStyle name="Normal 4 2 5 4 2 4" xfId="20384" xr:uid="{EA5211F5-B9AD-44F5-9C2A-27818EF6BA6A}"/>
    <cellStyle name="Normal 4 2 5 4 2 5" xfId="11943" xr:uid="{644E898B-BBD2-4570-8F09-58C77D07B9DC}"/>
    <cellStyle name="Normal 4 2 5 4 3" xfId="5566" xr:uid="{00000000-0005-0000-0000-0000E7130000}"/>
    <cellStyle name="Normal 4 2 5 4 3 2" xfId="30898" xr:uid="{0A67A73D-9D72-403E-A700-962F04BAE103}"/>
    <cellStyle name="Normal 4 2 5 4 3 3" xfId="22457" xr:uid="{4CE10CEC-4BDA-4D89-B2A6-1A0FADBA71A2}"/>
    <cellStyle name="Normal 4 2 5 4 3 4" xfId="14016" xr:uid="{2813F3D1-EFD0-4936-A882-7CAC9E68509C}"/>
    <cellStyle name="Normal 4 2 5 4 4" xfId="26680" xr:uid="{91FC049A-549E-46D4-98BB-210C306315B9}"/>
    <cellStyle name="Normal 4 2 5 4 5" xfId="18239" xr:uid="{E35A6462-27C3-43B8-8E82-0C933D666D24}"/>
    <cellStyle name="Normal 4 2 5 4 6" xfId="9798" xr:uid="{42F869D7-ACB6-4108-AAF9-0100EC75C040}"/>
    <cellStyle name="Normal 4 2 5 5" xfId="1672" xr:uid="{00000000-0005-0000-0000-0000E8130000}"/>
    <cellStyle name="Normal 4 2 5 5 2" xfId="3902" xr:uid="{00000000-0005-0000-0000-0000E9130000}"/>
    <cellStyle name="Normal 4 2 5 5 2 2" xfId="8124" xr:uid="{00000000-0005-0000-0000-0000EA130000}"/>
    <cellStyle name="Normal 4 2 5 5 2 2 2" xfId="33456" xr:uid="{7A40B29A-252B-4FE6-95C1-9A0384B1A8DE}"/>
    <cellStyle name="Normal 4 2 5 5 2 2 3" xfId="25015" xr:uid="{E16C7B51-797C-4323-8DCE-1E1AF9046BE6}"/>
    <cellStyle name="Normal 4 2 5 5 2 2 4" xfId="16574" xr:uid="{69A87105-8131-4BC3-8AB1-A933ADD7E48E}"/>
    <cellStyle name="Normal 4 2 5 5 2 3" xfId="29238" xr:uid="{6D56DFF0-01A7-4919-AF97-51934739DE76}"/>
    <cellStyle name="Normal 4 2 5 5 2 4" xfId="20797" xr:uid="{00D33251-2EB1-4DE2-874A-39C6A6319A21}"/>
    <cellStyle name="Normal 4 2 5 5 2 5" xfId="12356" xr:uid="{5F2CE276-9E2F-43B9-9C4C-6643788F3F63}"/>
    <cellStyle name="Normal 4 2 5 5 3" xfId="5979" xr:uid="{00000000-0005-0000-0000-0000EB130000}"/>
    <cellStyle name="Normal 4 2 5 5 3 2" xfId="31311" xr:uid="{F0D39C4B-BD8C-4375-AF4C-6D4F4C48D838}"/>
    <cellStyle name="Normal 4 2 5 5 3 3" xfId="22870" xr:uid="{85782C4F-B759-4F74-AB59-82D7FA22E847}"/>
    <cellStyle name="Normal 4 2 5 5 3 4" xfId="14429" xr:uid="{8FCCCAE9-5101-43F1-9E04-57ADDBFFE34F}"/>
    <cellStyle name="Normal 4 2 5 5 4" xfId="27093" xr:uid="{3657CB5C-F72F-40E4-AA2F-C21404285157}"/>
    <cellStyle name="Normal 4 2 5 5 5" xfId="18652" xr:uid="{EA6227A9-CE54-47BD-9549-330423478243}"/>
    <cellStyle name="Normal 4 2 5 5 6" xfId="10211" xr:uid="{80E04A30-B8A4-4896-B890-F31ADAE06DEE}"/>
    <cellStyle name="Normal 4 2 5 6" xfId="2086" xr:uid="{00000000-0005-0000-0000-0000EC130000}"/>
    <cellStyle name="Normal 4 2 5 6 2" xfId="4315" xr:uid="{00000000-0005-0000-0000-0000ED130000}"/>
    <cellStyle name="Normal 4 2 5 6 2 2" xfId="8537" xr:uid="{00000000-0005-0000-0000-0000EE130000}"/>
    <cellStyle name="Normal 4 2 5 6 2 2 2" xfId="33869" xr:uid="{A4CF109F-A5F0-4AAD-B507-59BA6E23F217}"/>
    <cellStyle name="Normal 4 2 5 6 2 2 3" xfId="25428" xr:uid="{5C8B57B5-DE66-4B25-9E7A-E95BF2917CCD}"/>
    <cellStyle name="Normal 4 2 5 6 2 2 4" xfId="16987" xr:uid="{A0836A13-AFBA-4181-A400-C2E1AA18D7B9}"/>
    <cellStyle name="Normal 4 2 5 6 2 3" xfId="29651" xr:uid="{70B87508-F3DC-4406-878A-0A19844358DD}"/>
    <cellStyle name="Normal 4 2 5 6 2 4" xfId="21210" xr:uid="{B159BD78-7FA3-42FA-ACD0-FD3BD3E21EA5}"/>
    <cellStyle name="Normal 4 2 5 6 2 5" xfId="12769" xr:uid="{F8AEF034-86E7-4641-B931-199BE6BC17E4}"/>
    <cellStyle name="Normal 4 2 5 6 3" xfId="6392" xr:uid="{00000000-0005-0000-0000-0000EF130000}"/>
    <cellStyle name="Normal 4 2 5 6 3 2" xfId="31724" xr:uid="{9C5754F1-7236-4CDB-88FE-78B6BDBC8CB8}"/>
    <cellStyle name="Normal 4 2 5 6 3 3" xfId="23283" xr:uid="{A481ABD9-2E53-4EBF-98A8-96F930E6A9AC}"/>
    <cellStyle name="Normal 4 2 5 6 3 4" xfId="14842" xr:uid="{53F75D75-8BA4-499D-AA87-FD5D4821041F}"/>
    <cellStyle name="Normal 4 2 5 6 4" xfId="27506" xr:uid="{FB19432A-0F11-44CA-B033-DFEEF6A40B29}"/>
    <cellStyle name="Normal 4 2 5 6 5" xfId="19065" xr:uid="{1F46777F-C835-498B-844E-0928C47C5366}"/>
    <cellStyle name="Normal 4 2 5 6 6" xfId="10624" xr:uid="{1DDDA42C-1AC3-4257-AE36-6D5CB75C11E6}"/>
    <cellStyle name="Normal 4 2 5 7" xfId="2522" xr:uid="{00000000-0005-0000-0000-0000F0130000}"/>
    <cellStyle name="Normal 4 2 5 7 2" xfId="6805" xr:uid="{00000000-0005-0000-0000-0000F1130000}"/>
    <cellStyle name="Normal 4 2 5 7 2 2" xfId="32137" xr:uid="{9561BF18-4115-44F3-A128-17C85ECB0676}"/>
    <cellStyle name="Normal 4 2 5 7 2 3" xfId="23696" xr:uid="{1BFE3C9E-DF04-4732-B5CA-7F88DA0E6467}"/>
    <cellStyle name="Normal 4 2 5 7 2 4" xfId="15255" xr:uid="{900460A3-CF50-4B93-8C6C-38E5FB16FF14}"/>
    <cellStyle name="Normal 4 2 5 7 3" xfId="27919" xr:uid="{318F4F73-06E4-4B17-BC2D-3EE565275DB0}"/>
    <cellStyle name="Normal 4 2 5 7 4" xfId="19478" xr:uid="{42C441D8-F218-468E-8C5C-1E19708CBB45}"/>
    <cellStyle name="Normal 4 2 5 7 5" xfId="11037" xr:uid="{CDB6EBBC-2690-4B91-BA63-9DFFA9D6FC81}"/>
    <cellStyle name="Normal 4 2 5 8" xfId="4740" xr:uid="{00000000-0005-0000-0000-0000F2130000}"/>
    <cellStyle name="Normal 4 2 5 8 2" xfId="30072" xr:uid="{0534C89F-09BA-4E3D-AF40-59A421D33793}"/>
    <cellStyle name="Normal 4 2 5 8 3" xfId="21631" xr:uid="{61FA4727-E6C1-48E5-9F29-448C7637B31A}"/>
    <cellStyle name="Normal 4 2 5 8 4" xfId="13190" xr:uid="{2467421B-BDB0-410F-BEDA-0DD75A5B2959}"/>
    <cellStyle name="Normal 4 2 5 9" xfId="25854" xr:uid="{1CFD790F-807E-4B62-8FA9-41D56419D277}"/>
    <cellStyle name="Normal 4 2 6" xfId="365" xr:uid="{00000000-0005-0000-0000-0000F3130000}"/>
    <cellStyle name="Normal 4 2 6 10" xfId="8974" xr:uid="{62391451-6413-4715-AA31-9A17D0C4A79A}"/>
    <cellStyle name="Normal 4 2 6 2" xfId="841" xr:uid="{00000000-0005-0000-0000-0000F4130000}"/>
    <cellStyle name="Normal 4 2 6 2 2" xfId="3078" xr:uid="{00000000-0005-0000-0000-0000F5130000}"/>
    <cellStyle name="Normal 4 2 6 2 2 2" xfId="7300" xr:uid="{00000000-0005-0000-0000-0000F6130000}"/>
    <cellStyle name="Normal 4 2 6 2 2 2 2" xfId="32632" xr:uid="{FCC6D6A7-A76D-47EA-96C1-4A1BECD97919}"/>
    <cellStyle name="Normal 4 2 6 2 2 2 3" xfId="24191" xr:uid="{745100FA-D8BD-4E0B-BE18-504B9855C756}"/>
    <cellStyle name="Normal 4 2 6 2 2 2 4" xfId="15750" xr:uid="{69DB05CD-F154-41BF-B741-7623E634E8E8}"/>
    <cellStyle name="Normal 4 2 6 2 2 3" xfId="28414" xr:uid="{37978DCF-8F78-4E29-AF95-172A211429B6}"/>
    <cellStyle name="Normal 4 2 6 2 2 4" xfId="19973" xr:uid="{F0ED50C7-9BBF-48BE-975B-2D3EED334BBB}"/>
    <cellStyle name="Normal 4 2 6 2 2 5" xfId="11532" xr:uid="{F9EA8DAB-1A54-4726-8B31-C1CC7E55E37D}"/>
    <cellStyle name="Normal 4 2 6 2 3" xfId="5155" xr:uid="{00000000-0005-0000-0000-0000F7130000}"/>
    <cellStyle name="Normal 4 2 6 2 3 2" xfId="30487" xr:uid="{172BFA2F-9897-4662-A5A0-6A8D7FF59F21}"/>
    <cellStyle name="Normal 4 2 6 2 3 3" xfId="22046" xr:uid="{3F62A677-72F8-41BD-B39B-2F212AC997E1}"/>
    <cellStyle name="Normal 4 2 6 2 3 4" xfId="13605" xr:uid="{499D6060-C204-4A23-9436-25DDBCA695B8}"/>
    <cellStyle name="Normal 4 2 6 2 4" xfId="26269" xr:uid="{E4DA6D9E-3115-4FAE-88F2-87694A9E94DC}"/>
    <cellStyle name="Normal 4 2 6 2 5" xfId="17828" xr:uid="{D0D82011-B19D-44AF-B4A4-85A74CA74A60}"/>
    <cellStyle name="Normal 4 2 6 2 6" xfId="9387" xr:uid="{9CEF61E5-9E61-439E-9B88-B9E4DC67899B}"/>
    <cellStyle name="Normal 4 2 6 3" xfId="1261" xr:uid="{00000000-0005-0000-0000-0000F8130000}"/>
    <cellStyle name="Normal 4 2 6 3 2" xfId="3491" xr:uid="{00000000-0005-0000-0000-0000F9130000}"/>
    <cellStyle name="Normal 4 2 6 3 2 2" xfId="7713" xr:uid="{00000000-0005-0000-0000-0000FA130000}"/>
    <cellStyle name="Normal 4 2 6 3 2 2 2" xfId="33045" xr:uid="{26A12D42-5F1E-40D4-A7A6-1367BB0C1B63}"/>
    <cellStyle name="Normal 4 2 6 3 2 2 3" xfId="24604" xr:uid="{D42828E1-970A-4471-B152-17713A70A462}"/>
    <cellStyle name="Normal 4 2 6 3 2 2 4" xfId="16163" xr:uid="{9AE2C62E-9660-435E-A7AA-DC2EE0F0A87C}"/>
    <cellStyle name="Normal 4 2 6 3 2 3" xfId="28827" xr:uid="{4713554F-260D-4F4D-B776-407B7CBAB074}"/>
    <cellStyle name="Normal 4 2 6 3 2 4" xfId="20386" xr:uid="{D9244D13-DC27-4A76-8FA6-89B610FCB225}"/>
    <cellStyle name="Normal 4 2 6 3 2 5" xfId="11945" xr:uid="{6A2AD483-F935-49AE-9388-096A64244199}"/>
    <cellStyle name="Normal 4 2 6 3 3" xfId="5568" xr:uid="{00000000-0005-0000-0000-0000FB130000}"/>
    <cellStyle name="Normal 4 2 6 3 3 2" xfId="30900" xr:uid="{03DA5066-C1D7-4650-A4A1-168BF519834C}"/>
    <cellStyle name="Normal 4 2 6 3 3 3" xfId="22459" xr:uid="{1DB12CBD-CFA3-4C98-A0B7-B6AB4E45E1C4}"/>
    <cellStyle name="Normal 4 2 6 3 3 4" xfId="14018" xr:uid="{C7513298-1CEB-4DE7-8CFB-68FFEABAD925}"/>
    <cellStyle name="Normal 4 2 6 3 4" xfId="26682" xr:uid="{C425F484-B6CE-4830-BF2D-C20F2F0C1889}"/>
    <cellStyle name="Normal 4 2 6 3 5" xfId="18241" xr:uid="{4456CD16-2A75-40BC-A1DC-404DE597BC41}"/>
    <cellStyle name="Normal 4 2 6 3 6" xfId="9800" xr:uid="{77CAF54E-535B-4495-ADC5-B46F7278A955}"/>
    <cellStyle name="Normal 4 2 6 4" xfId="1674" xr:uid="{00000000-0005-0000-0000-0000FC130000}"/>
    <cellStyle name="Normal 4 2 6 4 2" xfId="3904" xr:uid="{00000000-0005-0000-0000-0000FD130000}"/>
    <cellStyle name="Normal 4 2 6 4 2 2" xfId="8126" xr:uid="{00000000-0005-0000-0000-0000FE130000}"/>
    <cellStyle name="Normal 4 2 6 4 2 2 2" xfId="33458" xr:uid="{61F87006-4B78-4081-838A-A7B4F8A7C787}"/>
    <cellStyle name="Normal 4 2 6 4 2 2 3" xfId="25017" xr:uid="{01A5E5F1-5483-45F2-BC72-A0F80CDE61C2}"/>
    <cellStyle name="Normal 4 2 6 4 2 2 4" xfId="16576" xr:uid="{F1DD2B12-D65E-4685-98B1-2CE0C2589DE0}"/>
    <cellStyle name="Normal 4 2 6 4 2 3" xfId="29240" xr:uid="{14196569-D960-4EBA-B94C-32DC2C553136}"/>
    <cellStyle name="Normal 4 2 6 4 2 4" xfId="20799" xr:uid="{D6AC4768-A003-41A7-9547-FA98F9B1E864}"/>
    <cellStyle name="Normal 4 2 6 4 2 5" xfId="12358" xr:uid="{EAF2E3D9-E5F9-483A-90C7-732BF48F981E}"/>
    <cellStyle name="Normal 4 2 6 4 3" xfId="5981" xr:uid="{00000000-0005-0000-0000-0000FF130000}"/>
    <cellStyle name="Normal 4 2 6 4 3 2" xfId="31313" xr:uid="{EC584A7B-5F14-47C0-A930-2D96E1D5BFB3}"/>
    <cellStyle name="Normal 4 2 6 4 3 3" xfId="22872" xr:uid="{DF94E40A-A400-4451-B7F0-EEED86565317}"/>
    <cellStyle name="Normal 4 2 6 4 3 4" xfId="14431" xr:uid="{54C7B41E-82EB-4B32-A457-6A9122F0D578}"/>
    <cellStyle name="Normal 4 2 6 4 4" xfId="27095" xr:uid="{C27B9A56-EDB8-41A1-A70B-98AA9B049480}"/>
    <cellStyle name="Normal 4 2 6 4 5" xfId="18654" xr:uid="{281959CB-DBE1-49FA-BB3A-5F875DEAFF0B}"/>
    <cellStyle name="Normal 4 2 6 4 6" xfId="10213" xr:uid="{3DC00B37-DBE0-4C92-A8C7-EA1173CB8722}"/>
    <cellStyle name="Normal 4 2 6 5" xfId="2088" xr:uid="{00000000-0005-0000-0000-000000140000}"/>
    <cellStyle name="Normal 4 2 6 5 2" xfId="4317" xr:uid="{00000000-0005-0000-0000-000001140000}"/>
    <cellStyle name="Normal 4 2 6 5 2 2" xfId="8539" xr:uid="{00000000-0005-0000-0000-000002140000}"/>
    <cellStyle name="Normal 4 2 6 5 2 2 2" xfId="33871" xr:uid="{66260C75-F6D8-4BC1-B7E4-455D64D88AA8}"/>
    <cellStyle name="Normal 4 2 6 5 2 2 3" xfId="25430" xr:uid="{6DD7AF6F-EB19-4E0E-8B6A-2619877AD829}"/>
    <cellStyle name="Normal 4 2 6 5 2 2 4" xfId="16989" xr:uid="{1A508335-7E5C-421B-9D2C-DA19F1815482}"/>
    <cellStyle name="Normal 4 2 6 5 2 3" xfId="29653" xr:uid="{9D8D9E87-FCAA-4A93-8423-4C2758539F77}"/>
    <cellStyle name="Normal 4 2 6 5 2 4" xfId="21212" xr:uid="{33EBED65-3ED4-4637-8AD0-293110EF4F3F}"/>
    <cellStyle name="Normal 4 2 6 5 2 5" xfId="12771" xr:uid="{ED99E4B6-F602-43E4-9F57-D5DEFF876D17}"/>
    <cellStyle name="Normal 4 2 6 5 3" xfId="6394" xr:uid="{00000000-0005-0000-0000-000003140000}"/>
    <cellStyle name="Normal 4 2 6 5 3 2" xfId="31726" xr:uid="{1F5EC5A6-FABA-4026-B1CD-EB14839A2843}"/>
    <cellStyle name="Normal 4 2 6 5 3 3" xfId="23285" xr:uid="{F8C84B35-B98F-4321-A1F3-359FF6F9AB0D}"/>
    <cellStyle name="Normal 4 2 6 5 3 4" xfId="14844" xr:uid="{C3BDEA2A-D191-4B69-BD00-5CCBBC9AB9C5}"/>
    <cellStyle name="Normal 4 2 6 5 4" xfId="27508" xr:uid="{2346B27A-6B93-4C15-B8D4-4CDE98E194E8}"/>
    <cellStyle name="Normal 4 2 6 5 5" xfId="19067" xr:uid="{2CBBBC39-E93A-4B9A-A89F-FF8602DCD0B9}"/>
    <cellStyle name="Normal 4 2 6 5 6" xfId="10626" xr:uid="{37B619DC-1E2A-4107-A0C4-67E6BE384D49}"/>
    <cellStyle name="Normal 4 2 6 6" xfId="2524" xr:uid="{00000000-0005-0000-0000-000004140000}"/>
    <cellStyle name="Normal 4 2 6 6 2" xfId="6807" xr:uid="{00000000-0005-0000-0000-000005140000}"/>
    <cellStyle name="Normal 4 2 6 6 2 2" xfId="32139" xr:uid="{A96E9AE6-09F8-4A7C-A275-DDA16235304D}"/>
    <cellStyle name="Normal 4 2 6 6 2 3" xfId="23698" xr:uid="{D09391C8-8F6F-40D4-97FE-3EACD6A505CD}"/>
    <cellStyle name="Normal 4 2 6 6 2 4" xfId="15257" xr:uid="{0FC9D4A3-EF4C-4BC6-BB93-F9C758246294}"/>
    <cellStyle name="Normal 4 2 6 6 3" xfId="27921" xr:uid="{57B5BD9A-AD44-41A6-9BDD-BE354D5546EE}"/>
    <cellStyle name="Normal 4 2 6 6 4" xfId="19480" xr:uid="{3EA7646D-D4EB-43D2-A18E-881A71558B73}"/>
    <cellStyle name="Normal 4 2 6 6 5" xfId="11039" xr:uid="{4AB69078-6942-401A-AFEA-1860FC5A5506}"/>
    <cellStyle name="Normal 4 2 6 7" xfId="4742" xr:uid="{00000000-0005-0000-0000-000006140000}"/>
    <cellStyle name="Normal 4 2 6 7 2" xfId="30074" xr:uid="{5F8F5DC3-A5AC-467E-9A5F-2D6BFEE47506}"/>
    <cellStyle name="Normal 4 2 6 7 3" xfId="21633" xr:uid="{7794A0CB-E8A8-4082-80D7-6DD3C7FCA79B}"/>
    <cellStyle name="Normal 4 2 6 7 4" xfId="13192" xr:uid="{1529F3EA-4B8C-4BC1-90E8-88E4F159C76E}"/>
    <cellStyle name="Normal 4 2 6 8" xfId="25856" xr:uid="{4C4DE42F-2B56-4D8C-B77E-DF803533B3F4}"/>
    <cellStyle name="Normal 4 2 6 9" xfId="17415" xr:uid="{D2F2E83E-D5C6-4F68-A2D4-BB78026BB1E8}"/>
    <cellStyle name="Normal 4 3" xfId="366" xr:uid="{00000000-0005-0000-0000-000007140000}"/>
    <cellStyle name="Normal 4 3 10" xfId="25857" xr:uid="{A27C4CBC-095A-4285-81AE-419FDF4D15CF}"/>
    <cellStyle name="Normal 4 3 11" xfId="17416" xr:uid="{834D397D-60BB-4CE3-B30D-75C545F152C2}"/>
    <cellStyle name="Normal 4 3 12" xfId="8975" xr:uid="{E5D00A5A-E690-4E60-957B-3EAFC83589E7}"/>
    <cellStyle name="Normal 4 3 2" xfId="367" xr:uid="{00000000-0005-0000-0000-000008140000}"/>
    <cellStyle name="Normal 4 3 2 2" xfId="368" xr:uid="{00000000-0005-0000-0000-000009140000}"/>
    <cellStyle name="Normal 4 3 2 2 2" xfId="369" xr:uid="{00000000-0005-0000-0000-00000A140000}"/>
    <cellStyle name="Normal 4 3 2 2 2 10" xfId="25858" xr:uid="{0D8A7C41-7D5F-44B8-8800-774C6A06BA0C}"/>
    <cellStyle name="Normal 4 3 2 2 2 11" xfId="17417" xr:uid="{F9DDEA99-B805-4786-982B-1AB0EB96057B}"/>
    <cellStyle name="Normal 4 3 2 2 2 12" xfId="8976" xr:uid="{4DD154FA-8F80-41D6-9883-1DCCBF94FAA3}"/>
    <cellStyle name="Normal 4 3 2 2 2 2" xfId="370" xr:uid="{00000000-0005-0000-0000-00000B140000}"/>
    <cellStyle name="Normal 4 3 2 2 2 2 10" xfId="17418" xr:uid="{FC3A874D-5563-4150-8E43-3C6C2432A456}"/>
    <cellStyle name="Normal 4 3 2 2 2 2 11" xfId="8977" xr:uid="{9BD31757-78E5-4C9F-8AAF-C3C121D14B0E}"/>
    <cellStyle name="Normal 4 3 2 2 2 2 2" xfId="371" xr:uid="{00000000-0005-0000-0000-00000C140000}"/>
    <cellStyle name="Normal 4 3 2 2 2 2 2 10" xfId="8978" xr:uid="{E3975235-7808-4AE8-BBC7-43053612B32D}"/>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2 2 2" xfId="32636" xr:uid="{B54CBC79-D459-452C-9BD6-81E23BBA24B6}"/>
    <cellStyle name="Normal 4 3 2 2 2 2 2 2 2 2 3" xfId="24195" xr:uid="{18B1B929-28EA-4A00-AA86-742706B8D649}"/>
    <cellStyle name="Normal 4 3 2 2 2 2 2 2 2 2 4" xfId="15754" xr:uid="{8FE0A7A7-9207-4CB5-BBBA-BEF18B37D017}"/>
    <cellStyle name="Normal 4 3 2 2 2 2 2 2 2 3" xfId="28418" xr:uid="{6957E1B5-0BC1-4E8F-ABEE-22DC752216B8}"/>
    <cellStyle name="Normal 4 3 2 2 2 2 2 2 2 4" xfId="19977" xr:uid="{E8BC5B85-089B-467E-86DC-D1DD0A8045E0}"/>
    <cellStyle name="Normal 4 3 2 2 2 2 2 2 2 5" xfId="11536" xr:uid="{3860B357-2BD5-4BCD-8EDF-83F40584E967}"/>
    <cellStyle name="Normal 4 3 2 2 2 2 2 2 3" xfId="5159" xr:uid="{00000000-0005-0000-0000-000010140000}"/>
    <cellStyle name="Normal 4 3 2 2 2 2 2 2 3 2" xfId="30491" xr:uid="{BD13C79C-30D6-4951-9339-28EBE21C1330}"/>
    <cellStyle name="Normal 4 3 2 2 2 2 2 2 3 3" xfId="22050" xr:uid="{E39AA9B3-CA6F-40C3-A734-8A99AA32BE0E}"/>
    <cellStyle name="Normal 4 3 2 2 2 2 2 2 3 4" xfId="13609" xr:uid="{A85658A9-3B2D-4996-9CF7-9F4B5CB65BF2}"/>
    <cellStyle name="Normal 4 3 2 2 2 2 2 2 4" xfId="26273" xr:uid="{AA906AD1-3792-457D-B12A-83951AD2EF6D}"/>
    <cellStyle name="Normal 4 3 2 2 2 2 2 2 5" xfId="17832" xr:uid="{CC5AE605-8974-4F8B-89F2-69A6139012CA}"/>
    <cellStyle name="Normal 4 3 2 2 2 2 2 2 6" xfId="9391" xr:uid="{1A80B916-256D-4584-B430-D397E690DBC2}"/>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2 2 2" xfId="33049" xr:uid="{85C338D9-3EBF-42C2-A764-637D5EAF4AD5}"/>
    <cellStyle name="Normal 4 3 2 2 2 2 2 3 2 2 3" xfId="24608" xr:uid="{3424FA5F-6CC9-44E0-9C13-E1214F366D94}"/>
    <cellStyle name="Normal 4 3 2 2 2 2 2 3 2 2 4" xfId="16167" xr:uid="{2A2FE47E-BC13-44C8-BE24-FF6499A7D906}"/>
    <cellStyle name="Normal 4 3 2 2 2 2 2 3 2 3" xfId="28831" xr:uid="{8B2010AB-5F38-4059-8A8A-2A1FEFC62C17}"/>
    <cellStyle name="Normal 4 3 2 2 2 2 2 3 2 4" xfId="20390" xr:uid="{140409C5-D664-4EA5-8C00-C818E0C3BBE9}"/>
    <cellStyle name="Normal 4 3 2 2 2 2 2 3 2 5" xfId="11949" xr:uid="{7206B58C-F7C4-483D-86FB-0F9CB3DFD6CD}"/>
    <cellStyle name="Normal 4 3 2 2 2 2 2 3 3" xfId="5572" xr:uid="{00000000-0005-0000-0000-000014140000}"/>
    <cellStyle name="Normal 4 3 2 2 2 2 2 3 3 2" xfId="30904" xr:uid="{3852598D-DB7D-482E-B8A1-1D0C574B0823}"/>
    <cellStyle name="Normal 4 3 2 2 2 2 2 3 3 3" xfId="22463" xr:uid="{258B46C3-1123-4168-A0DD-0BB50BCB019F}"/>
    <cellStyle name="Normal 4 3 2 2 2 2 2 3 3 4" xfId="14022" xr:uid="{7559E7E0-1E19-41F6-8583-FF342824CBAC}"/>
    <cellStyle name="Normal 4 3 2 2 2 2 2 3 4" xfId="26686" xr:uid="{86523987-B2B7-436D-9667-525D9DC51320}"/>
    <cellStyle name="Normal 4 3 2 2 2 2 2 3 5" xfId="18245" xr:uid="{45365BBC-4E4D-41E4-A4BF-9A2F2A0E084B}"/>
    <cellStyle name="Normal 4 3 2 2 2 2 2 3 6" xfId="9804" xr:uid="{DFB9219A-5903-401E-A9C9-79A01C13564B}"/>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2 2 2" xfId="33462" xr:uid="{1B17EC69-4EE3-4BE9-B9CB-5AC00B9D3772}"/>
    <cellStyle name="Normal 4 3 2 2 2 2 2 4 2 2 3" xfId="25021" xr:uid="{B7491B4C-D29A-4DB3-B1D0-AC6424B105F2}"/>
    <cellStyle name="Normal 4 3 2 2 2 2 2 4 2 2 4" xfId="16580" xr:uid="{7236E802-3AEE-4E44-87A9-CBE0DA27533B}"/>
    <cellStyle name="Normal 4 3 2 2 2 2 2 4 2 3" xfId="29244" xr:uid="{0EBD53F1-7E7D-48EC-A53A-7D6ECAFAB695}"/>
    <cellStyle name="Normal 4 3 2 2 2 2 2 4 2 4" xfId="20803" xr:uid="{85F5241F-6CEF-4A5C-A25B-9EFB643DDB17}"/>
    <cellStyle name="Normal 4 3 2 2 2 2 2 4 2 5" xfId="12362" xr:uid="{B484414E-35B5-41A6-BBA3-133B821EC0E8}"/>
    <cellStyle name="Normal 4 3 2 2 2 2 2 4 3" xfId="5985" xr:uid="{00000000-0005-0000-0000-000018140000}"/>
    <cellStyle name="Normal 4 3 2 2 2 2 2 4 3 2" xfId="31317" xr:uid="{CA5091DE-10E0-46BC-82AF-1D0B32634484}"/>
    <cellStyle name="Normal 4 3 2 2 2 2 2 4 3 3" xfId="22876" xr:uid="{FB5CAD0F-D32B-4FCA-B97F-70A4B1A4A56A}"/>
    <cellStyle name="Normal 4 3 2 2 2 2 2 4 3 4" xfId="14435" xr:uid="{FE45113D-5F9E-496B-A08D-6A6169A777DF}"/>
    <cellStyle name="Normal 4 3 2 2 2 2 2 4 4" xfId="27099" xr:uid="{FCFD7770-E91F-4A9D-96FF-6B5440FDF838}"/>
    <cellStyle name="Normal 4 3 2 2 2 2 2 4 5" xfId="18658" xr:uid="{1E57D848-B630-4B47-B00D-74B9945F2D64}"/>
    <cellStyle name="Normal 4 3 2 2 2 2 2 4 6" xfId="10217" xr:uid="{4898C267-1254-4791-A986-40767437DC5D}"/>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2 2 2" xfId="33875" xr:uid="{74F25A30-606C-4394-B2C3-ACF2790AAFE0}"/>
    <cellStyle name="Normal 4 3 2 2 2 2 2 5 2 2 3" xfId="25434" xr:uid="{FBAC2669-5638-41B2-8A24-B94243C918B2}"/>
    <cellStyle name="Normal 4 3 2 2 2 2 2 5 2 2 4" xfId="16993" xr:uid="{31561EC2-90C5-403E-B49A-204899477202}"/>
    <cellStyle name="Normal 4 3 2 2 2 2 2 5 2 3" xfId="29657" xr:uid="{92E04EAD-F8BE-45DE-8320-D666ADE53F80}"/>
    <cellStyle name="Normal 4 3 2 2 2 2 2 5 2 4" xfId="21216" xr:uid="{9E92F827-F8CF-465D-A416-C2B966C3887A}"/>
    <cellStyle name="Normal 4 3 2 2 2 2 2 5 2 5" xfId="12775" xr:uid="{97B4E80C-92C4-436D-B78D-CAD6F0A43033}"/>
    <cellStyle name="Normal 4 3 2 2 2 2 2 5 3" xfId="6398" xr:uid="{00000000-0005-0000-0000-00001C140000}"/>
    <cellStyle name="Normal 4 3 2 2 2 2 2 5 3 2" xfId="31730" xr:uid="{D3A0AE6B-07BA-48D8-A9A1-E9EE9E0D45B7}"/>
    <cellStyle name="Normal 4 3 2 2 2 2 2 5 3 3" xfId="23289" xr:uid="{8D8E20FB-251D-49A4-B507-2F0DDCEC5B5C}"/>
    <cellStyle name="Normal 4 3 2 2 2 2 2 5 3 4" xfId="14848" xr:uid="{76547934-2445-4DAD-B7CA-5829A7632B07}"/>
    <cellStyle name="Normal 4 3 2 2 2 2 2 5 4" xfId="27512" xr:uid="{36A273C3-492B-4724-8C1E-C771325004E1}"/>
    <cellStyle name="Normal 4 3 2 2 2 2 2 5 5" xfId="19071" xr:uid="{1869F38A-97E8-4E48-AB59-F96FFF463DAC}"/>
    <cellStyle name="Normal 4 3 2 2 2 2 2 5 6" xfId="10630" xr:uid="{4EB66737-0EC2-4C38-B78E-7B55DF8C9652}"/>
    <cellStyle name="Normal 4 3 2 2 2 2 2 6" xfId="2528" xr:uid="{00000000-0005-0000-0000-00001D140000}"/>
    <cellStyle name="Normal 4 3 2 2 2 2 2 6 2" xfId="6811" xr:uid="{00000000-0005-0000-0000-00001E140000}"/>
    <cellStyle name="Normal 4 3 2 2 2 2 2 6 2 2" xfId="32143" xr:uid="{6BB4AF40-1F09-45B8-94A2-2429302E8BFF}"/>
    <cellStyle name="Normal 4 3 2 2 2 2 2 6 2 3" xfId="23702" xr:uid="{FC280C3D-B97B-4736-83F8-EC7CA30150AB}"/>
    <cellStyle name="Normal 4 3 2 2 2 2 2 6 2 4" xfId="15261" xr:uid="{55E9F4F7-489C-4C25-AE64-E756A6389724}"/>
    <cellStyle name="Normal 4 3 2 2 2 2 2 6 3" xfId="27925" xr:uid="{A0C4550E-C39F-4B89-B374-7A6EC861153B}"/>
    <cellStyle name="Normal 4 3 2 2 2 2 2 6 4" xfId="19484" xr:uid="{9D73A329-07A5-4963-BF28-11B25919ACD7}"/>
    <cellStyle name="Normal 4 3 2 2 2 2 2 6 5" xfId="11043" xr:uid="{9B27880A-4462-40F9-A2A2-562996B1C502}"/>
    <cellStyle name="Normal 4 3 2 2 2 2 2 7" xfId="4746" xr:uid="{00000000-0005-0000-0000-00001F140000}"/>
    <cellStyle name="Normal 4 3 2 2 2 2 2 7 2" xfId="30078" xr:uid="{CAAA49E6-9CAE-45A8-B6AD-395DC7E09A2C}"/>
    <cellStyle name="Normal 4 3 2 2 2 2 2 7 3" xfId="21637" xr:uid="{A40D277A-D46E-4D28-86FE-A4FB41514590}"/>
    <cellStyle name="Normal 4 3 2 2 2 2 2 7 4" xfId="13196" xr:uid="{9015CA93-AD72-4CAE-BCA8-FE016C6B9228}"/>
    <cellStyle name="Normal 4 3 2 2 2 2 2 8" xfId="25860" xr:uid="{D621E0B4-158F-4EAC-84E4-8842E4237ED2}"/>
    <cellStyle name="Normal 4 3 2 2 2 2 2 9" xfId="17419" xr:uid="{2A542B11-F0D0-4238-8155-3829EA70AED4}"/>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2 2 2" xfId="32635" xr:uid="{C16CF035-9728-4403-886B-1ED5E373FE0D}"/>
    <cellStyle name="Normal 4 3 2 2 2 2 3 2 2 3" xfId="24194" xr:uid="{19745301-C18C-40ED-80A4-0696F81DC9AA}"/>
    <cellStyle name="Normal 4 3 2 2 2 2 3 2 2 4" xfId="15753" xr:uid="{CF967D92-B4B5-430A-9873-533A7C7350D7}"/>
    <cellStyle name="Normal 4 3 2 2 2 2 3 2 3" xfId="28417" xr:uid="{22343564-B6E0-4FAF-924F-EE1C940EF3FB}"/>
    <cellStyle name="Normal 4 3 2 2 2 2 3 2 4" xfId="19976" xr:uid="{91088D3D-102F-49C0-8C88-5AE9E93E79AB}"/>
    <cellStyle name="Normal 4 3 2 2 2 2 3 2 5" xfId="11535" xr:uid="{05EFE20D-BF4E-49FF-93DA-6AF83E84FFD6}"/>
    <cellStyle name="Normal 4 3 2 2 2 2 3 3" xfId="5158" xr:uid="{00000000-0005-0000-0000-000023140000}"/>
    <cellStyle name="Normal 4 3 2 2 2 2 3 3 2" xfId="30490" xr:uid="{3BB6689B-4809-4C9C-9462-9A5B3B385C17}"/>
    <cellStyle name="Normal 4 3 2 2 2 2 3 3 3" xfId="22049" xr:uid="{FBAC5E7A-02F7-46FF-8118-887E0A8798D2}"/>
    <cellStyle name="Normal 4 3 2 2 2 2 3 3 4" xfId="13608" xr:uid="{698C0CEA-04FB-4F27-ABFE-A07CDF4DACD9}"/>
    <cellStyle name="Normal 4 3 2 2 2 2 3 4" xfId="26272" xr:uid="{FD0B9026-09E8-45FE-A8E8-A8230F25F4A8}"/>
    <cellStyle name="Normal 4 3 2 2 2 2 3 5" xfId="17831" xr:uid="{3B3ED970-3C73-45A9-B8D5-DFC92D7826D9}"/>
    <cellStyle name="Normal 4 3 2 2 2 2 3 6" xfId="9390" xr:uid="{D8651D16-D001-461A-8978-89DD28BC2BBC}"/>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2 2 2" xfId="33048" xr:uid="{353B28C7-878E-4EC0-88CD-4385850CA40D}"/>
    <cellStyle name="Normal 4 3 2 2 2 2 4 2 2 3" xfId="24607" xr:uid="{57C89256-D2F7-43B8-87A9-8B424046F52E}"/>
    <cellStyle name="Normal 4 3 2 2 2 2 4 2 2 4" xfId="16166" xr:uid="{A3F51DD5-1614-497C-BCF6-B1CAA57817CF}"/>
    <cellStyle name="Normal 4 3 2 2 2 2 4 2 3" xfId="28830" xr:uid="{817001E2-7EFE-47EF-BC35-4CFD6808AC0D}"/>
    <cellStyle name="Normal 4 3 2 2 2 2 4 2 4" xfId="20389" xr:uid="{FCECED6A-3244-4CF6-A1EB-40FF16D844B3}"/>
    <cellStyle name="Normal 4 3 2 2 2 2 4 2 5" xfId="11948" xr:uid="{A6814512-1784-46AF-AF25-21C5C1680E62}"/>
    <cellStyle name="Normal 4 3 2 2 2 2 4 3" xfId="5571" xr:uid="{00000000-0005-0000-0000-000027140000}"/>
    <cellStyle name="Normal 4 3 2 2 2 2 4 3 2" xfId="30903" xr:uid="{DC9F93D3-315D-47C2-9DBD-04FAE079925C}"/>
    <cellStyle name="Normal 4 3 2 2 2 2 4 3 3" xfId="22462" xr:uid="{677A4A7D-1633-4C28-A79A-08D0B6407B7B}"/>
    <cellStyle name="Normal 4 3 2 2 2 2 4 3 4" xfId="14021" xr:uid="{38059F9F-6BD0-4EC9-9DE1-E71962333B1F}"/>
    <cellStyle name="Normal 4 3 2 2 2 2 4 4" xfId="26685" xr:uid="{B02C102F-FEA9-479A-8D87-F5C5E1895042}"/>
    <cellStyle name="Normal 4 3 2 2 2 2 4 5" xfId="18244" xr:uid="{F8673132-3678-45A0-B24F-BD7458E3C74B}"/>
    <cellStyle name="Normal 4 3 2 2 2 2 4 6" xfId="9803" xr:uid="{02CD2FDB-82AE-4D0F-80F4-EACBEDE39B8B}"/>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2 2 2" xfId="33461" xr:uid="{30252FF2-1B1C-4878-BFEC-3FF351766EA2}"/>
    <cellStyle name="Normal 4 3 2 2 2 2 5 2 2 3" xfId="25020" xr:uid="{E68645FC-B7CF-4147-B15D-A5B3FFDCB580}"/>
    <cellStyle name="Normal 4 3 2 2 2 2 5 2 2 4" xfId="16579" xr:uid="{D2F6D355-349E-4365-B525-539A7628D9A8}"/>
    <cellStyle name="Normal 4 3 2 2 2 2 5 2 3" xfId="29243" xr:uid="{2110299A-C00E-4DFD-9709-CA3C2C98A95C}"/>
    <cellStyle name="Normal 4 3 2 2 2 2 5 2 4" xfId="20802" xr:uid="{022C72EF-5AAC-495E-834A-525ADF056C44}"/>
    <cellStyle name="Normal 4 3 2 2 2 2 5 2 5" xfId="12361" xr:uid="{91A727B4-EF83-4631-BA67-C6C1130554FF}"/>
    <cellStyle name="Normal 4 3 2 2 2 2 5 3" xfId="5984" xr:uid="{00000000-0005-0000-0000-00002B140000}"/>
    <cellStyle name="Normal 4 3 2 2 2 2 5 3 2" xfId="31316" xr:uid="{EB73AFF5-8BE1-49B9-8286-F860C9BE066D}"/>
    <cellStyle name="Normal 4 3 2 2 2 2 5 3 3" xfId="22875" xr:uid="{51B9C2F4-D83F-4057-BE92-861ED30C8972}"/>
    <cellStyle name="Normal 4 3 2 2 2 2 5 3 4" xfId="14434" xr:uid="{A5B686C2-C05B-493B-BADF-8FE2A6221877}"/>
    <cellStyle name="Normal 4 3 2 2 2 2 5 4" xfId="27098" xr:uid="{2C643FC1-C53F-4414-9FAF-A2A374FADD56}"/>
    <cellStyle name="Normal 4 3 2 2 2 2 5 5" xfId="18657" xr:uid="{01E1D0E1-CAD5-4961-B4F4-14C5F08E3F6C}"/>
    <cellStyle name="Normal 4 3 2 2 2 2 5 6" xfId="10216" xr:uid="{7C50F9D6-0812-41D8-9E4F-04F006685B18}"/>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2 2 2" xfId="33874" xr:uid="{8F6D9865-36DD-46D4-AE7B-5CAFE5D3A126}"/>
    <cellStyle name="Normal 4 3 2 2 2 2 6 2 2 3" xfId="25433" xr:uid="{5E77D0A5-AE0B-4A80-BD58-3ABB5764CBDC}"/>
    <cellStyle name="Normal 4 3 2 2 2 2 6 2 2 4" xfId="16992" xr:uid="{7E29AA79-23CE-4CA9-8D48-F2C602DFF305}"/>
    <cellStyle name="Normal 4 3 2 2 2 2 6 2 3" xfId="29656" xr:uid="{5B3AE980-01DE-4338-8A32-C434DC959C65}"/>
    <cellStyle name="Normal 4 3 2 2 2 2 6 2 4" xfId="21215" xr:uid="{E1050267-2249-4C38-9288-77963C962348}"/>
    <cellStyle name="Normal 4 3 2 2 2 2 6 2 5" xfId="12774" xr:uid="{76C96A45-61D6-4524-A3FE-6F39E1CAC6DD}"/>
    <cellStyle name="Normal 4 3 2 2 2 2 6 3" xfId="6397" xr:uid="{00000000-0005-0000-0000-00002F140000}"/>
    <cellStyle name="Normal 4 3 2 2 2 2 6 3 2" xfId="31729" xr:uid="{24011C97-154B-4D90-8108-76904AF61934}"/>
    <cellStyle name="Normal 4 3 2 2 2 2 6 3 3" xfId="23288" xr:uid="{0EBB5872-34AE-42C4-83F0-BCAB07EDF9A6}"/>
    <cellStyle name="Normal 4 3 2 2 2 2 6 3 4" xfId="14847" xr:uid="{647DC935-051C-4232-87B0-7423C6D776A9}"/>
    <cellStyle name="Normal 4 3 2 2 2 2 6 4" xfId="27511" xr:uid="{331C3C0F-208D-4778-8AF0-B7A784F5DA9C}"/>
    <cellStyle name="Normal 4 3 2 2 2 2 6 5" xfId="19070" xr:uid="{4F3D9B8B-B318-4B64-9B23-3DC605A6250E}"/>
    <cellStyle name="Normal 4 3 2 2 2 2 6 6" xfId="10629" xr:uid="{4DE7EA2D-B3B0-41A7-8053-CD9928C305E0}"/>
    <cellStyle name="Normal 4 3 2 2 2 2 7" xfId="2527" xr:uid="{00000000-0005-0000-0000-000030140000}"/>
    <cellStyle name="Normal 4 3 2 2 2 2 7 2" xfId="6810" xr:uid="{00000000-0005-0000-0000-000031140000}"/>
    <cellStyle name="Normal 4 3 2 2 2 2 7 2 2" xfId="32142" xr:uid="{FB48B1AF-F607-42C1-8D48-AB25BA663E3F}"/>
    <cellStyle name="Normal 4 3 2 2 2 2 7 2 3" xfId="23701" xr:uid="{CD0A4F5A-08E1-4CC6-8233-B1E1A1917830}"/>
    <cellStyle name="Normal 4 3 2 2 2 2 7 2 4" xfId="15260" xr:uid="{42F6C093-DBAD-46A4-AB38-CBA14524109C}"/>
    <cellStyle name="Normal 4 3 2 2 2 2 7 3" xfId="27924" xr:uid="{3FADEB6F-9EF7-4DA6-BCAC-D502A980191F}"/>
    <cellStyle name="Normal 4 3 2 2 2 2 7 4" xfId="19483" xr:uid="{9AB8D04D-D9A9-4A4A-A894-D9877C2CF2D3}"/>
    <cellStyle name="Normal 4 3 2 2 2 2 7 5" xfId="11042" xr:uid="{E33A2EEE-AAA3-4AA4-AB3A-244171FFCCC5}"/>
    <cellStyle name="Normal 4 3 2 2 2 2 8" xfId="4745" xr:uid="{00000000-0005-0000-0000-000032140000}"/>
    <cellStyle name="Normal 4 3 2 2 2 2 8 2" xfId="30077" xr:uid="{8B7A6199-A700-4F66-8DDB-67E081C89BC2}"/>
    <cellStyle name="Normal 4 3 2 2 2 2 8 3" xfId="21636" xr:uid="{F1CB7087-36E3-4C0B-91CF-C12AD7460A16}"/>
    <cellStyle name="Normal 4 3 2 2 2 2 8 4" xfId="13195" xr:uid="{0E97E2BE-C87B-4C9F-B7F7-998C4A599117}"/>
    <cellStyle name="Normal 4 3 2 2 2 2 9" xfId="25859" xr:uid="{FAA35757-F51D-44CD-ABB2-D520D9F8BF75}"/>
    <cellStyle name="Normal 4 3 2 2 2 3" xfId="372" xr:uid="{00000000-0005-0000-0000-000033140000}"/>
    <cellStyle name="Normal 4 3 2 2 2 3 10" xfId="8979" xr:uid="{6D13AEB8-20C2-4A8D-8C35-CC43B3090401}"/>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2 2 2" xfId="32637" xr:uid="{378EB4C8-1A8A-4FEC-AF13-F87EA2170410}"/>
    <cellStyle name="Normal 4 3 2 2 2 3 2 2 2 3" xfId="24196" xr:uid="{BAF53651-25ED-4BC2-AFF6-48297F154B43}"/>
    <cellStyle name="Normal 4 3 2 2 2 3 2 2 2 4" xfId="15755" xr:uid="{037A690E-FFAB-4F9D-BD45-9F3ADFE02E01}"/>
    <cellStyle name="Normal 4 3 2 2 2 3 2 2 3" xfId="28419" xr:uid="{79FB78C2-F02F-492E-A3C2-785170905350}"/>
    <cellStyle name="Normal 4 3 2 2 2 3 2 2 4" xfId="19978" xr:uid="{0755D346-A4A1-48E3-89C3-21FFCBD6A3DB}"/>
    <cellStyle name="Normal 4 3 2 2 2 3 2 2 5" xfId="11537" xr:uid="{4BE08EDE-6FD6-4FB1-8DD2-903397453F0B}"/>
    <cellStyle name="Normal 4 3 2 2 2 3 2 3" xfId="5160" xr:uid="{00000000-0005-0000-0000-000037140000}"/>
    <cellStyle name="Normal 4 3 2 2 2 3 2 3 2" xfId="30492" xr:uid="{26F88AB6-A380-466E-8565-CB16B7ECE88F}"/>
    <cellStyle name="Normal 4 3 2 2 2 3 2 3 3" xfId="22051" xr:uid="{E9B33702-D4AC-442F-BA17-46B0D142361E}"/>
    <cellStyle name="Normal 4 3 2 2 2 3 2 3 4" xfId="13610" xr:uid="{B94D631F-859D-42A3-BA72-69318E194472}"/>
    <cellStyle name="Normal 4 3 2 2 2 3 2 4" xfId="26274" xr:uid="{2041FE7C-2D64-4842-A793-2630A545F779}"/>
    <cellStyle name="Normal 4 3 2 2 2 3 2 5" xfId="17833" xr:uid="{C93DCF84-6F98-4174-8D0A-7BF85C8A4275}"/>
    <cellStyle name="Normal 4 3 2 2 2 3 2 6" xfId="9392" xr:uid="{9DC7CCFF-21AD-46F8-901F-E50297106A9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2 2 2" xfId="33050" xr:uid="{34D0F5A2-3C28-48E7-B4B1-9AB92D3E30EB}"/>
    <cellStyle name="Normal 4 3 2 2 2 3 3 2 2 3" xfId="24609" xr:uid="{DA9C6B01-71E6-4525-A7F8-1571027D16D1}"/>
    <cellStyle name="Normal 4 3 2 2 2 3 3 2 2 4" xfId="16168" xr:uid="{018A0940-B74B-4051-8286-DE15187975C5}"/>
    <cellStyle name="Normal 4 3 2 2 2 3 3 2 3" xfId="28832" xr:uid="{40DD56A5-06EE-4418-A83F-12FF2496DFC1}"/>
    <cellStyle name="Normal 4 3 2 2 2 3 3 2 4" xfId="20391" xr:uid="{06667324-95FE-486A-803B-1EFFFB3C54D7}"/>
    <cellStyle name="Normal 4 3 2 2 2 3 3 2 5" xfId="11950" xr:uid="{8C03E4B2-AA79-48AB-BF3A-131B63C1C3B1}"/>
    <cellStyle name="Normal 4 3 2 2 2 3 3 3" xfId="5573" xr:uid="{00000000-0005-0000-0000-00003B140000}"/>
    <cellStyle name="Normal 4 3 2 2 2 3 3 3 2" xfId="30905" xr:uid="{E08116D6-B132-48BE-B5E4-CF6D1FECE357}"/>
    <cellStyle name="Normal 4 3 2 2 2 3 3 3 3" xfId="22464" xr:uid="{E52ABE9A-A583-4118-B20D-9C11D56CF57D}"/>
    <cellStyle name="Normal 4 3 2 2 2 3 3 3 4" xfId="14023" xr:uid="{62C08B90-DBEC-4566-A78E-50A95BE60ADB}"/>
    <cellStyle name="Normal 4 3 2 2 2 3 3 4" xfId="26687" xr:uid="{F3CC94B3-9BAF-4B81-A5C8-19FF1FCAA3E2}"/>
    <cellStyle name="Normal 4 3 2 2 2 3 3 5" xfId="18246" xr:uid="{981D4A3A-C31A-44B0-BF42-94B44914EA35}"/>
    <cellStyle name="Normal 4 3 2 2 2 3 3 6" xfId="9805" xr:uid="{E2173CC1-0571-46F8-B51F-BD8D454C1B5A}"/>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2 2 2" xfId="33463" xr:uid="{4DE1E267-8125-417A-89FF-921027E03073}"/>
    <cellStyle name="Normal 4 3 2 2 2 3 4 2 2 3" xfId="25022" xr:uid="{C70E7F57-A5D0-480A-8F6B-0FB81C89F140}"/>
    <cellStyle name="Normal 4 3 2 2 2 3 4 2 2 4" xfId="16581" xr:uid="{9FBCA2AB-E4F5-40AD-868C-AB97D47658E7}"/>
    <cellStyle name="Normal 4 3 2 2 2 3 4 2 3" xfId="29245" xr:uid="{D0CDB45C-ECA7-4EE9-BF40-074D81F7BCF9}"/>
    <cellStyle name="Normal 4 3 2 2 2 3 4 2 4" xfId="20804" xr:uid="{3EC62D0E-09A0-4C53-BBC6-1AC8752B6290}"/>
    <cellStyle name="Normal 4 3 2 2 2 3 4 2 5" xfId="12363" xr:uid="{666AA26F-55DE-49DA-A20F-D61F06F64031}"/>
    <cellStyle name="Normal 4 3 2 2 2 3 4 3" xfId="5986" xr:uid="{00000000-0005-0000-0000-00003F140000}"/>
    <cellStyle name="Normal 4 3 2 2 2 3 4 3 2" xfId="31318" xr:uid="{1B6A8C13-0BD7-4A89-945E-803A16A830E6}"/>
    <cellStyle name="Normal 4 3 2 2 2 3 4 3 3" xfId="22877" xr:uid="{11278FA1-E1B1-465F-9483-0165265FC6EB}"/>
    <cellStyle name="Normal 4 3 2 2 2 3 4 3 4" xfId="14436" xr:uid="{74F996FB-654B-49A4-A608-D70E53804857}"/>
    <cellStyle name="Normal 4 3 2 2 2 3 4 4" xfId="27100" xr:uid="{2D126953-C33A-4855-942B-C155AE0CFEBB}"/>
    <cellStyle name="Normal 4 3 2 2 2 3 4 5" xfId="18659" xr:uid="{6F6EDE51-21B3-4999-93BC-6B93099FB880}"/>
    <cellStyle name="Normal 4 3 2 2 2 3 4 6" xfId="10218" xr:uid="{5B4EFDEA-9AD5-42DD-B56A-1495051154CC}"/>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2 2 2" xfId="33876" xr:uid="{AF28DC39-F85F-47B7-8D2C-DBFA972B3C15}"/>
    <cellStyle name="Normal 4 3 2 2 2 3 5 2 2 3" xfId="25435" xr:uid="{421C46BE-081D-41F4-A60A-A17C2422512B}"/>
    <cellStyle name="Normal 4 3 2 2 2 3 5 2 2 4" xfId="16994" xr:uid="{E9CA474A-1D21-464A-A133-49F4A2A9E87A}"/>
    <cellStyle name="Normal 4 3 2 2 2 3 5 2 3" xfId="29658" xr:uid="{391CC6E1-C09C-49CE-9192-90CE9DB31AA4}"/>
    <cellStyle name="Normal 4 3 2 2 2 3 5 2 4" xfId="21217" xr:uid="{9D239B74-A868-4461-ABDE-D1720A46256D}"/>
    <cellStyle name="Normal 4 3 2 2 2 3 5 2 5" xfId="12776" xr:uid="{3678268C-9D74-43D5-93C3-C34B77DD5E2A}"/>
    <cellStyle name="Normal 4 3 2 2 2 3 5 3" xfId="6399" xr:uid="{00000000-0005-0000-0000-000043140000}"/>
    <cellStyle name="Normal 4 3 2 2 2 3 5 3 2" xfId="31731" xr:uid="{047EA34C-CCAD-424E-AD11-D605CB19EF12}"/>
    <cellStyle name="Normal 4 3 2 2 2 3 5 3 3" xfId="23290" xr:uid="{2D5DEB36-F2A1-4A80-AAC1-949F23AF1B4A}"/>
    <cellStyle name="Normal 4 3 2 2 2 3 5 3 4" xfId="14849" xr:uid="{22EB566A-4A4C-42AD-864C-846B8EEA51EB}"/>
    <cellStyle name="Normal 4 3 2 2 2 3 5 4" xfId="27513" xr:uid="{79422200-E800-45F8-858C-13B5DE2AE432}"/>
    <cellStyle name="Normal 4 3 2 2 2 3 5 5" xfId="19072" xr:uid="{60AF4156-4232-4B37-9867-AB60736F0AD4}"/>
    <cellStyle name="Normal 4 3 2 2 2 3 5 6" xfId="10631" xr:uid="{B1F6EC36-A68C-4C94-BF66-5B44EE57440B}"/>
    <cellStyle name="Normal 4 3 2 2 2 3 6" xfId="2529" xr:uid="{00000000-0005-0000-0000-000044140000}"/>
    <cellStyle name="Normal 4 3 2 2 2 3 6 2" xfId="6812" xr:uid="{00000000-0005-0000-0000-000045140000}"/>
    <cellStyle name="Normal 4 3 2 2 2 3 6 2 2" xfId="32144" xr:uid="{DC542E3C-8633-4BC9-8217-B95A1FDFD6EE}"/>
    <cellStyle name="Normal 4 3 2 2 2 3 6 2 3" xfId="23703" xr:uid="{6BA0E6E5-C7E5-4786-BC81-4F26ADD1CF56}"/>
    <cellStyle name="Normal 4 3 2 2 2 3 6 2 4" xfId="15262" xr:uid="{BA90867E-DFE3-4101-8F05-5B85D16BC3E4}"/>
    <cellStyle name="Normal 4 3 2 2 2 3 6 3" xfId="27926" xr:uid="{8D47EBE3-2EC8-4452-A1D7-077D15D4B95D}"/>
    <cellStyle name="Normal 4 3 2 2 2 3 6 4" xfId="19485" xr:uid="{145BC9DA-EE3A-4ADA-A71B-20FB328F46FF}"/>
    <cellStyle name="Normal 4 3 2 2 2 3 6 5" xfId="11044" xr:uid="{5791699F-076C-4650-ABB1-D42B9DD9D3D6}"/>
    <cellStyle name="Normal 4 3 2 2 2 3 7" xfId="4747" xr:uid="{00000000-0005-0000-0000-000046140000}"/>
    <cellStyle name="Normal 4 3 2 2 2 3 7 2" xfId="30079" xr:uid="{BEAC820C-BF07-41E6-9935-8FD0F957F4E4}"/>
    <cellStyle name="Normal 4 3 2 2 2 3 7 3" xfId="21638" xr:uid="{C4541D5C-4E96-429E-980E-F5CAF0A91FA3}"/>
    <cellStyle name="Normal 4 3 2 2 2 3 7 4" xfId="13197" xr:uid="{ABB1CC27-FF68-42DD-94B5-D8D7B6CA30D9}"/>
    <cellStyle name="Normal 4 3 2 2 2 3 8" xfId="25861" xr:uid="{2EF67071-C950-4C46-AF14-EAB1047BCA20}"/>
    <cellStyle name="Normal 4 3 2 2 2 3 9" xfId="17420" xr:uid="{6B173062-1998-42EF-BDBD-7911837A9452}"/>
    <cellStyle name="Normal 4 3 2 2 2 4" xfId="844" xr:uid="{00000000-0005-0000-0000-000047140000}"/>
    <cellStyle name="Normal 4 3 2 2 2 4 2" xfId="3080" xr:uid="{00000000-0005-0000-0000-000048140000}"/>
    <cellStyle name="Normal 4 3 2 2 2 4 2 2" xfId="7302" xr:uid="{00000000-0005-0000-0000-000049140000}"/>
    <cellStyle name="Normal 4 3 2 2 2 4 2 2 2" xfId="32634" xr:uid="{B244F1B9-9045-41D1-979A-219E56FFD4CA}"/>
    <cellStyle name="Normal 4 3 2 2 2 4 2 2 3" xfId="24193" xr:uid="{54130DD6-F11E-4960-A23E-EDF42999081F}"/>
    <cellStyle name="Normal 4 3 2 2 2 4 2 2 4" xfId="15752" xr:uid="{E84FDC95-6063-41B4-8B39-2209CD975DD8}"/>
    <cellStyle name="Normal 4 3 2 2 2 4 2 3" xfId="28416" xr:uid="{5735EBE9-BFD0-4C03-A12E-1184BC3ACA01}"/>
    <cellStyle name="Normal 4 3 2 2 2 4 2 4" xfId="19975" xr:uid="{975FC9F1-316C-47DF-9C04-C3F439A409E8}"/>
    <cellStyle name="Normal 4 3 2 2 2 4 2 5" xfId="11534" xr:uid="{591D829F-AAC3-4971-8B6F-089785EA0866}"/>
    <cellStyle name="Normal 4 3 2 2 2 4 3" xfId="5157" xr:uid="{00000000-0005-0000-0000-00004A140000}"/>
    <cellStyle name="Normal 4 3 2 2 2 4 3 2" xfId="30489" xr:uid="{DFA6A13C-12FA-4566-8F58-0D50675792D4}"/>
    <cellStyle name="Normal 4 3 2 2 2 4 3 3" xfId="22048" xr:uid="{9C2B0FFD-D088-4DE6-BBF8-9C5CEFA7BEC8}"/>
    <cellStyle name="Normal 4 3 2 2 2 4 3 4" xfId="13607" xr:uid="{B3AF2E2B-C5A9-4AB6-A1D6-4A8394DDB80C}"/>
    <cellStyle name="Normal 4 3 2 2 2 4 4" xfId="26271" xr:uid="{1EA79F6C-183D-42F3-B3C3-71CBA42DCD2F}"/>
    <cellStyle name="Normal 4 3 2 2 2 4 5" xfId="17830" xr:uid="{AAD527C4-CB43-4A99-B85F-F1DDD63CAD4A}"/>
    <cellStyle name="Normal 4 3 2 2 2 4 6" xfId="9389" xr:uid="{8FAFCA88-87AD-4252-ADF6-FEB86126B48F}"/>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2 2 2" xfId="33047" xr:uid="{323DB689-4E4E-4581-8F61-02519CF3BF34}"/>
    <cellStyle name="Normal 4 3 2 2 2 5 2 2 3" xfId="24606" xr:uid="{B3CDD819-0C3A-458F-AA12-1B9D6F36864A}"/>
    <cellStyle name="Normal 4 3 2 2 2 5 2 2 4" xfId="16165" xr:uid="{46BFAEED-C749-460F-9AD6-239700CFF7F3}"/>
    <cellStyle name="Normal 4 3 2 2 2 5 2 3" xfId="28829" xr:uid="{9E723C4D-E211-4F57-8470-306DF3B3C506}"/>
    <cellStyle name="Normal 4 3 2 2 2 5 2 4" xfId="20388" xr:uid="{AC0EC497-9833-42C1-8F8D-76D48BFFB79F}"/>
    <cellStyle name="Normal 4 3 2 2 2 5 2 5" xfId="11947" xr:uid="{491D2546-FAE9-49B4-8163-5A69B8658540}"/>
    <cellStyle name="Normal 4 3 2 2 2 5 3" xfId="5570" xr:uid="{00000000-0005-0000-0000-00004E140000}"/>
    <cellStyle name="Normal 4 3 2 2 2 5 3 2" xfId="30902" xr:uid="{DC9CFCA8-189A-4302-8D3B-C9DEC147D0AE}"/>
    <cellStyle name="Normal 4 3 2 2 2 5 3 3" xfId="22461" xr:uid="{2D11BA37-B0EF-497C-971F-4F1B889CC089}"/>
    <cellStyle name="Normal 4 3 2 2 2 5 3 4" xfId="14020" xr:uid="{32C0BE2D-2F5D-4C10-BF87-A45611211A91}"/>
    <cellStyle name="Normal 4 3 2 2 2 5 4" xfId="26684" xr:uid="{A1E380BB-902A-4AE4-B8CF-5A84228D26F9}"/>
    <cellStyle name="Normal 4 3 2 2 2 5 5" xfId="18243" xr:uid="{11492ACD-8506-436B-B6A7-C04789F27FA4}"/>
    <cellStyle name="Normal 4 3 2 2 2 5 6" xfId="9802" xr:uid="{5005055A-BBF4-4219-9346-E45298A614B2}"/>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2 2 2" xfId="33460" xr:uid="{CBD339FA-E1AC-44D3-83ED-46E144E9C465}"/>
    <cellStyle name="Normal 4 3 2 2 2 6 2 2 3" xfId="25019" xr:uid="{306FF19C-9A8C-453D-864E-1F23E8F01EEA}"/>
    <cellStyle name="Normal 4 3 2 2 2 6 2 2 4" xfId="16578" xr:uid="{071EAB0F-3EE3-4E66-A1A7-97D42D53422A}"/>
    <cellStyle name="Normal 4 3 2 2 2 6 2 3" xfId="29242" xr:uid="{E6286027-D761-485F-8101-EB8C18A5B27A}"/>
    <cellStyle name="Normal 4 3 2 2 2 6 2 4" xfId="20801" xr:uid="{143B4BA6-290E-47F4-B270-0614481C0C26}"/>
    <cellStyle name="Normal 4 3 2 2 2 6 2 5" xfId="12360" xr:uid="{13947C66-0174-47B8-B539-8909E1C73734}"/>
    <cellStyle name="Normal 4 3 2 2 2 6 3" xfId="5983" xr:uid="{00000000-0005-0000-0000-000052140000}"/>
    <cellStyle name="Normal 4 3 2 2 2 6 3 2" xfId="31315" xr:uid="{CDCE474D-E9D7-4806-9D77-A0965E97333F}"/>
    <cellStyle name="Normal 4 3 2 2 2 6 3 3" xfId="22874" xr:uid="{DDF6189A-EDF9-44ED-8BFD-CDCFD01A565C}"/>
    <cellStyle name="Normal 4 3 2 2 2 6 3 4" xfId="14433" xr:uid="{2FAB0F21-0BEB-4E90-B3C2-62D1224A4AE9}"/>
    <cellStyle name="Normal 4 3 2 2 2 6 4" xfId="27097" xr:uid="{857E6D24-45CD-4ACF-BF15-A8797E842B8E}"/>
    <cellStyle name="Normal 4 3 2 2 2 6 5" xfId="18656" xr:uid="{96F37372-964D-4139-9DBC-938E237C83BA}"/>
    <cellStyle name="Normal 4 3 2 2 2 6 6" xfId="10215" xr:uid="{AEF72F48-BF1D-4B39-88AF-76245AC0C9D2}"/>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2 2 2" xfId="33873" xr:uid="{A433D6A0-F7EB-4ABD-AC63-EAEE9BC2FB21}"/>
    <cellStyle name="Normal 4 3 2 2 2 7 2 2 3" xfId="25432" xr:uid="{9341045A-61C7-436F-86F6-8484194C1A74}"/>
    <cellStyle name="Normal 4 3 2 2 2 7 2 2 4" xfId="16991" xr:uid="{EF7C45DB-1F67-48AA-A9E8-CB4BADA1F899}"/>
    <cellStyle name="Normal 4 3 2 2 2 7 2 3" xfId="29655" xr:uid="{3C944BDF-05E1-44BC-AC90-2C31F06C5BC9}"/>
    <cellStyle name="Normal 4 3 2 2 2 7 2 4" xfId="21214" xr:uid="{5B8BEA67-6F95-4244-8A55-B5CF723358BB}"/>
    <cellStyle name="Normal 4 3 2 2 2 7 2 5" xfId="12773" xr:uid="{4BC5DE39-6855-4894-93C2-B721E3BA8670}"/>
    <cellStyle name="Normal 4 3 2 2 2 7 3" xfId="6396" xr:uid="{00000000-0005-0000-0000-000056140000}"/>
    <cellStyle name="Normal 4 3 2 2 2 7 3 2" xfId="31728" xr:uid="{7C10CEE3-100E-4B4F-9D6B-ED799B1556E2}"/>
    <cellStyle name="Normal 4 3 2 2 2 7 3 3" xfId="23287" xr:uid="{CD2B1E93-A15C-4E56-A80F-1450999BA069}"/>
    <cellStyle name="Normal 4 3 2 2 2 7 3 4" xfId="14846" xr:uid="{71CE7054-270A-429D-BB7D-9A493FCBA390}"/>
    <cellStyle name="Normal 4 3 2 2 2 7 4" xfId="27510" xr:uid="{B6FB64CE-DB0F-4DDA-9565-9E46F8B3DBC6}"/>
    <cellStyle name="Normal 4 3 2 2 2 7 5" xfId="19069" xr:uid="{8D60B231-C4AC-41A1-B9D3-1B5E79697486}"/>
    <cellStyle name="Normal 4 3 2 2 2 7 6" xfId="10628" xr:uid="{4FD0F1FB-A862-4559-AEA1-93FE626645E7}"/>
    <cellStyle name="Normal 4 3 2 2 2 8" xfId="2526" xr:uid="{00000000-0005-0000-0000-000057140000}"/>
    <cellStyle name="Normal 4 3 2 2 2 8 2" xfId="6809" xr:uid="{00000000-0005-0000-0000-000058140000}"/>
    <cellStyle name="Normal 4 3 2 2 2 8 2 2" xfId="32141" xr:uid="{62EFF598-E810-4479-81E1-E38C04E655FD}"/>
    <cellStyle name="Normal 4 3 2 2 2 8 2 3" xfId="23700" xr:uid="{BCA93373-C83A-4436-A6DF-CDCB5EE00390}"/>
    <cellStyle name="Normal 4 3 2 2 2 8 2 4" xfId="15259" xr:uid="{F31E359E-7D4E-4828-A789-22A83A2EB775}"/>
    <cellStyle name="Normal 4 3 2 2 2 8 3" xfId="27923" xr:uid="{3B518851-AF84-47E2-8C9B-A9BBADFA1A5B}"/>
    <cellStyle name="Normal 4 3 2 2 2 8 4" xfId="19482" xr:uid="{BC76C459-E30C-47E4-A2E7-4BB6CB449383}"/>
    <cellStyle name="Normal 4 3 2 2 2 8 5" xfId="11041" xr:uid="{32E735B0-F55B-4EEE-BE3F-C4A45954F6A4}"/>
    <cellStyle name="Normal 4 3 2 2 2 9" xfId="4744" xr:uid="{00000000-0005-0000-0000-000059140000}"/>
    <cellStyle name="Normal 4 3 2 2 2 9 2" xfId="30076" xr:uid="{C009CF60-3175-41D4-98AF-CCDD1CD7FE4B}"/>
    <cellStyle name="Normal 4 3 2 2 2 9 3" xfId="21635" xr:uid="{782A5141-DB36-4BC2-8090-9A4B8623388C}"/>
    <cellStyle name="Normal 4 3 2 2 2 9 4" xfId="13194" xr:uid="{B5941868-071A-45E2-AF70-B8D4CEAA9B23}"/>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25862" xr:uid="{CAAFAB14-9DB4-41DF-9434-B9182C3C6F75}"/>
    <cellStyle name="Normal 4 3 3 11" xfId="17421" xr:uid="{3A673406-C21E-4DBC-8486-68C125BE790B}"/>
    <cellStyle name="Normal 4 3 3 12" xfId="8980" xr:uid="{4852F9D7-6C93-47FD-9501-949724EA2B41}"/>
    <cellStyle name="Normal 4 3 3 2" xfId="375" xr:uid="{00000000-0005-0000-0000-00005E140000}"/>
    <cellStyle name="Normal 4 3 3 2 10" xfId="17422" xr:uid="{B10BACF4-E4DA-458C-8460-CA2C07B381AD}"/>
    <cellStyle name="Normal 4 3 3 2 11" xfId="8981" xr:uid="{D62A7777-302E-4F3A-9D51-B46C946C3129}"/>
    <cellStyle name="Normal 4 3 3 2 2" xfId="376" xr:uid="{00000000-0005-0000-0000-00005F140000}"/>
    <cellStyle name="Normal 4 3 3 2 2 10" xfId="8982" xr:uid="{7F661608-5109-48E7-9028-3640EF9CDD8A}"/>
    <cellStyle name="Normal 4 3 3 2 2 2" xfId="851" xr:uid="{00000000-0005-0000-0000-000060140000}"/>
    <cellStyle name="Normal 4 3 3 2 2 2 2" xfId="3086" xr:uid="{00000000-0005-0000-0000-000061140000}"/>
    <cellStyle name="Normal 4 3 3 2 2 2 2 2" xfId="7308" xr:uid="{00000000-0005-0000-0000-000062140000}"/>
    <cellStyle name="Normal 4 3 3 2 2 2 2 2 2" xfId="32640" xr:uid="{B7BBC313-E8FA-4FE6-9AEB-859F579F0C0B}"/>
    <cellStyle name="Normal 4 3 3 2 2 2 2 2 3" xfId="24199" xr:uid="{DB236A10-E02B-4D1F-A447-0154FAF0AE06}"/>
    <cellStyle name="Normal 4 3 3 2 2 2 2 2 4" xfId="15758" xr:uid="{691FBF7A-15E9-4F71-9905-B185E6C283C9}"/>
    <cellStyle name="Normal 4 3 3 2 2 2 2 3" xfId="28422" xr:uid="{6AE3B541-9A72-42D8-A98F-1249387DC848}"/>
    <cellStyle name="Normal 4 3 3 2 2 2 2 4" xfId="19981" xr:uid="{A6735F79-4A3F-405E-BB57-7489A13DFCB3}"/>
    <cellStyle name="Normal 4 3 3 2 2 2 2 5" xfId="11540" xr:uid="{8A998E30-2EBF-42F9-977D-0F6772D9DA7D}"/>
    <cellStyle name="Normal 4 3 3 2 2 2 3" xfId="5163" xr:uid="{00000000-0005-0000-0000-000063140000}"/>
    <cellStyle name="Normal 4 3 3 2 2 2 3 2" xfId="30495" xr:uid="{C96AD2FF-CB37-4492-9C0A-2241C1EAE003}"/>
    <cellStyle name="Normal 4 3 3 2 2 2 3 3" xfId="22054" xr:uid="{EC97F116-512D-4F9B-8D28-5665AB832C1C}"/>
    <cellStyle name="Normal 4 3 3 2 2 2 3 4" xfId="13613" xr:uid="{5A76D584-8A6A-4EB7-8871-6562BE9784B1}"/>
    <cellStyle name="Normal 4 3 3 2 2 2 4" xfId="26277" xr:uid="{11F96050-954E-4A0B-B309-EEE23A78F626}"/>
    <cellStyle name="Normal 4 3 3 2 2 2 5" xfId="17836" xr:uid="{322130E8-D65F-4E21-B392-1EBC616501C0}"/>
    <cellStyle name="Normal 4 3 3 2 2 2 6" xfId="9395" xr:uid="{D3B284B1-6339-4132-969A-488BD6D50E59}"/>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2 2 2" xfId="33053" xr:uid="{BE0F1E81-D093-4E10-9FCC-7CB8A080E981}"/>
    <cellStyle name="Normal 4 3 3 2 2 3 2 2 3" xfId="24612" xr:uid="{91EDADD4-1122-44DD-B3DD-C9079697F915}"/>
    <cellStyle name="Normal 4 3 3 2 2 3 2 2 4" xfId="16171" xr:uid="{5B4AA1D6-5F00-4436-9DBC-7FD6FC5117F4}"/>
    <cellStyle name="Normal 4 3 3 2 2 3 2 3" xfId="28835" xr:uid="{BD0529FA-C3D4-4142-9C2F-9BCC127C0C26}"/>
    <cellStyle name="Normal 4 3 3 2 2 3 2 4" xfId="20394" xr:uid="{A1B5C46D-DFCC-4F5D-AB9E-96DE3F8650C3}"/>
    <cellStyle name="Normal 4 3 3 2 2 3 2 5" xfId="11953" xr:uid="{408442FD-2CFF-4F90-956F-57B8381FCC61}"/>
    <cellStyle name="Normal 4 3 3 2 2 3 3" xfId="5576" xr:uid="{00000000-0005-0000-0000-000067140000}"/>
    <cellStyle name="Normal 4 3 3 2 2 3 3 2" xfId="30908" xr:uid="{3BB50FB2-19CF-4931-9EB5-30D1FD3B1D3D}"/>
    <cellStyle name="Normal 4 3 3 2 2 3 3 3" xfId="22467" xr:uid="{B98649FE-25DC-4731-AC4F-6DD0CA85FFA5}"/>
    <cellStyle name="Normal 4 3 3 2 2 3 3 4" xfId="14026" xr:uid="{B489EE36-B529-44FE-9DB9-525A56709ED7}"/>
    <cellStyle name="Normal 4 3 3 2 2 3 4" xfId="26690" xr:uid="{B9D0D217-8B4D-49A5-AB83-ABAECA7C5206}"/>
    <cellStyle name="Normal 4 3 3 2 2 3 5" xfId="18249" xr:uid="{3B9EAB1F-4434-4AE9-AF26-3C4974719952}"/>
    <cellStyle name="Normal 4 3 3 2 2 3 6" xfId="9808" xr:uid="{F4A03E33-1D84-4ED1-BBF9-3A4331E47E0D}"/>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2 2 2" xfId="33466" xr:uid="{99BED532-4A15-450D-9A8F-BC6CA76993A1}"/>
    <cellStyle name="Normal 4 3 3 2 2 4 2 2 3" xfId="25025" xr:uid="{2CBAEA07-945B-4793-8391-FD8A553B916C}"/>
    <cellStyle name="Normal 4 3 3 2 2 4 2 2 4" xfId="16584" xr:uid="{46E74A23-0961-44EF-A388-88B51F9A7446}"/>
    <cellStyle name="Normal 4 3 3 2 2 4 2 3" xfId="29248" xr:uid="{4C158C08-3F4A-4DBC-9BB1-C6CD0CB5CE77}"/>
    <cellStyle name="Normal 4 3 3 2 2 4 2 4" xfId="20807" xr:uid="{E7423C0D-60D5-425C-9C65-4F2503A52BF8}"/>
    <cellStyle name="Normal 4 3 3 2 2 4 2 5" xfId="12366" xr:uid="{EA14B30A-D232-4299-9834-4EADC765FB52}"/>
    <cellStyle name="Normal 4 3 3 2 2 4 3" xfId="5989" xr:uid="{00000000-0005-0000-0000-00006B140000}"/>
    <cellStyle name="Normal 4 3 3 2 2 4 3 2" xfId="31321" xr:uid="{D4C60733-BE14-4D4C-BE26-738DDDBB3400}"/>
    <cellStyle name="Normal 4 3 3 2 2 4 3 3" xfId="22880" xr:uid="{9B0032A6-EDAB-48DD-93B3-615F1A5FB766}"/>
    <cellStyle name="Normal 4 3 3 2 2 4 3 4" xfId="14439" xr:uid="{B598CE48-900B-4D5A-9270-42C951C38CDB}"/>
    <cellStyle name="Normal 4 3 3 2 2 4 4" xfId="27103" xr:uid="{8A3E6B92-2EC2-4DF8-B07B-572A77D8868E}"/>
    <cellStyle name="Normal 4 3 3 2 2 4 5" xfId="18662" xr:uid="{F51D9FA7-3ED6-4F63-B0DE-22833A44C69A}"/>
    <cellStyle name="Normal 4 3 3 2 2 4 6" xfId="10221" xr:uid="{1E75D3BB-7BA8-458F-8767-585533C1707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2 2 2" xfId="33879" xr:uid="{973C8388-A8ED-43A3-9165-AD923D621BD8}"/>
    <cellStyle name="Normal 4 3 3 2 2 5 2 2 3" xfId="25438" xr:uid="{FC6DFC08-73BB-451C-A5B9-EFC3375D6DC5}"/>
    <cellStyle name="Normal 4 3 3 2 2 5 2 2 4" xfId="16997" xr:uid="{ACF1202C-2523-4722-8F74-BC1C7A7BFE94}"/>
    <cellStyle name="Normal 4 3 3 2 2 5 2 3" xfId="29661" xr:uid="{D54D4B57-66CE-4162-95C2-CCC69D0E6E06}"/>
    <cellStyle name="Normal 4 3 3 2 2 5 2 4" xfId="21220" xr:uid="{C4B2A58C-2F78-4C32-9ABE-5422252E019C}"/>
    <cellStyle name="Normal 4 3 3 2 2 5 2 5" xfId="12779" xr:uid="{12A15762-02FE-4268-A1DA-DFF03E84B5F4}"/>
    <cellStyle name="Normal 4 3 3 2 2 5 3" xfId="6402" xr:uid="{00000000-0005-0000-0000-00006F140000}"/>
    <cellStyle name="Normal 4 3 3 2 2 5 3 2" xfId="31734" xr:uid="{7C684879-1A5E-44A6-9146-5A8F92FE3A90}"/>
    <cellStyle name="Normal 4 3 3 2 2 5 3 3" xfId="23293" xr:uid="{078F96F0-B1EA-493E-91DA-1B4B284C58A7}"/>
    <cellStyle name="Normal 4 3 3 2 2 5 3 4" xfId="14852" xr:uid="{FE0AE753-5153-48DF-B2C7-F07913363703}"/>
    <cellStyle name="Normal 4 3 3 2 2 5 4" xfId="27516" xr:uid="{93B8C823-1745-49D2-8680-184ABC90AF47}"/>
    <cellStyle name="Normal 4 3 3 2 2 5 5" xfId="19075" xr:uid="{996D6A48-8B2C-4300-B5D2-BA83DCE9B3AD}"/>
    <cellStyle name="Normal 4 3 3 2 2 5 6" xfId="10634" xr:uid="{ADC3CB5F-CE7B-4E0A-A8B4-06869199C7CA}"/>
    <cellStyle name="Normal 4 3 3 2 2 6" xfId="2532" xr:uid="{00000000-0005-0000-0000-000070140000}"/>
    <cellStyle name="Normal 4 3 3 2 2 6 2" xfId="6815" xr:uid="{00000000-0005-0000-0000-000071140000}"/>
    <cellStyle name="Normal 4 3 3 2 2 6 2 2" xfId="32147" xr:uid="{62DACC26-3387-499C-94C1-AF5429B69983}"/>
    <cellStyle name="Normal 4 3 3 2 2 6 2 3" xfId="23706" xr:uid="{07E0BCCE-4BB3-40A6-BDC6-F675C7404955}"/>
    <cellStyle name="Normal 4 3 3 2 2 6 2 4" xfId="15265" xr:uid="{14864A1C-E1A8-4D78-959D-FC4B398E92BC}"/>
    <cellStyle name="Normal 4 3 3 2 2 6 3" xfId="27929" xr:uid="{892C3D92-07E2-4897-B4D7-6FBA9585B192}"/>
    <cellStyle name="Normal 4 3 3 2 2 6 4" xfId="19488" xr:uid="{6849121D-B3DB-4660-908E-75DC29D6EECF}"/>
    <cellStyle name="Normal 4 3 3 2 2 6 5" xfId="11047" xr:uid="{AE19DE48-B388-4D4B-A3E2-51C5CE811CEF}"/>
    <cellStyle name="Normal 4 3 3 2 2 7" xfId="4750" xr:uid="{00000000-0005-0000-0000-000072140000}"/>
    <cellStyle name="Normal 4 3 3 2 2 7 2" xfId="30082" xr:uid="{2638A32F-4E96-4E91-B36D-73915901D560}"/>
    <cellStyle name="Normal 4 3 3 2 2 7 3" xfId="21641" xr:uid="{F66AAE6E-87FB-4D60-971F-DFD4C12460BF}"/>
    <cellStyle name="Normal 4 3 3 2 2 7 4" xfId="13200" xr:uid="{9274A052-15C0-44CA-B72D-6EC5ADE33D54}"/>
    <cellStyle name="Normal 4 3 3 2 2 8" xfId="25864" xr:uid="{55EC7F17-58A4-4C4C-884A-FBC16BECF538}"/>
    <cellStyle name="Normal 4 3 3 2 2 9" xfId="17423" xr:uid="{67A76CF3-156C-4084-884E-AC5505CE0C4B}"/>
    <cellStyle name="Normal 4 3 3 2 3" xfId="850" xr:uid="{00000000-0005-0000-0000-000073140000}"/>
    <cellStyle name="Normal 4 3 3 2 3 2" xfId="3085" xr:uid="{00000000-0005-0000-0000-000074140000}"/>
    <cellStyle name="Normal 4 3 3 2 3 2 2" xfId="7307" xr:uid="{00000000-0005-0000-0000-000075140000}"/>
    <cellStyle name="Normal 4 3 3 2 3 2 2 2" xfId="32639" xr:uid="{BE7AA453-EBE4-4F53-BE12-7C09FFF5683C}"/>
    <cellStyle name="Normal 4 3 3 2 3 2 2 3" xfId="24198" xr:uid="{822CFD74-6ED3-414B-BE24-A4A5C11DE7E7}"/>
    <cellStyle name="Normal 4 3 3 2 3 2 2 4" xfId="15757" xr:uid="{73EC8310-DB23-43DA-A913-CFB2E6AFAFBF}"/>
    <cellStyle name="Normal 4 3 3 2 3 2 3" xfId="28421" xr:uid="{227CAF46-C413-4C52-BEA7-25AC97F8F841}"/>
    <cellStyle name="Normal 4 3 3 2 3 2 4" xfId="19980" xr:uid="{2572FC8F-0A5B-4018-A652-2B1DCBD87DDF}"/>
    <cellStyle name="Normal 4 3 3 2 3 2 5" xfId="11539" xr:uid="{C951A786-D779-4CF0-88F6-F45CBAAB8DB2}"/>
    <cellStyle name="Normal 4 3 3 2 3 3" xfId="5162" xr:uid="{00000000-0005-0000-0000-000076140000}"/>
    <cellStyle name="Normal 4 3 3 2 3 3 2" xfId="30494" xr:uid="{E97E6203-3680-4F3A-8125-DA5FEB2E0423}"/>
    <cellStyle name="Normal 4 3 3 2 3 3 3" xfId="22053" xr:uid="{F0FE6D2B-917A-4AB4-914A-50B96B1F98C6}"/>
    <cellStyle name="Normal 4 3 3 2 3 3 4" xfId="13612" xr:uid="{4FE6DF7A-F2FB-4BE0-9759-373C25211EA0}"/>
    <cellStyle name="Normal 4 3 3 2 3 4" xfId="26276" xr:uid="{890A2DB4-8DD5-431F-800B-C9F8CAA40172}"/>
    <cellStyle name="Normal 4 3 3 2 3 5" xfId="17835" xr:uid="{04C1C0BB-7C1F-4463-A2B6-27359A9F4445}"/>
    <cellStyle name="Normal 4 3 3 2 3 6" xfId="9394" xr:uid="{7B8BA573-CA8F-4352-BDF7-49239FB800C3}"/>
    <cellStyle name="Normal 4 3 3 2 4" xfId="1268" xr:uid="{00000000-0005-0000-0000-000077140000}"/>
    <cellStyle name="Normal 4 3 3 2 4 2" xfId="3498" xr:uid="{00000000-0005-0000-0000-000078140000}"/>
    <cellStyle name="Normal 4 3 3 2 4 2 2" xfId="7720" xr:uid="{00000000-0005-0000-0000-000079140000}"/>
    <cellStyle name="Normal 4 3 3 2 4 2 2 2" xfId="33052" xr:uid="{DAE28DD2-8490-4BB9-83D6-3800D1D2EA1F}"/>
    <cellStyle name="Normal 4 3 3 2 4 2 2 3" xfId="24611" xr:uid="{CBE79B72-370A-43A7-BE00-56226619D5A1}"/>
    <cellStyle name="Normal 4 3 3 2 4 2 2 4" xfId="16170" xr:uid="{B7D48B61-4D2C-4C64-95D6-B8D8FE1AF279}"/>
    <cellStyle name="Normal 4 3 3 2 4 2 3" xfId="28834" xr:uid="{D67A5F38-8226-494A-B85D-85720A9E4CCC}"/>
    <cellStyle name="Normal 4 3 3 2 4 2 4" xfId="20393" xr:uid="{023015BF-A3D0-4786-B3B6-50D8BBCE4D03}"/>
    <cellStyle name="Normal 4 3 3 2 4 2 5" xfId="11952" xr:uid="{678B66F2-B8C2-45BC-86D8-427B334D50A4}"/>
    <cellStyle name="Normal 4 3 3 2 4 3" xfId="5575" xr:uid="{00000000-0005-0000-0000-00007A140000}"/>
    <cellStyle name="Normal 4 3 3 2 4 3 2" xfId="30907" xr:uid="{4174EF4E-01B4-4603-BCF0-DE66D2EA5595}"/>
    <cellStyle name="Normal 4 3 3 2 4 3 3" xfId="22466" xr:uid="{367D7B9E-CEF8-4F2C-BD74-0A2B76126743}"/>
    <cellStyle name="Normal 4 3 3 2 4 3 4" xfId="14025" xr:uid="{9A16E444-74F2-4689-ADFD-FE1C7ECACB73}"/>
    <cellStyle name="Normal 4 3 3 2 4 4" xfId="26689" xr:uid="{C1CFE644-0225-4484-B548-47494E334D3A}"/>
    <cellStyle name="Normal 4 3 3 2 4 5" xfId="18248" xr:uid="{9018D144-882D-4BA0-9DC9-A1C5E5664230}"/>
    <cellStyle name="Normal 4 3 3 2 4 6" xfId="9807" xr:uid="{36A4F59D-03A2-465A-98C5-4407299962A8}"/>
    <cellStyle name="Normal 4 3 3 2 5" xfId="1681" xr:uid="{00000000-0005-0000-0000-00007B140000}"/>
    <cellStyle name="Normal 4 3 3 2 5 2" xfId="3911" xr:uid="{00000000-0005-0000-0000-00007C140000}"/>
    <cellStyle name="Normal 4 3 3 2 5 2 2" xfId="8133" xr:uid="{00000000-0005-0000-0000-00007D140000}"/>
    <cellStyle name="Normal 4 3 3 2 5 2 2 2" xfId="33465" xr:uid="{1D8C50C5-4D20-4C3D-AAE6-43FF95103784}"/>
    <cellStyle name="Normal 4 3 3 2 5 2 2 3" xfId="25024" xr:uid="{FEAAC607-D9EC-483D-A081-A7FBC12F1056}"/>
    <cellStyle name="Normal 4 3 3 2 5 2 2 4" xfId="16583" xr:uid="{C068433C-EF0D-460E-AC67-453BB7FC2BDF}"/>
    <cellStyle name="Normal 4 3 3 2 5 2 3" xfId="29247" xr:uid="{5A10E3E4-FDE0-46B7-A805-F8CD285BD290}"/>
    <cellStyle name="Normal 4 3 3 2 5 2 4" xfId="20806" xr:uid="{BB90391C-F5F5-4DDF-83C3-DA771EF8E301}"/>
    <cellStyle name="Normal 4 3 3 2 5 2 5" xfId="12365" xr:uid="{7087441E-5AA0-47E2-B01C-C40C5B731C5E}"/>
    <cellStyle name="Normal 4 3 3 2 5 3" xfId="5988" xr:uid="{00000000-0005-0000-0000-00007E140000}"/>
    <cellStyle name="Normal 4 3 3 2 5 3 2" xfId="31320" xr:uid="{C5948FF6-306A-4015-A5A7-7C98166D39EE}"/>
    <cellStyle name="Normal 4 3 3 2 5 3 3" xfId="22879" xr:uid="{B469621A-8622-447E-982B-0080F95C7A67}"/>
    <cellStyle name="Normal 4 3 3 2 5 3 4" xfId="14438" xr:uid="{648E9987-8FF1-461F-BDC8-0FB38F49AE8B}"/>
    <cellStyle name="Normal 4 3 3 2 5 4" xfId="27102" xr:uid="{9AB6BF43-7959-4E0A-B391-FE445D07D1C4}"/>
    <cellStyle name="Normal 4 3 3 2 5 5" xfId="18661" xr:uid="{8ECB4774-CD09-45DA-B1A6-8A65FCBCBDAC}"/>
    <cellStyle name="Normal 4 3 3 2 5 6" xfId="10220" xr:uid="{39C7B5A7-1A9B-413E-BC7F-459A7012E847}"/>
    <cellStyle name="Normal 4 3 3 2 6" xfId="2095" xr:uid="{00000000-0005-0000-0000-00007F140000}"/>
    <cellStyle name="Normal 4 3 3 2 6 2" xfId="4324" xr:uid="{00000000-0005-0000-0000-000080140000}"/>
    <cellStyle name="Normal 4 3 3 2 6 2 2" xfId="8546" xr:uid="{00000000-0005-0000-0000-000081140000}"/>
    <cellStyle name="Normal 4 3 3 2 6 2 2 2" xfId="33878" xr:uid="{01A1EB59-07B0-4446-8802-397F8577121D}"/>
    <cellStyle name="Normal 4 3 3 2 6 2 2 3" xfId="25437" xr:uid="{50B103F8-CFD4-44C6-9A3C-5FC14FA214C5}"/>
    <cellStyle name="Normal 4 3 3 2 6 2 2 4" xfId="16996" xr:uid="{5A421B5D-075F-4028-B1DD-AF16D3064545}"/>
    <cellStyle name="Normal 4 3 3 2 6 2 3" xfId="29660" xr:uid="{819DC8AA-9282-4F5E-B45B-86809BF5A7BE}"/>
    <cellStyle name="Normal 4 3 3 2 6 2 4" xfId="21219" xr:uid="{54C0B609-B9F8-4359-ABAD-3286D8B73EAA}"/>
    <cellStyle name="Normal 4 3 3 2 6 2 5" xfId="12778" xr:uid="{1A6C65B7-992A-42A3-8DE5-8E6E737A28B5}"/>
    <cellStyle name="Normal 4 3 3 2 6 3" xfId="6401" xr:uid="{00000000-0005-0000-0000-000082140000}"/>
    <cellStyle name="Normal 4 3 3 2 6 3 2" xfId="31733" xr:uid="{F65E10DC-6595-4E3E-AE91-CF210E24766F}"/>
    <cellStyle name="Normal 4 3 3 2 6 3 3" xfId="23292" xr:uid="{800062F0-4E89-4554-98BA-5AA84D917D29}"/>
    <cellStyle name="Normal 4 3 3 2 6 3 4" xfId="14851" xr:uid="{84AF445A-A0E2-4931-B9F1-8081A50F5FAB}"/>
    <cellStyle name="Normal 4 3 3 2 6 4" xfId="27515" xr:uid="{579C4B3D-09F1-422E-B41C-E98B0F381B3D}"/>
    <cellStyle name="Normal 4 3 3 2 6 5" xfId="19074" xr:uid="{80A87D60-AAE1-49B8-8D4E-8C05617DCC66}"/>
    <cellStyle name="Normal 4 3 3 2 6 6" xfId="10633" xr:uid="{4D2DAAC6-A814-4C3B-A33B-4CF9854862EB}"/>
    <cellStyle name="Normal 4 3 3 2 7" xfId="2531" xr:uid="{00000000-0005-0000-0000-000083140000}"/>
    <cellStyle name="Normal 4 3 3 2 7 2" xfId="6814" xr:uid="{00000000-0005-0000-0000-000084140000}"/>
    <cellStyle name="Normal 4 3 3 2 7 2 2" xfId="32146" xr:uid="{8CA6D441-8EFF-4549-9AB7-C0B027F846BD}"/>
    <cellStyle name="Normal 4 3 3 2 7 2 3" xfId="23705" xr:uid="{724B0C21-792B-4051-A264-942250968E0E}"/>
    <cellStyle name="Normal 4 3 3 2 7 2 4" xfId="15264" xr:uid="{621B5E9D-343E-4D0F-9DA7-3E8D7CB44C94}"/>
    <cellStyle name="Normal 4 3 3 2 7 3" xfId="27928" xr:uid="{F498F3BC-2E7D-428A-BD12-FE28EBD38A28}"/>
    <cellStyle name="Normal 4 3 3 2 7 4" xfId="19487" xr:uid="{72DE9E1F-6901-452E-A7DD-5791AA59F251}"/>
    <cellStyle name="Normal 4 3 3 2 7 5" xfId="11046" xr:uid="{866F657C-9212-4E8A-8CCE-A48D0B77EC6E}"/>
    <cellStyle name="Normal 4 3 3 2 8" xfId="4749" xr:uid="{00000000-0005-0000-0000-000085140000}"/>
    <cellStyle name="Normal 4 3 3 2 8 2" xfId="30081" xr:uid="{CB64BF4A-61B5-41CC-B7BD-11C87BAFF22E}"/>
    <cellStyle name="Normal 4 3 3 2 8 3" xfId="21640" xr:uid="{0D2D8657-5AE1-4AA2-A356-0A150CDDF43B}"/>
    <cellStyle name="Normal 4 3 3 2 8 4" xfId="13199" xr:uid="{3243279B-7771-48C7-807D-8AEC5E8625CA}"/>
    <cellStyle name="Normal 4 3 3 2 9" xfId="25863" xr:uid="{C0464898-1F15-4692-A76E-A39106BE9A11}"/>
    <cellStyle name="Normal 4 3 3 3" xfId="377" xr:uid="{00000000-0005-0000-0000-000086140000}"/>
    <cellStyle name="Normal 4 3 3 3 10" xfId="8983" xr:uid="{28212CA9-D3FE-420F-A5AD-88AAD1834F16}"/>
    <cellStyle name="Normal 4 3 3 3 2" xfId="852" xr:uid="{00000000-0005-0000-0000-000087140000}"/>
    <cellStyle name="Normal 4 3 3 3 2 2" xfId="3087" xr:uid="{00000000-0005-0000-0000-000088140000}"/>
    <cellStyle name="Normal 4 3 3 3 2 2 2" xfId="7309" xr:uid="{00000000-0005-0000-0000-000089140000}"/>
    <cellStyle name="Normal 4 3 3 3 2 2 2 2" xfId="32641" xr:uid="{391A0CE7-39C3-46EB-9D54-7D1667503F40}"/>
    <cellStyle name="Normal 4 3 3 3 2 2 2 3" xfId="24200" xr:uid="{AD034047-A40F-4964-AE27-E485B2FBE6C9}"/>
    <cellStyle name="Normal 4 3 3 3 2 2 2 4" xfId="15759" xr:uid="{BB25C4B2-4F24-4022-BC44-885D32FA9F0A}"/>
    <cellStyle name="Normal 4 3 3 3 2 2 3" xfId="28423" xr:uid="{971330E1-C8FC-41C8-BCF4-F3F8D90C9910}"/>
    <cellStyle name="Normal 4 3 3 3 2 2 4" xfId="19982" xr:uid="{B97A369C-6A36-4766-A8CE-23DF29CA77B7}"/>
    <cellStyle name="Normal 4 3 3 3 2 2 5" xfId="11541" xr:uid="{88219CA5-EF6A-46DE-A687-B5CA3EF0096D}"/>
    <cellStyle name="Normal 4 3 3 3 2 3" xfId="5164" xr:uid="{00000000-0005-0000-0000-00008A140000}"/>
    <cellStyle name="Normal 4 3 3 3 2 3 2" xfId="30496" xr:uid="{E1D6DC41-8C52-4FD3-9DE1-CA450F574907}"/>
    <cellStyle name="Normal 4 3 3 3 2 3 3" xfId="22055" xr:uid="{B99F9C17-5A12-439C-9B0B-1E1DC5A5BCA9}"/>
    <cellStyle name="Normal 4 3 3 3 2 3 4" xfId="13614" xr:uid="{1FAB75F2-5BDB-49D1-9A6F-DE3E113A1CC3}"/>
    <cellStyle name="Normal 4 3 3 3 2 4" xfId="26278" xr:uid="{49EFB29B-FD1A-4048-8A56-8F39AABE3CFC}"/>
    <cellStyle name="Normal 4 3 3 3 2 5" xfId="17837" xr:uid="{B6839BF5-F54A-4F7D-8DB8-6B5CB383492D}"/>
    <cellStyle name="Normal 4 3 3 3 2 6" xfId="9396" xr:uid="{0BD5C6D9-9ED6-4C99-97F9-FF22FAA0FD63}"/>
    <cellStyle name="Normal 4 3 3 3 3" xfId="1270" xr:uid="{00000000-0005-0000-0000-00008B140000}"/>
    <cellStyle name="Normal 4 3 3 3 3 2" xfId="3500" xr:uid="{00000000-0005-0000-0000-00008C140000}"/>
    <cellStyle name="Normal 4 3 3 3 3 2 2" xfId="7722" xr:uid="{00000000-0005-0000-0000-00008D140000}"/>
    <cellStyle name="Normal 4 3 3 3 3 2 2 2" xfId="33054" xr:uid="{4475877B-AAE4-48EA-A97C-C684AC1981E9}"/>
    <cellStyle name="Normal 4 3 3 3 3 2 2 3" xfId="24613" xr:uid="{AE78AA8B-8E73-4BB7-B38B-5078BE180590}"/>
    <cellStyle name="Normal 4 3 3 3 3 2 2 4" xfId="16172" xr:uid="{06E8A559-C492-4373-95DB-F815FBA88D1B}"/>
    <cellStyle name="Normal 4 3 3 3 3 2 3" xfId="28836" xr:uid="{3CD64A65-0D6E-4F79-A7F2-811014E9B815}"/>
    <cellStyle name="Normal 4 3 3 3 3 2 4" xfId="20395" xr:uid="{CEB2C060-CB12-4981-86C5-86B5BE8E8611}"/>
    <cellStyle name="Normal 4 3 3 3 3 2 5" xfId="11954" xr:uid="{7F770071-11DB-4D5F-A9A6-39C01A41BEC9}"/>
    <cellStyle name="Normal 4 3 3 3 3 3" xfId="5577" xr:uid="{00000000-0005-0000-0000-00008E140000}"/>
    <cellStyle name="Normal 4 3 3 3 3 3 2" xfId="30909" xr:uid="{A72966A9-1498-44B8-90F5-5CE6604DB563}"/>
    <cellStyle name="Normal 4 3 3 3 3 3 3" xfId="22468" xr:uid="{76762D32-7EFC-40DD-9B84-DEACADD0A4C9}"/>
    <cellStyle name="Normal 4 3 3 3 3 3 4" xfId="14027" xr:uid="{3088DC01-B741-41F7-8DA7-8C237983FAB8}"/>
    <cellStyle name="Normal 4 3 3 3 3 4" xfId="26691" xr:uid="{9AC48896-BD53-4FFD-B3DE-D4792F1BD842}"/>
    <cellStyle name="Normal 4 3 3 3 3 5" xfId="18250" xr:uid="{5EC9673A-7EAA-40CC-9C76-699A600C397E}"/>
    <cellStyle name="Normal 4 3 3 3 3 6" xfId="9809" xr:uid="{6B9D524B-507F-4500-A60C-BE64E6B1DDE7}"/>
    <cellStyle name="Normal 4 3 3 3 4" xfId="1683" xr:uid="{00000000-0005-0000-0000-00008F140000}"/>
    <cellStyle name="Normal 4 3 3 3 4 2" xfId="3913" xr:uid="{00000000-0005-0000-0000-000090140000}"/>
    <cellStyle name="Normal 4 3 3 3 4 2 2" xfId="8135" xr:uid="{00000000-0005-0000-0000-000091140000}"/>
    <cellStyle name="Normal 4 3 3 3 4 2 2 2" xfId="33467" xr:uid="{46D3C328-983C-4D05-857F-DA5E51072680}"/>
    <cellStyle name="Normal 4 3 3 3 4 2 2 3" xfId="25026" xr:uid="{54087AE8-3AB7-4B8E-8A1B-586E3426E008}"/>
    <cellStyle name="Normal 4 3 3 3 4 2 2 4" xfId="16585" xr:uid="{8EF663E2-8580-41D5-BBF7-151A862AF03B}"/>
    <cellStyle name="Normal 4 3 3 3 4 2 3" xfId="29249" xr:uid="{63571D4D-7634-48F6-AA17-518763752F7E}"/>
    <cellStyle name="Normal 4 3 3 3 4 2 4" xfId="20808" xr:uid="{3802C591-9F34-4FA9-AC0D-3190701C73A6}"/>
    <cellStyle name="Normal 4 3 3 3 4 2 5" xfId="12367" xr:uid="{D3813D95-3683-4541-9A1F-6CF3E100E989}"/>
    <cellStyle name="Normal 4 3 3 3 4 3" xfId="5990" xr:uid="{00000000-0005-0000-0000-000092140000}"/>
    <cellStyle name="Normal 4 3 3 3 4 3 2" xfId="31322" xr:uid="{3599D8A5-1915-4C9B-9772-41EC106045AB}"/>
    <cellStyle name="Normal 4 3 3 3 4 3 3" xfId="22881" xr:uid="{57B275C0-A478-4A8B-A0EE-A3F29B25FF9E}"/>
    <cellStyle name="Normal 4 3 3 3 4 3 4" xfId="14440" xr:uid="{5E278946-D786-4109-8DFA-5300C2A96D68}"/>
    <cellStyle name="Normal 4 3 3 3 4 4" xfId="27104" xr:uid="{25C61F85-CE1B-48E8-9BBB-CBB582E4D32C}"/>
    <cellStyle name="Normal 4 3 3 3 4 5" xfId="18663" xr:uid="{3C589419-E39A-46D0-8603-F4122DAD464D}"/>
    <cellStyle name="Normal 4 3 3 3 4 6" xfId="10222" xr:uid="{3F8B7640-FCEA-4AFF-9742-3C750B584E49}"/>
    <cellStyle name="Normal 4 3 3 3 5" xfId="2097" xr:uid="{00000000-0005-0000-0000-000093140000}"/>
    <cellStyle name="Normal 4 3 3 3 5 2" xfId="4326" xr:uid="{00000000-0005-0000-0000-000094140000}"/>
    <cellStyle name="Normal 4 3 3 3 5 2 2" xfId="8548" xr:uid="{00000000-0005-0000-0000-000095140000}"/>
    <cellStyle name="Normal 4 3 3 3 5 2 2 2" xfId="33880" xr:uid="{9A5EE2C1-4810-4720-B87A-4EBD41C2C76D}"/>
    <cellStyle name="Normal 4 3 3 3 5 2 2 3" xfId="25439" xr:uid="{894E0A4F-C256-4425-B8A7-A09DABD80735}"/>
    <cellStyle name="Normal 4 3 3 3 5 2 2 4" xfId="16998" xr:uid="{2B0D4126-02F3-451F-96EB-CDA6D1E1FB48}"/>
    <cellStyle name="Normal 4 3 3 3 5 2 3" xfId="29662" xr:uid="{82ACB512-2272-46D9-82C7-0C0D30D614FC}"/>
    <cellStyle name="Normal 4 3 3 3 5 2 4" xfId="21221" xr:uid="{0A87EFB3-6ABA-4AB8-A59F-6206F6120204}"/>
    <cellStyle name="Normal 4 3 3 3 5 2 5" xfId="12780" xr:uid="{CE907BF7-C9A1-401D-A701-0C185717F7D0}"/>
    <cellStyle name="Normal 4 3 3 3 5 3" xfId="6403" xr:uid="{00000000-0005-0000-0000-000096140000}"/>
    <cellStyle name="Normal 4 3 3 3 5 3 2" xfId="31735" xr:uid="{D5DDE297-10F0-476C-94D5-2058C624DE0E}"/>
    <cellStyle name="Normal 4 3 3 3 5 3 3" xfId="23294" xr:uid="{83556E9A-A995-47CE-852C-78A1F068B51F}"/>
    <cellStyle name="Normal 4 3 3 3 5 3 4" xfId="14853" xr:uid="{0C7BFD96-C9A9-474C-842A-0DA31F35BD25}"/>
    <cellStyle name="Normal 4 3 3 3 5 4" xfId="27517" xr:uid="{F6C85630-7FC6-4F00-8AA6-E99C8B55289A}"/>
    <cellStyle name="Normal 4 3 3 3 5 5" xfId="19076" xr:uid="{6A536437-6A03-4C23-9661-DF3CFF6FC5CA}"/>
    <cellStyle name="Normal 4 3 3 3 5 6" xfId="10635" xr:uid="{A7F8FF10-F30D-4A5A-BF01-EDDE34F0B411}"/>
    <cellStyle name="Normal 4 3 3 3 6" xfId="2533" xr:uid="{00000000-0005-0000-0000-000097140000}"/>
    <cellStyle name="Normal 4 3 3 3 6 2" xfId="6816" xr:uid="{00000000-0005-0000-0000-000098140000}"/>
    <cellStyle name="Normal 4 3 3 3 6 2 2" xfId="32148" xr:uid="{881CEF98-A97E-4723-9A1B-6C41A5D6961F}"/>
    <cellStyle name="Normal 4 3 3 3 6 2 3" xfId="23707" xr:uid="{963362CE-C97D-4629-A3C0-4B769DC5CB4B}"/>
    <cellStyle name="Normal 4 3 3 3 6 2 4" xfId="15266" xr:uid="{9194023A-CD33-405E-93B9-54507EBA2F97}"/>
    <cellStyle name="Normal 4 3 3 3 6 3" xfId="27930" xr:uid="{13AADACF-B5D1-4A71-BC29-3D48BC94BA55}"/>
    <cellStyle name="Normal 4 3 3 3 6 4" xfId="19489" xr:uid="{92BDDABF-04A2-4F64-975B-1611E17B70C0}"/>
    <cellStyle name="Normal 4 3 3 3 6 5" xfId="11048" xr:uid="{468B1DB6-6A2A-4252-A17B-6159043D031F}"/>
    <cellStyle name="Normal 4 3 3 3 7" xfId="4751" xr:uid="{00000000-0005-0000-0000-000099140000}"/>
    <cellStyle name="Normal 4 3 3 3 7 2" xfId="30083" xr:uid="{36C539F7-B43C-48D0-82B3-01B7AB6EF1DD}"/>
    <cellStyle name="Normal 4 3 3 3 7 3" xfId="21642" xr:uid="{076F48A8-2534-4283-B98D-1CBEB0E484EE}"/>
    <cellStyle name="Normal 4 3 3 3 7 4" xfId="13201" xr:uid="{183203DC-70A9-40B2-82D5-60597F60666A}"/>
    <cellStyle name="Normal 4 3 3 3 8" xfId="25865" xr:uid="{9A5EB2C6-2657-4646-A9EE-9972A64002E2}"/>
    <cellStyle name="Normal 4 3 3 3 9" xfId="17424" xr:uid="{423EFCD3-6B14-4B42-A703-A63B55C9E865}"/>
    <cellStyle name="Normal 4 3 3 4" xfId="849" xr:uid="{00000000-0005-0000-0000-00009A140000}"/>
    <cellStyle name="Normal 4 3 3 4 2" xfId="3084" xr:uid="{00000000-0005-0000-0000-00009B140000}"/>
    <cellStyle name="Normal 4 3 3 4 2 2" xfId="7306" xr:uid="{00000000-0005-0000-0000-00009C140000}"/>
    <cellStyle name="Normal 4 3 3 4 2 2 2" xfId="32638" xr:uid="{105AB4EF-44E9-4F71-8EFF-AC0FEF59A444}"/>
    <cellStyle name="Normal 4 3 3 4 2 2 3" xfId="24197" xr:uid="{BEA605F4-7A0D-4F32-9F54-66D5A080D11F}"/>
    <cellStyle name="Normal 4 3 3 4 2 2 4" xfId="15756" xr:uid="{1602D9CE-3D5D-486A-8EE4-0820D4E49E96}"/>
    <cellStyle name="Normal 4 3 3 4 2 3" xfId="28420" xr:uid="{AB1C17CA-A5F8-42BE-A0F0-05661481A7B8}"/>
    <cellStyle name="Normal 4 3 3 4 2 4" xfId="19979" xr:uid="{05186E3E-3021-4E3E-8621-663B4DE7027D}"/>
    <cellStyle name="Normal 4 3 3 4 2 5" xfId="11538" xr:uid="{FBF9D856-6ADD-4B91-80BA-653C32137E11}"/>
    <cellStyle name="Normal 4 3 3 4 3" xfId="5161" xr:uid="{00000000-0005-0000-0000-00009D140000}"/>
    <cellStyle name="Normal 4 3 3 4 3 2" xfId="30493" xr:uid="{A9CBBD75-352A-410E-B8AB-BF9785F96B81}"/>
    <cellStyle name="Normal 4 3 3 4 3 3" xfId="22052" xr:uid="{8FEE6ABA-FA29-46C8-8881-E2AA53F8385C}"/>
    <cellStyle name="Normal 4 3 3 4 3 4" xfId="13611" xr:uid="{6BA14067-E007-43A2-AE59-F84B9D3A553C}"/>
    <cellStyle name="Normal 4 3 3 4 4" xfId="26275" xr:uid="{2974F108-1F87-417E-A5A8-F6A5EF22FBD5}"/>
    <cellStyle name="Normal 4 3 3 4 5" xfId="17834" xr:uid="{1F7DF60C-B1D1-4F18-83A9-8EF900522478}"/>
    <cellStyle name="Normal 4 3 3 4 6" xfId="9393" xr:uid="{55B45593-C4D3-4C23-8B87-9E8F770E4104}"/>
    <cellStyle name="Normal 4 3 3 5" xfId="1267" xr:uid="{00000000-0005-0000-0000-00009E140000}"/>
    <cellStyle name="Normal 4 3 3 5 2" xfId="3497" xr:uid="{00000000-0005-0000-0000-00009F140000}"/>
    <cellStyle name="Normal 4 3 3 5 2 2" xfId="7719" xr:uid="{00000000-0005-0000-0000-0000A0140000}"/>
    <cellStyle name="Normal 4 3 3 5 2 2 2" xfId="33051" xr:uid="{BB1CC0BC-D8CD-464C-A7A4-1C1BE63EF9B0}"/>
    <cellStyle name="Normal 4 3 3 5 2 2 3" xfId="24610" xr:uid="{F3F30741-9B73-47A2-BBA8-D724DC7C6AA6}"/>
    <cellStyle name="Normal 4 3 3 5 2 2 4" xfId="16169" xr:uid="{12BEDD81-0D68-4A52-81B4-38302532D4DE}"/>
    <cellStyle name="Normal 4 3 3 5 2 3" xfId="28833" xr:uid="{08C1DD84-7E0E-4E20-AC7B-762773CA3F7E}"/>
    <cellStyle name="Normal 4 3 3 5 2 4" xfId="20392" xr:uid="{45EDA49D-1839-4A46-BD5F-E547B979539C}"/>
    <cellStyle name="Normal 4 3 3 5 2 5" xfId="11951" xr:uid="{863CBD49-E7A0-4A2A-A2EB-B4622B6F97CC}"/>
    <cellStyle name="Normal 4 3 3 5 3" xfId="5574" xr:uid="{00000000-0005-0000-0000-0000A1140000}"/>
    <cellStyle name="Normal 4 3 3 5 3 2" xfId="30906" xr:uid="{AC0A2847-4BFD-4CFA-BEE5-89092AB71B05}"/>
    <cellStyle name="Normal 4 3 3 5 3 3" xfId="22465" xr:uid="{C3E1CB5F-717B-4E66-A089-FB54C01B9CF2}"/>
    <cellStyle name="Normal 4 3 3 5 3 4" xfId="14024" xr:uid="{5B168D70-97AD-4D7E-9F78-A4E6E079A318}"/>
    <cellStyle name="Normal 4 3 3 5 4" xfId="26688" xr:uid="{AF482CE0-96B6-4891-A736-638D775A95BF}"/>
    <cellStyle name="Normal 4 3 3 5 5" xfId="18247" xr:uid="{85969B7D-F86E-4C5C-84BF-EDC3BA74BBD1}"/>
    <cellStyle name="Normal 4 3 3 5 6" xfId="9806" xr:uid="{0D0B4A08-0C9A-4616-96A2-3CF23895598F}"/>
    <cellStyle name="Normal 4 3 3 6" xfId="1680" xr:uid="{00000000-0005-0000-0000-0000A2140000}"/>
    <cellStyle name="Normal 4 3 3 6 2" xfId="3910" xr:uid="{00000000-0005-0000-0000-0000A3140000}"/>
    <cellStyle name="Normal 4 3 3 6 2 2" xfId="8132" xr:uid="{00000000-0005-0000-0000-0000A4140000}"/>
    <cellStyle name="Normal 4 3 3 6 2 2 2" xfId="33464" xr:uid="{8A616A6A-649A-4719-A5D8-CCEE112F74E0}"/>
    <cellStyle name="Normal 4 3 3 6 2 2 3" xfId="25023" xr:uid="{68BDA01A-3A25-478B-8A90-96E620DF1048}"/>
    <cellStyle name="Normal 4 3 3 6 2 2 4" xfId="16582" xr:uid="{88B7FDA8-A0A9-4AF5-BFDB-0F25FA57493A}"/>
    <cellStyle name="Normal 4 3 3 6 2 3" xfId="29246" xr:uid="{6D2096B6-03CF-4F08-A0FF-C4A736A39ED0}"/>
    <cellStyle name="Normal 4 3 3 6 2 4" xfId="20805" xr:uid="{8BCE5001-C9E2-426F-A49E-DA71AB3F232C}"/>
    <cellStyle name="Normal 4 3 3 6 2 5" xfId="12364" xr:uid="{1AAD08B9-0A10-404D-BE67-451A71595611}"/>
    <cellStyle name="Normal 4 3 3 6 3" xfId="5987" xr:uid="{00000000-0005-0000-0000-0000A5140000}"/>
    <cellStyle name="Normal 4 3 3 6 3 2" xfId="31319" xr:uid="{21C93D09-25EE-498D-B441-0743A168D49C}"/>
    <cellStyle name="Normal 4 3 3 6 3 3" xfId="22878" xr:uid="{0009ACC9-724A-4CDB-8A9F-ADCDEDACD30A}"/>
    <cellStyle name="Normal 4 3 3 6 3 4" xfId="14437" xr:uid="{72C51D8D-52FA-4BE6-A459-389C22B8C694}"/>
    <cellStyle name="Normal 4 3 3 6 4" xfId="27101" xr:uid="{0768B83F-21B4-4BBD-A81B-4BCFE2A087F9}"/>
    <cellStyle name="Normal 4 3 3 6 5" xfId="18660" xr:uid="{AC709473-A78E-4E82-BBD7-A0EA8FF38376}"/>
    <cellStyle name="Normal 4 3 3 6 6" xfId="10219" xr:uid="{7E35B469-8ED1-4B83-8830-FE92EE287D25}"/>
    <cellStyle name="Normal 4 3 3 7" xfId="2094" xr:uid="{00000000-0005-0000-0000-0000A6140000}"/>
    <cellStyle name="Normal 4 3 3 7 2" xfId="4323" xr:uid="{00000000-0005-0000-0000-0000A7140000}"/>
    <cellStyle name="Normal 4 3 3 7 2 2" xfId="8545" xr:uid="{00000000-0005-0000-0000-0000A8140000}"/>
    <cellStyle name="Normal 4 3 3 7 2 2 2" xfId="33877" xr:uid="{F989E2ED-7089-4716-8C53-44CF0E51A4FE}"/>
    <cellStyle name="Normal 4 3 3 7 2 2 3" xfId="25436" xr:uid="{16EB2CD6-DAE8-4C95-865C-41A76C9FBEFB}"/>
    <cellStyle name="Normal 4 3 3 7 2 2 4" xfId="16995" xr:uid="{F65894B2-DB29-4D64-8ACF-CE557B7076AD}"/>
    <cellStyle name="Normal 4 3 3 7 2 3" xfId="29659" xr:uid="{9288AF10-D339-4757-A74C-FE3B2C225C5D}"/>
    <cellStyle name="Normal 4 3 3 7 2 4" xfId="21218" xr:uid="{708BA1B1-AFB7-4B52-B079-AAA260252E11}"/>
    <cellStyle name="Normal 4 3 3 7 2 5" xfId="12777" xr:uid="{D7755F61-504A-46D8-B073-C574200D06FA}"/>
    <cellStyle name="Normal 4 3 3 7 3" xfId="6400" xr:uid="{00000000-0005-0000-0000-0000A9140000}"/>
    <cellStyle name="Normal 4 3 3 7 3 2" xfId="31732" xr:uid="{533DF619-2355-45B7-ADA7-A0B3B2874988}"/>
    <cellStyle name="Normal 4 3 3 7 3 3" xfId="23291" xr:uid="{1BB99746-33D0-48C3-A756-DACF495A9F6E}"/>
    <cellStyle name="Normal 4 3 3 7 3 4" xfId="14850" xr:uid="{D894B46A-5BEB-4097-B4FC-7AE9D49A523B}"/>
    <cellStyle name="Normal 4 3 3 7 4" xfId="27514" xr:uid="{085632DD-5282-421E-9FC2-2EC71CE51B56}"/>
    <cellStyle name="Normal 4 3 3 7 5" xfId="19073" xr:uid="{C385C4AD-7987-4C5D-A931-28B43B0A8FE3}"/>
    <cellStyle name="Normal 4 3 3 7 6" xfId="10632" xr:uid="{0809441D-039E-42A9-BB74-731196A8C16E}"/>
    <cellStyle name="Normal 4 3 3 8" xfId="2530" xr:uid="{00000000-0005-0000-0000-0000AA140000}"/>
    <cellStyle name="Normal 4 3 3 8 2" xfId="6813" xr:uid="{00000000-0005-0000-0000-0000AB140000}"/>
    <cellStyle name="Normal 4 3 3 8 2 2" xfId="32145" xr:uid="{8AEF5097-AD9E-423F-AA74-4F5D1A625B96}"/>
    <cellStyle name="Normal 4 3 3 8 2 3" xfId="23704" xr:uid="{B143D2DB-A292-496D-B458-177A6025F239}"/>
    <cellStyle name="Normal 4 3 3 8 2 4" xfId="15263" xr:uid="{925E3C84-AB5D-4AB8-ADDF-11940AB0E1BC}"/>
    <cellStyle name="Normal 4 3 3 8 3" xfId="27927" xr:uid="{F2485BC6-4C30-4176-8702-5E80B947A2F2}"/>
    <cellStyle name="Normal 4 3 3 8 4" xfId="19486" xr:uid="{261E9264-0032-45A9-B842-92E5D393CB50}"/>
    <cellStyle name="Normal 4 3 3 8 5" xfId="11045" xr:uid="{EEE59C49-5AE8-4D2F-B08A-1565A21BC642}"/>
    <cellStyle name="Normal 4 3 3 9" xfId="4748" xr:uid="{00000000-0005-0000-0000-0000AC140000}"/>
    <cellStyle name="Normal 4 3 3 9 2" xfId="30080" xr:uid="{F907C51C-0F4E-478E-BBB3-1E78686EE2DC}"/>
    <cellStyle name="Normal 4 3 3 9 3" xfId="21639" xr:uid="{38BCF163-3873-4215-A9F9-C547A4D7FBA6}"/>
    <cellStyle name="Normal 4 3 3 9 4" xfId="13198" xr:uid="{1E6C88F3-87E5-4BA5-BC7B-0DD2BA68FF76}"/>
    <cellStyle name="Normal 4 3 4" xfId="842" xr:uid="{00000000-0005-0000-0000-0000AD140000}"/>
    <cellStyle name="Normal 4 3 4 2" xfId="3079" xr:uid="{00000000-0005-0000-0000-0000AE140000}"/>
    <cellStyle name="Normal 4 3 4 2 2" xfId="7301" xr:uid="{00000000-0005-0000-0000-0000AF140000}"/>
    <cellStyle name="Normal 4 3 4 2 2 2" xfId="32633" xr:uid="{E7BC8B05-E05E-4FD0-B08F-F14827D320C3}"/>
    <cellStyle name="Normal 4 3 4 2 2 3" xfId="24192" xr:uid="{A5D424D1-4333-4B9D-B26A-4C692117649F}"/>
    <cellStyle name="Normal 4 3 4 2 2 4" xfId="15751" xr:uid="{C72A1695-EE01-45B0-8880-4252A72996C9}"/>
    <cellStyle name="Normal 4 3 4 2 3" xfId="28415" xr:uid="{87740098-CB1A-47B5-96F1-AD034EA30639}"/>
    <cellStyle name="Normal 4 3 4 2 4" xfId="19974" xr:uid="{D519AAEE-AFA7-4FF7-8FD8-4A5FD637EF02}"/>
    <cellStyle name="Normal 4 3 4 2 5" xfId="11533" xr:uid="{AB5698FF-1DB8-46E7-9EE6-B880530955EC}"/>
    <cellStyle name="Normal 4 3 4 3" xfId="5156" xr:uid="{00000000-0005-0000-0000-0000B0140000}"/>
    <cellStyle name="Normal 4 3 4 3 2" xfId="30488" xr:uid="{9DAD5CF0-0B12-411B-B727-D8D35B08FCEB}"/>
    <cellStyle name="Normal 4 3 4 3 3" xfId="22047" xr:uid="{3405EF7E-D6BE-4FB6-824D-9989F1205086}"/>
    <cellStyle name="Normal 4 3 4 3 4" xfId="13606" xr:uid="{E07C5859-2B4E-4472-9E58-97BDC2064496}"/>
    <cellStyle name="Normal 4 3 4 4" xfId="26270" xr:uid="{849EEBFD-74CA-4F53-8D25-BCA7C45B29EA}"/>
    <cellStyle name="Normal 4 3 4 5" xfId="17829" xr:uid="{D50C291F-FFC0-4CF6-A4E9-3A29CE40BE2E}"/>
    <cellStyle name="Normal 4 3 4 6" xfId="9388" xr:uid="{D265FC6D-87C3-4E21-A571-4F4A18F379E9}"/>
    <cellStyle name="Normal 4 3 5" xfId="1262" xr:uid="{00000000-0005-0000-0000-0000B1140000}"/>
    <cellStyle name="Normal 4 3 5 2" xfId="3492" xr:uid="{00000000-0005-0000-0000-0000B2140000}"/>
    <cellStyle name="Normal 4 3 5 2 2" xfId="7714" xr:uid="{00000000-0005-0000-0000-0000B3140000}"/>
    <cellStyle name="Normal 4 3 5 2 2 2" xfId="33046" xr:uid="{300657E1-3D50-4169-9C1C-474764C41251}"/>
    <cellStyle name="Normal 4 3 5 2 2 3" xfId="24605" xr:uid="{90931542-CA22-4A3D-AA33-F00BACFB0671}"/>
    <cellStyle name="Normal 4 3 5 2 2 4" xfId="16164" xr:uid="{4D483A6E-BE4C-43EF-AF7F-9E1BDED0D50E}"/>
    <cellStyle name="Normal 4 3 5 2 3" xfId="28828" xr:uid="{02DC63C9-E7C5-4665-BA3E-743647DEEE4D}"/>
    <cellStyle name="Normal 4 3 5 2 4" xfId="20387" xr:uid="{4BE2A54C-9FAB-46E3-88B2-0A91518793AC}"/>
    <cellStyle name="Normal 4 3 5 2 5" xfId="11946" xr:uid="{25171247-64D9-4302-B1A5-05B8DF629D7D}"/>
    <cellStyle name="Normal 4 3 5 3" xfId="5569" xr:uid="{00000000-0005-0000-0000-0000B4140000}"/>
    <cellStyle name="Normal 4 3 5 3 2" xfId="30901" xr:uid="{0090E04E-341A-486B-9649-BDB3770CF19F}"/>
    <cellStyle name="Normal 4 3 5 3 3" xfId="22460" xr:uid="{8F2FF5FF-310B-4AB0-8C9D-0570990E72F1}"/>
    <cellStyle name="Normal 4 3 5 3 4" xfId="14019" xr:uid="{3702B9B5-EB5E-49B4-BDC1-CA7308BC6F7E}"/>
    <cellStyle name="Normal 4 3 5 4" xfId="26683" xr:uid="{A466CBD9-E42F-4BC0-A659-4E331EC5781B}"/>
    <cellStyle name="Normal 4 3 5 5" xfId="18242" xr:uid="{7E7AC880-B997-4B7D-9654-960A9238C9AE}"/>
    <cellStyle name="Normal 4 3 5 6" xfId="9801" xr:uid="{492AE5B6-DB11-4682-95A0-22CC34A760C3}"/>
    <cellStyle name="Normal 4 3 6" xfId="1675" xr:uid="{00000000-0005-0000-0000-0000B5140000}"/>
    <cellStyle name="Normal 4 3 6 2" xfId="3905" xr:uid="{00000000-0005-0000-0000-0000B6140000}"/>
    <cellStyle name="Normal 4 3 6 2 2" xfId="8127" xr:uid="{00000000-0005-0000-0000-0000B7140000}"/>
    <cellStyle name="Normal 4 3 6 2 2 2" xfId="33459" xr:uid="{4D54DC8E-AB60-41AB-B104-F0827C26CF92}"/>
    <cellStyle name="Normal 4 3 6 2 2 3" xfId="25018" xr:uid="{C5B07CAA-8359-4604-95B5-E3D99D16E31D}"/>
    <cellStyle name="Normal 4 3 6 2 2 4" xfId="16577" xr:uid="{FECBE20A-ABD1-4373-942B-12557E46C027}"/>
    <cellStyle name="Normal 4 3 6 2 3" xfId="29241" xr:uid="{010C82CA-8AC7-4477-9CCA-F8F9DD3B34DA}"/>
    <cellStyle name="Normal 4 3 6 2 4" xfId="20800" xr:uid="{55250349-75B8-4183-BED7-98BF0A2966E2}"/>
    <cellStyle name="Normal 4 3 6 2 5" xfId="12359" xr:uid="{F68D291A-C112-4137-BB62-4F32B683DAFB}"/>
    <cellStyle name="Normal 4 3 6 3" xfId="5982" xr:uid="{00000000-0005-0000-0000-0000B8140000}"/>
    <cellStyle name="Normal 4 3 6 3 2" xfId="31314" xr:uid="{BC2DA15D-FB92-46FC-AFC8-1B7C702F81E3}"/>
    <cellStyle name="Normal 4 3 6 3 3" xfId="22873" xr:uid="{70F073CF-B367-4D50-9869-87482F9989B0}"/>
    <cellStyle name="Normal 4 3 6 3 4" xfId="14432" xr:uid="{44B98857-5BEE-4BFF-AE56-3418F1AA1E62}"/>
    <cellStyle name="Normal 4 3 6 4" xfId="27096" xr:uid="{01843B96-3067-4570-A416-D23AA726879E}"/>
    <cellStyle name="Normal 4 3 6 5" xfId="18655" xr:uid="{34B218F0-4FF7-4ADE-A6DF-3D92E18696F8}"/>
    <cellStyle name="Normal 4 3 6 6" xfId="10214" xr:uid="{5A243898-2636-4D3E-9DE4-746A1A0C512A}"/>
    <cellStyle name="Normal 4 3 7" xfId="2089" xr:uid="{00000000-0005-0000-0000-0000B9140000}"/>
    <cellStyle name="Normal 4 3 7 2" xfId="4318" xr:uid="{00000000-0005-0000-0000-0000BA140000}"/>
    <cellStyle name="Normal 4 3 7 2 2" xfId="8540" xr:uid="{00000000-0005-0000-0000-0000BB140000}"/>
    <cellStyle name="Normal 4 3 7 2 2 2" xfId="33872" xr:uid="{7EFE22CE-0CAE-4192-8E89-E425C2411EF8}"/>
    <cellStyle name="Normal 4 3 7 2 2 3" xfId="25431" xr:uid="{C1632F97-8ED1-4542-BCAF-1DE5ABD961EB}"/>
    <cellStyle name="Normal 4 3 7 2 2 4" xfId="16990" xr:uid="{D4BAA25E-A42A-456E-9BA7-B4B7A76131E4}"/>
    <cellStyle name="Normal 4 3 7 2 3" xfId="29654" xr:uid="{E629375B-4317-440F-8B34-FCC0C745AF85}"/>
    <cellStyle name="Normal 4 3 7 2 4" xfId="21213" xr:uid="{958504E7-7BCD-4450-B9FE-4391A8829D85}"/>
    <cellStyle name="Normal 4 3 7 2 5" xfId="12772" xr:uid="{85029A10-17C6-4266-BA19-8BFB76A1F338}"/>
    <cellStyle name="Normal 4 3 7 3" xfId="6395" xr:uid="{00000000-0005-0000-0000-0000BC140000}"/>
    <cellStyle name="Normal 4 3 7 3 2" xfId="31727" xr:uid="{20265F2D-C526-4E55-B2BC-0330DBF9226C}"/>
    <cellStyle name="Normal 4 3 7 3 3" xfId="23286" xr:uid="{C6E6FE13-6CB6-4BD0-AD47-AA94668939BC}"/>
    <cellStyle name="Normal 4 3 7 3 4" xfId="14845" xr:uid="{FE7EA5A1-063D-4158-BC4A-083034CE8ED0}"/>
    <cellStyle name="Normal 4 3 7 4" xfId="27509" xr:uid="{2CFCB81F-C2BE-41F0-A9D5-31F9E959A665}"/>
    <cellStyle name="Normal 4 3 7 5" xfId="19068" xr:uid="{A12EA0A8-602E-4F55-B631-DBC8F8D84C6E}"/>
    <cellStyle name="Normal 4 3 7 6" xfId="10627" xr:uid="{0B5D24F5-2A19-4084-BD8A-6F8FCBB63817}"/>
    <cellStyle name="Normal 4 3 8" xfId="2525" xr:uid="{00000000-0005-0000-0000-0000BD140000}"/>
    <cellStyle name="Normal 4 3 8 2" xfId="6808" xr:uid="{00000000-0005-0000-0000-0000BE140000}"/>
    <cellStyle name="Normal 4 3 8 2 2" xfId="32140" xr:uid="{954C84A8-BCC2-4F8C-A4F0-A6C2FAEC1A28}"/>
    <cellStyle name="Normal 4 3 8 2 3" xfId="23699" xr:uid="{8B562E7E-804C-473C-916D-6989CFA613F9}"/>
    <cellStyle name="Normal 4 3 8 2 4" xfId="15258" xr:uid="{24114E5E-C173-4854-B935-4A2DF181FCA3}"/>
    <cellStyle name="Normal 4 3 8 3" xfId="27922" xr:uid="{7ACCF9C5-564A-4586-AF20-9C39908C2869}"/>
    <cellStyle name="Normal 4 3 8 4" xfId="19481" xr:uid="{3C0A9CE4-F6F7-4AC4-9889-393D717A8D45}"/>
    <cellStyle name="Normal 4 3 8 5" xfId="11040" xr:uid="{AADC65DE-F712-4DFF-83DE-108A75DC28F0}"/>
    <cellStyle name="Normal 4 3 9" xfId="4743" xr:uid="{00000000-0005-0000-0000-0000BF140000}"/>
    <cellStyle name="Normal 4 3 9 2" xfId="30075" xr:uid="{66BF1B7D-3302-43DF-AAE2-905E109036C5}"/>
    <cellStyle name="Normal 4 3 9 3" xfId="21634" xr:uid="{E646A0E3-50B2-4F9E-A4F0-4E3BE2F8CA4E}"/>
    <cellStyle name="Normal 4 3 9 4" xfId="13193" xr:uid="{0B949E15-A44F-4678-8C7D-EEFAD173274D}"/>
    <cellStyle name="Normal 4 4" xfId="378" xr:uid="{00000000-0005-0000-0000-0000C0140000}"/>
    <cellStyle name="Normal 4 4 10" xfId="2534" xr:uid="{00000000-0005-0000-0000-0000C1140000}"/>
    <cellStyle name="Normal 4 4 10 2" xfId="6817" xr:uid="{00000000-0005-0000-0000-0000C2140000}"/>
    <cellStyle name="Normal 4 4 10 2 2" xfId="32149" xr:uid="{57F42868-030D-4EED-A1F7-9D4E5588AA10}"/>
    <cellStyle name="Normal 4 4 10 2 3" xfId="23708" xr:uid="{94C6AF23-0B15-4B03-A745-3ADB00CF1854}"/>
    <cellStyle name="Normal 4 4 10 2 4" xfId="15267" xr:uid="{53491CF9-00B9-43F2-8E3C-5620A3E88500}"/>
    <cellStyle name="Normal 4 4 10 3" xfId="27931" xr:uid="{47CB61EE-A756-4A51-9B44-64B20164AEDF}"/>
    <cellStyle name="Normal 4 4 10 4" xfId="19490" xr:uid="{07570BA6-805A-48EB-A506-0E97FD42F34A}"/>
    <cellStyle name="Normal 4 4 10 5" xfId="11049" xr:uid="{126CA16E-8ADB-411E-A8D2-EC880E10553A}"/>
    <cellStyle name="Normal 4 4 11" xfId="4752" xr:uid="{00000000-0005-0000-0000-0000C3140000}"/>
    <cellStyle name="Normal 4 4 11 2" xfId="30084" xr:uid="{DF458C11-03A6-46A1-BDA1-907C29F4B4AC}"/>
    <cellStyle name="Normal 4 4 11 3" xfId="21643" xr:uid="{1401D74E-54DC-4FED-903A-B188EFF2587A}"/>
    <cellStyle name="Normal 4 4 11 4" xfId="13202" xr:uid="{4E5AAECD-5B08-42FC-AD69-0776D2F0043A}"/>
    <cellStyle name="Normal 4 4 12" xfId="25866" xr:uid="{1559F921-8BE6-4B24-97DD-BA1EF77D94F4}"/>
    <cellStyle name="Normal 4 4 13" xfId="17425" xr:uid="{935A0142-24D5-4C9A-92AA-370A06A3D841}"/>
    <cellStyle name="Normal 4 4 14" xfId="8984" xr:uid="{ADE2B8DD-546C-43DD-BDCC-374E1F567ACC}"/>
    <cellStyle name="Normal 4 4 2" xfId="379" xr:uid="{00000000-0005-0000-0000-0000C4140000}"/>
    <cellStyle name="Normal 4 4 2 10" xfId="4753" xr:uid="{00000000-0005-0000-0000-0000C5140000}"/>
    <cellStyle name="Normal 4 4 2 10 2" xfId="30085" xr:uid="{BCB93D94-4B31-40E7-89AF-4D754A05EE7E}"/>
    <cellStyle name="Normal 4 4 2 10 3" xfId="21644" xr:uid="{E02C9155-C3E4-4179-93C2-C79852502816}"/>
    <cellStyle name="Normal 4 4 2 10 4" xfId="13203" xr:uid="{F151C080-82E7-4523-B797-BC7017326ED5}"/>
    <cellStyle name="Normal 4 4 2 11" xfId="25867" xr:uid="{E6BDBDFB-4031-46E4-A3AB-8DF5061AD38A}"/>
    <cellStyle name="Normal 4 4 2 12" xfId="17426" xr:uid="{99192B37-E051-49C0-98D4-817520142DB9}"/>
    <cellStyle name="Normal 4 4 2 13" xfId="8985" xr:uid="{6AF708EE-85CF-41CA-8C00-4AC64A8FE72F}"/>
    <cellStyle name="Normal 4 4 2 2" xfId="380" xr:uid="{00000000-0005-0000-0000-0000C6140000}"/>
    <cellStyle name="Normal 4 4 2 2 10" xfId="25868" xr:uid="{CFAFC85D-B36F-4D7D-8866-265AE12AB0A5}"/>
    <cellStyle name="Normal 4 4 2 2 11" xfId="17427" xr:uid="{54B6A607-81E3-4DAF-B328-679F854EE5E0}"/>
    <cellStyle name="Normal 4 4 2 2 12" xfId="8986" xr:uid="{4142C027-A9CB-482E-AA7E-00A022E8C8D7}"/>
    <cellStyle name="Normal 4 4 2 2 2" xfId="381" xr:uid="{00000000-0005-0000-0000-0000C7140000}"/>
    <cellStyle name="Normal 4 4 2 2 2 10" xfId="17428" xr:uid="{DC7719E2-156F-4AAD-9AA0-564C7E3B94AA}"/>
    <cellStyle name="Normal 4 4 2 2 2 11" xfId="8987" xr:uid="{0AAA064C-AF58-4DF7-8FFC-7E43841F5726}"/>
    <cellStyle name="Normal 4 4 2 2 2 2" xfId="382" xr:uid="{00000000-0005-0000-0000-0000C8140000}"/>
    <cellStyle name="Normal 4 4 2 2 2 2 10" xfId="8988" xr:uid="{D43B036B-BB01-4D50-89D4-6D7D3054A138}"/>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2 2 2" xfId="32646" xr:uid="{239E8271-9C70-4CC1-9AAE-12B0F826E291}"/>
    <cellStyle name="Normal 4 4 2 2 2 2 2 2 2 3" xfId="24205" xr:uid="{2FFBBCBB-84BF-4E39-B67F-5B5E83A510E3}"/>
    <cellStyle name="Normal 4 4 2 2 2 2 2 2 2 4" xfId="15764" xr:uid="{0CC4AAD8-53F0-45B1-A9DC-B8FB2B27218E}"/>
    <cellStyle name="Normal 4 4 2 2 2 2 2 2 3" xfId="28428" xr:uid="{9767D039-5894-4F13-A0D1-E6AA3FA284E2}"/>
    <cellStyle name="Normal 4 4 2 2 2 2 2 2 4" xfId="19987" xr:uid="{8C7C4558-8C54-4631-8A54-87D05C8DBF03}"/>
    <cellStyle name="Normal 4 4 2 2 2 2 2 2 5" xfId="11546" xr:uid="{2A159296-7BF3-46A3-91A7-9A05A8941341}"/>
    <cellStyle name="Normal 4 4 2 2 2 2 2 3" xfId="5169" xr:uid="{00000000-0005-0000-0000-0000CC140000}"/>
    <cellStyle name="Normal 4 4 2 2 2 2 2 3 2" xfId="30501" xr:uid="{94C6D6A6-A6DC-4A3D-815D-C25EFEE4DFCA}"/>
    <cellStyle name="Normal 4 4 2 2 2 2 2 3 3" xfId="22060" xr:uid="{99E5F205-37C5-494E-AFF1-540CF4E07652}"/>
    <cellStyle name="Normal 4 4 2 2 2 2 2 3 4" xfId="13619" xr:uid="{9B36E595-7576-4B68-BF2B-6866DEEB5EF6}"/>
    <cellStyle name="Normal 4 4 2 2 2 2 2 4" xfId="26283" xr:uid="{A6A1F116-1032-4D5A-9D18-259873D966CD}"/>
    <cellStyle name="Normal 4 4 2 2 2 2 2 5" xfId="17842" xr:uid="{F962208F-3802-45C7-835F-3FCC5E776283}"/>
    <cellStyle name="Normal 4 4 2 2 2 2 2 6" xfId="9401" xr:uid="{D30E8D83-E3D4-4CFF-A555-114F76A7DCA2}"/>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2 2 2" xfId="33059" xr:uid="{8B2677C8-3F83-45B8-9142-0505B3E68C67}"/>
    <cellStyle name="Normal 4 4 2 2 2 2 3 2 2 3" xfId="24618" xr:uid="{838BCE38-C522-4890-BB63-8C51FDDB47FF}"/>
    <cellStyle name="Normal 4 4 2 2 2 2 3 2 2 4" xfId="16177" xr:uid="{C703CB15-F4EF-4989-A262-C9EB943C39D1}"/>
    <cellStyle name="Normal 4 4 2 2 2 2 3 2 3" xfId="28841" xr:uid="{A5FB3072-E832-4C98-80E2-E65FB52CB8A0}"/>
    <cellStyle name="Normal 4 4 2 2 2 2 3 2 4" xfId="20400" xr:uid="{47A56CD6-8BFB-436E-B15A-6480FD583055}"/>
    <cellStyle name="Normal 4 4 2 2 2 2 3 2 5" xfId="11959" xr:uid="{9CBA7B6B-30DB-41C0-A28C-CE49FA368A16}"/>
    <cellStyle name="Normal 4 4 2 2 2 2 3 3" xfId="5582" xr:uid="{00000000-0005-0000-0000-0000D0140000}"/>
    <cellStyle name="Normal 4 4 2 2 2 2 3 3 2" xfId="30914" xr:uid="{672CD53D-8C81-4F84-81A5-C1D37B83C58A}"/>
    <cellStyle name="Normal 4 4 2 2 2 2 3 3 3" xfId="22473" xr:uid="{4637CC68-3783-4B20-91C3-8848114FA59C}"/>
    <cellStyle name="Normal 4 4 2 2 2 2 3 3 4" xfId="14032" xr:uid="{86DF5A6B-3863-4A88-9AE9-D0ED79571040}"/>
    <cellStyle name="Normal 4 4 2 2 2 2 3 4" xfId="26696" xr:uid="{B96F69EA-99BD-4D9D-8233-FD1C1679FDBD}"/>
    <cellStyle name="Normal 4 4 2 2 2 2 3 5" xfId="18255" xr:uid="{1F0A0612-3E81-46B1-804D-6D694221B8DA}"/>
    <cellStyle name="Normal 4 4 2 2 2 2 3 6" xfId="9814" xr:uid="{95742512-3596-40E5-BDB0-549749682A6A}"/>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2 2 2" xfId="33472" xr:uid="{FC3DC8BD-13C3-40D5-9287-C7231624124D}"/>
    <cellStyle name="Normal 4 4 2 2 2 2 4 2 2 3" xfId="25031" xr:uid="{92505282-B476-4AC6-8CD7-4533E809153E}"/>
    <cellStyle name="Normal 4 4 2 2 2 2 4 2 2 4" xfId="16590" xr:uid="{6528EBAE-4076-4C08-89F5-968257E0D3AC}"/>
    <cellStyle name="Normal 4 4 2 2 2 2 4 2 3" xfId="29254" xr:uid="{A38F8555-F900-49EB-ADB3-C91809BD8F27}"/>
    <cellStyle name="Normal 4 4 2 2 2 2 4 2 4" xfId="20813" xr:uid="{6527298E-9A60-4CDB-9FA5-04E1349F5768}"/>
    <cellStyle name="Normal 4 4 2 2 2 2 4 2 5" xfId="12372" xr:uid="{1CBADE20-72E8-43D3-B086-AAE096D43693}"/>
    <cellStyle name="Normal 4 4 2 2 2 2 4 3" xfId="5995" xr:uid="{00000000-0005-0000-0000-0000D4140000}"/>
    <cellStyle name="Normal 4 4 2 2 2 2 4 3 2" xfId="31327" xr:uid="{6E2F43DC-27BA-465E-BF93-C6E8BD0EC7B2}"/>
    <cellStyle name="Normal 4 4 2 2 2 2 4 3 3" xfId="22886" xr:uid="{EBC2A207-3FC9-4BC3-BE73-D3E74AF6C5A6}"/>
    <cellStyle name="Normal 4 4 2 2 2 2 4 3 4" xfId="14445" xr:uid="{E316D065-9D24-4C08-ABFC-2711E21D684F}"/>
    <cellStyle name="Normal 4 4 2 2 2 2 4 4" xfId="27109" xr:uid="{5BAE23CA-5F86-4679-AC92-3FC1FD4C33D6}"/>
    <cellStyle name="Normal 4 4 2 2 2 2 4 5" xfId="18668" xr:uid="{AF84F4E6-D2E5-475B-9F84-C006F8811C82}"/>
    <cellStyle name="Normal 4 4 2 2 2 2 4 6" xfId="10227" xr:uid="{49C4BB63-3D19-41AB-A6B8-98A4813C627A}"/>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2 2 2" xfId="33885" xr:uid="{5D7D91BC-B76E-4EFE-837A-9325A73B7441}"/>
    <cellStyle name="Normal 4 4 2 2 2 2 5 2 2 3" xfId="25444" xr:uid="{4D0AA5C0-9D4E-4AE3-A737-EAD42C55F4D9}"/>
    <cellStyle name="Normal 4 4 2 2 2 2 5 2 2 4" xfId="17003" xr:uid="{D194247A-F4B8-40E1-A418-6959F685A4CE}"/>
    <cellStyle name="Normal 4 4 2 2 2 2 5 2 3" xfId="29667" xr:uid="{8ABF4ADB-C7C9-4779-A2F0-D6E50A65C3B9}"/>
    <cellStyle name="Normal 4 4 2 2 2 2 5 2 4" xfId="21226" xr:uid="{C194CAE6-3886-4C9D-9413-DA3D4C48219C}"/>
    <cellStyle name="Normal 4 4 2 2 2 2 5 2 5" xfId="12785" xr:uid="{824F2BA5-8585-4D43-B7F1-54170A8F5EEB}"/>
    <cellStyle name="Normal 4 4 2 2 2 2 5 3" xfId="6408" xr:uid="{00000000-0005-0000-0000-0000D8140000}"/>
    <cellStyle name="Normal 4 4 2 2 2 2 5 3 2" xfId="31740" xr:uid="{5A0494D3-CDA3-4533-B279-207DDEEA6EF9}"/>
    <cellStyle name="Normal 4 4 2 2 2 2 5 3 3" xfId="23299" xr:uid="{DF0191FF-DFD0-4AFF-8A96-0D7ACD3FFF89}"/>
    <cellStyle name="Normal 4 4 2 2 2 2 5 3 4" xfId="14858" xr:uid="{355E15EE-1798-4468-BC0D-26D0D477E9B8}"/>
    <cellStyle name="Normal 4 4 2 2 2 2 5 4" xfId="27522" xr:uid="{44825FCB-B0CC-4F1C-8A07-9B3FB160C992}"/>
    <cellStyle name="Normal 4 4 2 2 2 2 5 5" xfId="19081" xr:uid="{A335C625-D475-48A2-822A-76A506F9B282}"/>
    <cellStyle name="Normal 4 4 2 2 2 2 5 6" xfId="10640" xr:uid="{60C4B395-4CF3-4C09-AB45-A3B14A2BAA21}"/>
    <cellStyle name="Normal 4 4 2 2 2 2 6" xfId="2538" xr:uid="{00000000-0005-0000-0000-0000D9140000}"/>
    <cellStyle name="Normal 4 4 2 2 2 2 6 2" xfId="6821" xr:uid="{00000000-0005-0000-0000-0000DA140000}"/>
    <cellStyle name="Normal 4 4 2 2 2 2 6 2 2" xfId="32153" xr:uid="{2FAD650D-7A14-47DA-85D7-679C4DFB1130}"/>
    <cellStyle name="Normal 4 4 2 2 2 2 6 2 3" xfId="23712" xr:uid="{9A8A4F77-9209-4194-9ADD-D070A57648DE}"/>
    <cellStyle name="Normal 4 4 2 2 2 2 6 2 4" xfId="15271" xr:uid="{B21F487C-DB78-4395-B387-5B6A65994791}"/>
    <cellStyle name="Normal 4 4 2 2 2 2 6 3" xfId="27935" xr:uid="{651F076E-3825-46B4-B78D-68F91708BE2A}"/>
    <cellStyle name="Normal 4 4 2 2 2 2 6 4" xfId="19494" xr:uid="{02498FFE-B366-4265-82EB-4561FCAAC0F4}"/>
    <cellStyle name="Normal 4 4 2 2 2 2 6 5" xfId="11053" xr:uid="{35FC2AC0-6AB0-4C3D-9312-CE1C6194F4EA}"/>
    <cellStyle name="Normal 4 4 2 2 2 2 7" xfId="4756" xr:uid="{00000000-0005-0000-0000-0000DB140000}"/>
    <cellStyle name="Normal 4 4 2 2 2 2 7 2" xfId="30088" xr:uid="{E69C45A7-F840-4850-A082-00EF649D6B7B}"/>
    <cellStyle name="Normal 4 4 2 2 2 2 7 3" xfId="21647" xr:uid="{7E68C32C-6631-4B9E-A96B-94AED8B5FE0D}"/>
    <cellStyle name="Normal 4 4 2 2 2 2 7 4" xfId="13206" xr:uid="{85F8592F-1A61-4C9E-8E22-BB77C64605DD}"/>
    <cellStyle name="Normal 4 4 2 2 2 2 8" xfId="25870" xr:uid="{26DE9DF8-E73B-49E9-B33F-18096EED7022}"/>
    <cellStyle name="Normal 4 4 2 2 2 2 9" xfId="17429" xr:uid="{A6963801-A628-4336-A7D3-053DCB48AF5E}"/>
    <cellStyle name="Normal 4 4 2 2 2 3" xfId="856" xr:uid="{00000000-0005-0000-0000-0000DC140000}"/>
    <cellStyle name="Normal 4 4 2 2 2 3 2" xfId="3091" xr:uid="{00000000-0005-0000-0000-0000DD140000}"/>
    <cellStyle name="Normal 4 4 2 2 2 3 2 2" xfId="7313" xr:uid="{00000000-0005-0000-0000-0000DE140000}"/>
    <cellStyle name="Normal 4 4 2 2 2 3 2 2 2" xfId="32645" xr:uid="{134CAB7C-3E93-4EE4-B6D0-504AEA0EA8AC}"/>
    <cellStyle name="Normal 4 4 2 2 2 3 2 2 3" xfId="24204" xr:uid="{A0315B68-6B18-44E6-9E09-E6DB52978413}"/>
    <cellStyle name="Normal 4 4 2 2 2 3 2 2 4" xfId="15763" xr:uid="{0FECE150-9A9C-4A4C-AF54-B8909421F34E}"/>
    <cellStyle name="Normal 4 4 2 2 2 3 2 3" xfId="28427" xr:uid="{0EAE485B-03F4-46F6-86F1-3E0D764CB7B1}"/>
    <cellStyle name="Normal 4 4 2 2 2 3 2 4" xfId="19986" xr:uid="{6DE97898-0E54-4E0A-A054-037E571406E3}"/>
    <cellStyle name="Normal 4 4 2 2 2 3 2 5" xfId="11545" xr:uid="{121F8C9E-95D7-4C17-95C4-2B845B6E48AC}"/>
    <cellStyle name="Normal 4 4 2 2 2 3 3" xfId="5168" xr:uid="{00000000-0005-0000-0000-0000DF140000}"/>
    <cellStyle name="Normal 4 4 2 2 2 3 3 2" xfId="30500" xr:uid="{2B77544C-9D39-4D5B-A226-B8BF3800ED2B}"/>
    <cellStyle name="Normal 4 4 2 2 2 3 3 3" xfId="22059" xr:uid="{BB3C104C-7ECC-47C0-AAFD-37BB2F2C102F}"/>
    <cellStyle name="Normal 4 4 2 2 2 3 3 4" xfId="13618" xr:uid="{B4F129A0-AD8C-4640-B1A9-C27FB85471A7}"/>
    <cellStyle name="Normal 4 4 2 2 2 3 4" xfId="26282" xr:uid="{7982DB4B-2718-4D2C-91D6-F50F5B8FA31D}"/>
    <cellStyle name="Normal 4 4 2 2 2 3 5" xfId="17841" xr:uid="{DFA1959A-5F3D-41CB-8D1D-1E43C51AB1E0}"/>
    <cellStyle name="Normal 4 4 2 2 2 3 6" xfId="9400" xr:uid="{96F737CD-CD22-463F-BE4F-D065A628D975}"/>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2 2 2" xfId="33058" xr:uid="{11066F4C-3714-4E79-A39A-D1F685765451}"/>
    <cellStyle name="Normal 4 4 2 2 2 4 2 2 3" xfId="24617" xr:uid="{DFB2E995-1265-43FF-8DC4-9C1A74397C83}"/>
    <cellStyle name="Normal 4 4 2 2 2 4 2 2 4" xfId="16176" xr:uid="{BC9833B8-45EE-4740-AC2E-9F1578BDE1D7}"/>
    <cellStyle name="Normal 4 4 2 2 2 4 2 3" xfId="28840" xr:uid="{B840048A-920A-4EDE-8540-6B377C1A5284}"/>
    <cellStyle name="Normal 4 4 2 2 2 4 2 4" xfId="20399" xr:uid="{9F8CDFCE-1E40-45DA-929F-DBB6E138CE23}"/>
    <cellStyle name="Normal 4 4 2 2 2 4 2 5" xfId="11958" xr:uid="{8D669F12-846F-4373-8AA2-45BEEA1F2AF2}"/>
    <cellStyle name="Normal 4 4 2 2 2 4 3" xfId="5581" xr:uid="{00000000-0005-0000-0000-0000E3140000}"/>
    <cellStyle name="Normal 4 4 2 2 2 4 3 2" xfId="30913" xr:uid="{1C67EF4F-5006-4EA8-B38C-056108806D37}"/>
    <cellStyle name="Normal 4 4 2 2 2 4 3 3" xfId="22472" xr:uid="{2B2D075C-55ED-4FF4-90D4-166B73DEB83A}"/>
    <cellStyle name="Normal 4 4 2 2 2 4 3 4" xfId="14031" xr:uid="{543CEC6E-8EBC-4528-B3D0-80A4DAF16A63}"/>
    <cellStyle name="Normal 4 4 2 2 2 4 4" xfId="26695" xr:uid="{B909B352-AE20-4E4A-98CA-DA773997BE9E}"/>
    <cellStyle name="Normal 4 4 2 2 2 4 5" xfId="18254" xr:uid="{26878C3C-F0ED-461E-8AC4-B0053CDDB2C4}"/>
    <cellStyle name="Normal 4 4 2 2 2 4 6" xfId="9813" xr:uid="{0542D537-CBA4-4F39-B92F-C8927C44F11D}"/>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2 2 2" xfId="33471" xr:uid="{DFD4FA36-0D61-4A76-8C59-DE1AC96BA6D6}"/>
    <cellStyle name="Normal 4 4 2 2 2 5 2 2 3" xfId="25030" xr:uid="{4E65D513-B2DE-43D8-8E4E-A6198E4D0E2C}"/>
    <cellStyle name="Normal 4 4 2 2 2 5 2 2 4" xfId="16589" xr:uid="{D624159E-EF98-4F7B-8C47-375D17576997}"/>
    <cellStyle name="Normal 4 4 2 2 2 5 2 3" xfId="29253" xr:uid="{B50AC722-9178-4F50-BBD5-1997CB0F18C3}"/>
    <cellStyle name="Normal 4 4 2 2 2 5 2 4" xfId="20812" xr:uid="{A0B9D572-9627-4485-869F-B2DDB72341E3}"/>
    <cellStyle name="Normal 4 4 2 2 2 5 2 5" xfId="12371" xr:uid="{A3BFBF97-EB2F-4433-8755-F3231CF2F421}"/>
    <cellStyle name="Normal 4 4 2 2 2 5 3" xfId="5994" xr:uid="{00000000-0005-0000-0000-0000E7140000}"/>
    <cellStyle name="Normal 4 4 2 2 2 5 3 2" xfId="31326" xr:uid="{A6AE52B0-78CD-4FA9-97E4-E77CB7BD99FC}"/>
    <cellStyle name="Normal 4 4 2 2 2 5 3 3" xfId="22885" xr:uid="{32BDBF7A-8002-4EDC-8FDC-7A0520223AE7}"/>
    <cellStyle name="Normal 4 4 2 2 2 5 3 4" xfId="14444" xr:uid="{6251232C-E1A0-4241-8D0A-E721F32D9D2C}"/>
    <cellStyle name="Normal 4 4 2 2 2 5 4" xfId="27108" xr:uid="{AC735175-ED82-4AAD-B6BB-158C9264A4CE}"/>
    <cellStyle name="Normal 4 4 2 2 2 5 5" xfId="18667" xr:uid="{FFE1D28B-76CF-419D-972E-B6391D12F7DA}"/>
    <cellStyle name="Normal 4 4 2 2 2 5 6" xfId="10226" xr:uid="{D83141F9-18BE-4B4A-A8F6-24C145B3F919}"/>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2 2 2" xfId="33884" xr:uid="{9CE21B4D-EB6A-4D67-B917-E45499E85AA6}"/>
    <cellStyle name="Normal 4 4 2 2 2 6 2 2 3" xfId="25443" xr:uid="{9CDF5FD2-701B-48AD-93F1-09A722BB6830}"/>
    <cellStyle name="Normal 4 4 2 2 2 6 2 2 4" xfId="17002" xr:uid="{64A07A90-1E8D-4C54-A109-7DD3A9A55422}"/>
    <cellStyle name="Normal 4 4 2 2 2 6 2 3" xfId="29666" xr:uid="{6C030384-27ED-4AEC-9D55-797C22869D55}"/>
    <cellStyle name="Normal 4 4 2 2 2 6 2 4" xfId="21225" xr:uid="{E22B33BA-CF84-4424-B6E3-83B90AFBD699}"/>
    <cellStyle name="Normal 4 4 2 2 2 6 2 5" xfId="12784" xr:uid="{B0D1400A-BF90-4FDF-A845-CA202279D11F}"/>
    <cellStyle name="Normal 4 4 2 2 2 6 3" xfId="6407" xr:uid="{00000000-0005-0000-0000-0000EB140000}"/>
    <cellStyle name="Normal 4 4 2 2 2 6 3 2" xfId="31739" xr:uid="{58849F14-CF87-431C-8082-BE894C6873F3}"/>
    <cellStyle name="Normal 4 4 2 2 2 6 3 3" xfId="23298" xr:uid="{9B46ABDC-DEC8-4459-B028-4998C3E3BE0C}"/>
    <cellStyle name="Normal 4 4 2 2 2 6 3 4" xfId="14857" xr:uid="{D1A31AF7-54B1-4037-919A-256B67441F4C}"/>
    <cellStyle name="Normal 4 4 2 2 2 6 4" xfId="27521" xr:uid="{ED4080E6-64B9-4356-A117-9DB40E37E9F7}"/>
    <cellStyle name="Normal 4 4 2 2 2 6 5" xfId="19080" xr:uid="{303759BB-5D6D-4F7B-A3F6-270FB69AC71C}"/>
    <cellStyle name="Normal 4 4 2 2 2 6 6" xfId="10639" xr:uid="{C1652368-B653-41AA-A1EE-C33673164B4B}"/>
    <cellStyle name="Normal 4 4 2 2 2 7" xfId="2537" xr:uid="{00000000-0005-0000-0000-0000EC140000}"/>
    <cellStyle name="Normal 4 4 2 2 2 7 2" xfId="6820" xr:uid="{00000000-0005-0000-0000-0000ED140000}"/>
    <cellStyle name="Normal 4 4 2 2 2 7 2 2" xfId="32152" xr:uid="{D38F3E24-6B3C-4D05-A34B-7923060C7CAE}"/>
    <cellStyle name="Normal 4 4 2 2 2 7 2 3" xfId="23711" xr:uid="{EE8A5F1D-B5A5-4B10-B3B4-5446199A619F}"/>
    <cellStyle name="Normal 4 4 2 2 2 7 2 4" xfId="15270" xr:uid="{12A16A16-EA52-4262-BD89-F4E1851FF445}"/>
    <cellStyle name="Normal 4 4 2 2 2 7 3" xfId="27934" xr:uid="{5FDF1C07-FEA6-4813-81A3-A2CB47B62179}"/>
    <cellStyle name="Normal 4 4 2 2 2 7 4" xfId="19493" xr:uid="{81A982F9-AC0E-42A0-AF51-B26D9EB55DA5}"/>
    <cellStyle name="Normal 4 4 2 2 2 7 5" xfId="11052" xr:uid="{74C13315-3E85-442F-8E78-662ACE38E313}"/>
    <cellStyle name="Normal 4 4 2 2 2 8" xfId="4755" xr:uid="{00000000-0005-0000-0000-0000EE140000}"/>
    <cellStyle name="Normal 4 4 2 2 2 8 2" xfId="30087" xr:uid="{0D4848CC-2B81-44F1-812E-B224D36BB600}"/>
    <cellStyle name="Normal 4 4 2 2 2 8 3" xfId="21646" xr:uid="{740704AA-BF80-496D-BD24-0D67D6CAF49A}"/>
    <cellStyle name="Normal 4 4 2 2 2 8 4" xfId="13205" xr:uid="{5D0CDDDB-E06F-4EA1-AD1F-D2BB46B9380C}"/>
    <cellStyle name="Normal 4 4 2 2 2 9" xfId="25869" xr:uid="{1CDC485F-60EF-4E6D-B8DE-F77F99030CC7}"/>
    <cellStyle name="Normal 4 4 2 2 3" xfId="383" xr:uid="{00000000-0005-0000-0000-0000EF140000}"/>
    <cellStyle name="Normal 4 4 2 2 3 10" xfId="8989" xr:uid="{FB0FEB37-56BA-4EE3-ADFF-219577862A6B}"/>
    <cellStyle name="Normal 4 4 2 2 3 2" xfId="858" xr:uid="{00000000-0005-0000-0000-0000F0140000}"/>
    <cellStyle name="Normal 4 4 2 2 3 2 2" xfId="3093" xr:uid="{00000000-0005-0000-0000-0000F1140000}"/>
    <cellStyle name="Normal 4 4 2 2 3 2 2 2" xfId="7315" xr:uid="{00000000-0005-0000-0000-0000F2140000}"/>
    <cellStyle name="Normal 4 4 2 2 3 2 2 2 2" xfId="32647" xr:uid="{C20C94A0-4638-4D9B-9CF2-08EFC3780FAF}"/>
    <cellStyle name="Normal 4 4 2 2 3 2 2 2 3" xfId="24206" xr:uid="{821BA675-C2FD-4A60-9E03-5F12B5BAAC33}"/>
    <cellStyle name="Normal 4 4 2 2 3 2 2 2 4" xfId="15765" xr:uid="{01796F65-3F7F-4CE9-82A3-4F57216924DD}"/>
    <cellStyle name="Normal 4 4 2 2 3 2 2 3" xfId="28429" xr:uid="{5D6F7859-D962-429A-9B3A-1C4B39E19BE3}"/>
    <cellStyle name="Normal 4 4 2 2 3 2 2 4" xfId="19988" xr:uid="{CAA1A87E-6A72-4069-BA7B-088BA6E92194}"/>
    <cellStyle name="Normal 4 4 2 2 3 2 2 5" xfId="11547" xr:uid="{CC401474-1273-4D8B-AF2D-AC2582E2F1EB}"/>
    <cellStyle name="Normal 4 4 2 2 3 2 3" xfId="5170" xr:uid="{00000000-0005-0000-0000-0000F3140000}"/>
    <cellStyle name="Normal 4 4 2 2 3 2 3 2" xfId="30502" xr:uid="{6AF3C8D8-41DD-42ED-B1BC-7B84A956A682}"/>
    <cellStyle name="Normal 4 4 2 2 3 2 3 3" xfId="22061" xr:uid="{E802DE16-328A-4878-B9DC-192FADDED60B}"/>
    <cellStyle name="Normal 4 4 2 2 3 2 3 4" xfId="13620" xr:uid="{B38B85AD-03E7-4DAB-BC27-A604FAF2633F}"/>
    <cellStyle name="Normal 4 4 2 2 3 2 4" xfId="26284" xr:uid="{604A67A8-BFD1-436A-83B5-4DCAF5F04A21}"/>
    <cellStyle name="Normal 4 4 2 2 3 2 5" xfId="17843" xr:uid="{997860BF-519E-419C-A8BD-5AE8B2C5F024}"/>
    <cellStyle name="Normal 4 4 2 2 3 2 6" xfId="9402" xr:uid="{D32A1B22-2FA2-4109-BCA7-986E2342F4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2 2 2" xfId="33060" xr:uid="{0668C126-886C-4979-A033-1C9A39A9D76C}"/>
    <cellStyle name="Normal 4 4 2 2 3 3 2 2 3" xfId="24619" xr:uid="{FA19786C-73A2-4549-81DD-3B8E7F0C5C4F}"/>
    <cellStyle name="Normal 4 4 2 2 3 3 2 2 4" xfId="16178" xr:uid="{7B1B7F36-0954-4356-9154-272FE41720E2}"/>
    <cellStyle name="Normal 4 4 2 2 3 3 2 3" xfId="28842" xr:uid="{118A3299-820A-4693-AAED-4032ADE6A9EB}"/>
    <cellStyle name="Normal 4 4 2 2 3 3 2 4" xfId="20401" xr:uid="{AE0F10C2-4FC7-4E73-8599-DA1733074E00}"/>
    <cellStyle name="Normal 4 4 2 2 3 3 2 5" xfId="11960" xr:uid="{1598B892-2F67-474D-9C49-179BBA793EA0}"/>
    <cellStyle name="Normal 4 4 2 2 3 3 3" xfId="5583" xr:uid="{00000000-0005-0000-0000-0000F7140000}"/>
    <cellStyle name="Normal 4 4 2 2 3 3 3 2" xfId="30915" xr:uid="{3202EA78-F005-4B20-BB42-583E145020DC}"/>
    <cellStyle name="Normal 4 4 2 2 3 3 3 3" xfId="22474" xr:uid="{A214357C-B3E8-44E5-86B2-F4A3DA35B34F}"/>
    <cellStyle name="Normal 4 4 2 2 3 3 3 4" xfId="14033" xr:uid="{3387ECF7-05A4-466D-93EF-F27DDF50038F}"/>
    <cellStyle name="Normal 4 4 2 2 3 3 4" xfId="26697" xr:uid="{C40C74B7-9667-44FF-8698-96ACD4FE2286}"/>
    <cellStyle name="Normal 4 4 2 2 3 3 5" xfId="18256" xr:uid="{77D8B333-B65E-4243-AC38-AC89C7EAEC56}"/>
    <cellStyle name="Normal 4 4 2 2 3 3 6" xfId="9815" xr:uid="{A562293B-D0BC-40F9-A22C-A4AF61ED85B7}"/>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2 2 2" xfId="33473" xr:uid="{24B1550D-1B5A-465A-B115-091C136FB59D}"/>
    <cellStyle name="Normal 4 4 2 2 3 4 2 2 3" xfId="25032" xr:uid="{69C8546D-5B68-4CE7-B148-E52344E31BA2}"/>
    <cellStyle name="Normal 4 4 2 2 3 4 2 2 4" xfId="16591" xr:uid="{092498E5-3C5B-4E68-BD74-A6D11A8A1FA3}"/>
    <cellStyle name="Normal 4 4 2 2 3 4 2 3" xfId="29255" xr:uid="{62982224-9255-4C3F-A810-BD32C836C1E2}"/>
    <cellStyle name="Normal 4 4 2 2 3 4 2 4" xfId="20814" xr:uid="{55C0300A-41B5-4BB9-ABEC-E33BD6502138}"/>
    <cellStyle name="Normal 4 4 2 2 3 4 2 5" xfId="12373" xr:uid="{7D810826-EC6F-45DA-9E14-36815E97A14F}"/>
    <cellStyle name="Normal 4 4 2 2 3 4 3" xfId="5996" xr:uid="{00000000-0005-0000-0000-0000FB140000}"/>
    <cellStyle name="Normal 4 4 2 2 3 4 3 2" xfId="31328" xr:uid="{F7F2BF53-307B-4527-AD58-7AD67BD3F50E}"/>
    <cellStyle name="Normal 4 4 2 2 3 4 3 3" xfId="22887" xr:uid="{D45F2F97-75E0-475B-A1F0-A2FB6ACD6A13}"/>
    <cellStyle name="Normal 4 4 2 2 3 4 3 4" xfId="14446" xr:uid="{D6B97C71-4664-4543-9EAA-EF897893D12D}"/>
    <cellStyle name="Normal 4 4 2 2 3 4 4" xfId="27110" xr:uid="{4F10CF2C-8DA4-403C-80C2-6074DF788A96}"/>
    <cellStyle name="Normal 4 4 2 2 3 4 5" xfId="18669" xr:uid="{517BC0CE-D4C3-40FE-9310-A7F40799D523}"/>
    <cellStyle name="Normal 4 4 2 2 3 4 6" xfId="10228" xr:uid="{2AFED613-5076-48BC-9D3E-75ECA1AF04C3}"/>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2 2 2" xfId="33886" xr:uid="{CFF4F8AB-28B9-4E2B-BA4B-51D1B4AA1E4E}"/>
    <cellStyle name="Normal 4 4 2 2 3 5 2 2 3" xfId="25445" xr:uid="{43F2102A-274E-4EED-ADAD-AF2F0C7A9584}"/>
    <cellStyle name="Normal 4 4 2 2 3 5 2 2 4" xfId="17004" xr:uid="{FA56852F-1C1E-4773-AF57-161A35F834BC}"/>
    <cellStyle name="Normal 4 4 2 2 3 5 2 3" xfId="29668" xr:uid="{D4D72EC5-F1A6-4441-B930-10BE01A53A9F}"/>
    <cellStyle name="Normal 4 4 2 2 3 5 2 4" xfId="21227" xr:uid="{79712A09-EA63-4C37-9571-26E0DFE72374}"/>
    <cellStyle name="Normal 4 4 2 2 3 5 2 5" xfId="12786" xr:uid="{A117E776-E1D6-4F9F-A49B-D266C3EE4D60}"/>
    <cellStyle name="Normal 4 4 2 2 3 5 3" xfId="6409" xr:uid="{00000000-0005-0000-0000-0000FF140000}"/>
    <cellStyle name="Normal 4 4 2 2 3 5 3 2" xfId="31741" xr:uid="{C629AA76-E133-478E-A44C-5B0CABCFF922}"/>
    <cellStyle name="Normal 4 4 2 2 3 5 3 3" xfId="23300" xr:uid="{1E2D4E3B-9C3C-4EF8-ABA0-A42984CAB30A}"/>
    <cellStyle name="Normal 4 4 2 2 3 5 3 4" xfId="14859" xr:uid="{8144EC12-3D64-4A6E-92F7-06EC264995B8}"/>
    <cellStyle name="Normal 4 4 2 2 3 5 4" xfId="27523" xr:uid="{B44C10EA-D7A6-46B6-B2AF-5CB9FE208603}"/>
    <cellStyle name="Normal 4 4 2 2 3 5 5" xfId="19082" xr:uid="{56348913-8AF5-4075-A8A1-BF80542C78D9}"/>
    <cellStyle name="Normal 4 4 2 2 3 5 6" xfId="10641" xr:uid="{0061CD49-A80F-409A-9E3D-4276899AA115}"/>
    <cellStyle name="Normal 4 4 2 2 3 6" xfId="2539" xr:uid="{00000000-0005-0000-0000-000000150000}"/>
    <cellStyle name="Normal 4 4 2 2 3 6 2" xfId="6822" xr:uid="{00000000-0005-0000-0000-000001150000}"/>
    <cellStyle name="Normal 4 4 2 2 3 6 2 2" xfId="32154" xr:uid="{13B6E256-75F7-4652-B721-30C365656924}"/>
    <cellStyle name="Normal 4 4 2 2 3 6 2 3" xfId="23713" xr:uid="{35A1DE80-E1DA-49F0-B821-88597FD11BB4}"/>
    <cellStyle name="Normal 4 4 2 2 3 6 2 4" xfId="15272" xr:uid="{4535709C-544A-4AC8-99FE-5C926408B1A5}"/>
    <cellStyle name="Normal 4 4 2 2 3 6 3" xfId="27936" xr:uid="{BCC561CD-5265-4477-B5AE-A705AD866C4F}"/>
    <cellStyle name="Normal 4 4 2 2 3 6 4" xfId="19495" xr:uid="{BBC6A344-338C-45D3-B712-8AB59389EA19}"/>
    <cellStyle name="Normal 4 4 2 2 3 6 5" xfId="11054" xr:uid="{88E0225B-1260-466D-A6FF-3025422C4A31}"/>
    <cellStyle name="Normal 4 4 2 2 3 7" xfId="4757" xr:uid="{00000000-0005-0000-0000-000002150000}"/>
    <cellStyle name="Normal 4 4 2 2 3 7 2" xfId="30089" xr:uid="{8A753D85-8792-442C-B6A3-0581C5B34765}"/>
    <cellStyle name="Normal 4 4 2 2 3 7 3" xfId="21648" xr:uid="{01EBB559-176D-493E-936D-2972D3DDE8DA}"/>
    <cellStyle name="Normal 4 4 2 2 3 7 4" xfId="13207" xr:uid="{EDC9F758-0F77-4381-B7DE-29046076099A}"/>
    <cellStyle name="Normal 4 4 2 2 3 8" xfId="25871" xr:uid="{8B9BEBE0-D4D0-4688-88CE-5D21B1B7FF30}"/>
    <cellStyle name="Normal 4 4 2 2 3 9" xfId="17430" xr:uid="{A33985B9-0B77-4E9A-88A2-9EF14A496C5C}"/>
    <cellStyle name="Normal 4 4 2 2 4" xfId="855" xr:uid="{00000000-0005-0000-0000-000003150000}"/>
    <cellStyle name="Normal 4 4 2 2 4 2" xfId="3090" xr:uid="{00000000-0005-0000-0000-000004150000}"/>
    <cellStyle name="Normal 4 4 2 2 4 2 2" xfId="7312" xr:uid="{00000000-0005-0000-0000-000005150000}"/>
    <cellStyle name="Normal 4 4 2 2 4 2 2 2" xfId="32644" xr:uid="{005E4880-EA22-4225-BFD9-B2CCDA8D2E28}"/>
    <cellStyle name="Normal 4 4 2 2 4 2 2 3" xfId="24203" xr:uid="{5B63D9D0-DA66-46CE-9A59-B4925E63D22B}"/>
    <cellStyle name="Normal 4 4 2 2 4 2 2 4" xfId="15762" xr:uid="{847CA81C-FE10-4EE8-9E49-69210E972DB3}"/>
    <cellStyle name="Normal 4 4 2 2 4 2 3" xfId="28426" xr:uid="{273B087A-4F15-4D7C-BA56-FCD985DB7256}"/>
    <cellStyle name="Normal 4 4 2 2 4 2 4" xfId="19985" xr:uid="{72C3587B-694F-4071-B925-F2C559C8B843}"/>
    <cellStyle name="Normal 4 4 2 2 4 2 5" xfId="11544" xr:uid="{A8424CB0-2008-4403-9314-AA5FAA8265DA}"/>
    <cellStyle name="Normal 4 4 2 2 4 3" xfId="5167" xr:uid="{00000000-0005-0000-0000-000006150000}"/>
    <cellStyle name="Normal 4 4 2 2 4 3 2" xfId="30499" xr:uid="{55E1146F-F944-4861-97B4-A8A114D263FF}"/>
    <cellStyle name="Normal 4 4 2 2 4 3 3" xfId="22058" xr:uid="{74E328AE-522E-4ED7-BD60-8FA462148C00}"/>
    <cellStyle name="Normal 4 4 2 2 4 3 4" xfId="13617" xr:uid="{21EBF1C6-16D0-40F8-AD1E-3AA41CD1F58C}"/>
    <cellStyle name="Normal 4 4 2 2 4 4" xfId="26281" xr:uid="{1FA4ECD5-3048-49B1-B1C8-6FD315BCEA7E}"/>
    <cellStyle name="Normal 4 4 2 2 4 5" xfId="17840" xr:uid="{86F0D277-2E24-4D35-8166-937695F0FFCE}"/>
    <cellStyle name="Normal 4 4 2 2 4 6" xfId="9399" xr:uid="{D80206C9-E0AD-463F-B668-50563F282AAC}"/>
    <cellStyle name="Normal 4 4 2 2 5" xfId="1273" xr:uid="{00000000-0005-0000-0000-000007150000}"/>
    <cellStyle name="Normal 4 4 2 2 5 2" xfId="3503" xr:uid="{00000000-0005-0000-0000-000008150000}"/>
    <cellStyle name="Normal 4 4 2 2 5 2 2" xfId="7725" xr:uid="{00000000-0005-0000-0000-000009150000}"/>
    <cellStyle name="Normal 4 4 2 2 5 2 2 2" xfId="33057" xr:uid="{466AAEBB-3177-4613-895E-3788D4C0976F}"/>
    <cellStyle name="Normal 4 4 2 2 5 2 2 3" xfId="24616" xr:uid="{81914E1D-E257-4823-9595-A979B74A657C}"/>
    <cellStyle name="Normal 4 4 2 2 5 2 2 4" xfId="16175" xr:uid="{EE8E23FB-2487-4811-B091-B034A3A46832}"/>
    <cellStyle name="Normal 4 4 2 2 5 2 3" xfId="28839" xr:uid="{C2275A1C-EFC9-46D7-926D-530592E47E0F}"/>
    <cellStyle name="Normal 4 4 2 2 5 2 4" xfId="20398" xr:uid="{9856ADFC-5844-452F-9514-39799BCA8DFA}"/>
    <cellStyle name="Normal 4 4 2 2 5 2 5" xfId="11957" xr:uid="{738AE191-BAFB-414B-B92F-B738564CC31E}"/>
    <cellStyle name="Normal 4 4 2 2 5 3" xfId="5580" xr:uid="{00000000-0005-0000-0000-00000A150000}"/>
    <cellStyle name="Normal 4 4 2 2 5 3 2" xfId="30912" xr:uid="{57D2B084-01C9-45DB-A8FE-233982BC49BA}"/>
    <cellStyle name="Normal 4 4 2 2 5 3 3" xfId="22471" xr:uid="{66FC9685-999C-4176-B45F-56E613019A91}"/>
    <cellStyle name="Normal 4 4 2 2 5 3 4" xfId="14030" xr:uid="{559609CA-F64A-4F57-8154-0CA46356B73B}"/>
    <cellStyle name="Normal 4 4 2 2 5 4" xfId="26694" xr:uid="{66EB6535-85B7-45F8-8319-2A573E37AE17}"/>
    <cellStyle name="Normal 4 4 2 2 5 5" xfId="18253" xr:uid="{1D461709-CEB6-4AAA-B283-DE92727DEFFC}"/>
    <cellStyle name="Normal 4 4 2 2 5 6" xfId="9812" xr:uid="{E81325F6-0C92-463B-B55E-CEA44B21E2F0}"/>
    <cellStyle name="Normal 4 4 2 2 6" xfId="1686" xr:uid="{00000000-0005-0000-0000-00000B150000}"/>
    <cellStyle name="Normal 4 4 2 2 6 2" xfId="3916" xr:uid="{00000000-0005-0000-0000-00000C150000}"/>
    <cellStyle name="Normal 4 4 2 2 6 2 2" xfId="8138" xr:uid="{00000000-0005-0000-0000-00000D150000}"/>
    <cellStyle name="Normal 4 4 2 2 6 2 2 2" xfId="33470" xr:uid="{F0D39730-C7A9-49AD-A4D4-11F59FE7238C}"/>
    <cellStyle name="Normal 4 4 2 2 6 2 2 3" xfId="25029" xr:uid="{BFCFFF90-B99E-4402-A5EA-31A48219CB9D}"/>
    <cellStyle name="Normal 4 4 2 2 6 2 2 4" xfId="16588" xr:uid="{BC0267D2-0AD9-4FF7-BC0A-5FF08DEB3601}"/>
    <cellStyle name="Normal 4 4 2 2 6 2 3" xfId="29252" xr:uid="{02085CAF-A25B-41E8-82E5-F4EF2125700E}"/>
    <cellStyle name="Normal 4 4 2 2 6 2 4" xfId="20811" xr:uid="{046DE8FA-63CE-4DB5-95F9-9CD043CEEAEF}"/>
    <cellStyle name="Normal 4 4 2 2 6 2 5" xfId="12370" xr:uid="{F926CF2E-F440-4085-B263-B8EB916FA023}"/>
    <cellStyle name="Normal 4 4 2 2 6 3" xfId="5993" xr:uid="{00000000-0005-0000-0000-00000E150000}"/>
    <cellStyle name="Normal 4 4 2 2 6 3 2" xfId="31325" xr:uid="{8DE66627-0E19-4AD6-A5B7-1282F5A3BBE0}"/>
    <cellStyle name="Normal 4 4 2 2 6 3 3" xfId="22884" xr:uid="{DDD6F5C6-E51F-46C2-B575-5C3FE16C93EF}"/>
    <cellStyle name="Normal 4 4 2 2 6 3 4" xfId="14443" xr:uid="{A24535E0-1C1E-4296-AE1B-87F4BAE2D088}"/>
    <cellStyle name="Normal 4 4 2 2 6 4" xfId="27107" xr:uid="{1FA5F156-5C2F-4E61-B747-2A0D783E3D23}"/>
    <cellStyle name="Normal 4 4 2 2 6 5" xfId="18666" xr:uid="{64AB99AB-F3E0-4DA8-91C8-19C48CCE75AF}"/>
    <cellStyle name="Normal 4 4 2 2 6 6" xfId="10225" xr:uid="{D484A645-85EE-4EFE-924B-408C937F9F1E}"/>
    <cellStyle name="Normal 4 4 2 2 7" xfId="2100" xr:uid="{00000000-0005-0000-0000-00000F150000}"/>
    <cellStyle name="Normal 4 4 2 2 7 2" xfId="4329" xr:uid="{00000000-0005-0000-0000-000010150000}"/>
    <cellStyle name="Normal 4 4 2 2 7 2 2" xfId="8551" xr:uid="{00000000-0005-0000-0000-000011150000}"/>
    <cellStyle name="Normal 4 4 2 2 7 2 2 2" xfId="33883" xr:uid="{AF2F3B73-EF48-44EA-8776-C42365C47C41}"/>
    <cellStyle name="Normal 4 4 2 2 7 2 2 3" xfId="25442" xr:uid="{96E8D15D-5143-498E-8BDB-27AD009C8A0A}"/>
    <cellStyle name="Normal 4 4 2 2 7 2 2 4" xfId="17001" xr:uid="{C9AF23DE-D506-4438-870E-0D7733B652F1}"/>
    <cellStyle name="Normal 4 4 2 2 7 2 3" xfId="29665" xr:uid="{7740465F-A4AA-4F9D-985D-97C90E532DCB}"/>
    <cellStyle name="Normal 4 4 2 2 7 2 4" xfId="21224" xr:uid="{1EBF4FEA-8EA5-4B03-99AF-E5543F0D6D87}"/>
    <cellStyle name="Normal 4 4 2 2 7 2 5" xfId="12783" xr:uid="{FA8F2551-844B-41D1-A652-D9EB9295E062}"/>
    <cellStyle name="Normal 4 4 2 2 7 3" xfId="6406" xr:uid="{00000000-0005-0000-0000-000012150000}"/>
    <cellStyle name="Normal 4 4 2 2 7 3 2" xfId="31738" xr:uid="{5DC846F3-E9CE-4973-81EA-6D3361AD698B}"/>
    <cellStyle name="Normal 4 4 2 2 7 3 3" xfId="23297" xr:uid="{1325B3C2-D2DD-48C1-BBDF-2926FCBE98A7}"/>
    <cellStyle name="Normal 4 4 2 2 7 3 4" xfId="14856" xr:uid="{7A834549-3936-495D-994A-85A7E4EE5821}"/>
    <cellStyle name="Normal 4 4 2 2 7 4" xfId="27520" xr:uid="{7B43F05A-373B-4EB7-AF06-468D79AD4A00}"/>
    <cellStyle name="Normal 4 4 2 2 7 5" xfId="19079" xr:uid="{5E06A006-2549-447D-A8DE-CE4232C4A3C6}"/>
    <cellStyle name="Normal 4 4 2 2 7 6" xfId="10638" xr:uid="{07B2A69D-FAD1-4E58-BE48-C317A864D2D6}"/>
    <cellStyle name="Normal 4 4 2 2 8" xfId="2536" xr:uid="{00000000-0005-0000-0000-000013150000}"/>
    <cellStyle name="Normal 4 4 2 2 8 2" xfId="6819" xr:uid="{00000000-0005-0000-0000-000014150000}"/>
    <cellStyle name="Normal 4 4 2 2 8 2 2" xfId="32151" xr:uid="{9433AD03-1B16-45F9-BE0A-366F15E61192}"/>
    <cellStyle name="Normal 4 4 2 2 8 2 3" xfId="23710" xr:uid="{BCED087C-9531-46C6-8324-E60DBD2761F6}"/>
    <cellStyle name="Normal 4 4 2 2 8 2 4" xfId="15269" xr:uid="{E974F1FF-0BA5-42F8-BB18-2B14243F2B64}"/>
    <cellStyle name="Normal 4 4 2 2 8 3" xfId="27933" xr:uid="{1FCFD5E1-73A8-4595-8A3D-15F412F86ACA}"/>
    <cellStyle name="Normal 4 4 2 2 8 4" xfId="19492" xr:uid="{7DE1B806-559A-4A1A-B070-4188A418ED8F}"/>
    <cellStyle name="Normal 4 4 2 2 8 5" xfId="11051" xr:uid="{41D6C1C9-DF1D-4B0C-A2C5-7D28C1DE833B}"/>
    <cellStyle name="Normal 4 4 2 2 9" xfId="4754" xr:uid="{00000000-0005-0000-0000-000015150000}"/>
    <cellStyle name="Normal 4 4 2 2 9 2" xfId="30086" xr:uid="{3830BD9C-5567-4EF9-BC11-79DF62A16FF0}"/>
    <cellStyle name="Normal 4 4 2 2 9 3" xfId="21645" xr:uid="{82A7E526-160E-4EE8-A597-C1E631355AE5}"/>
    <cellStyle name="Normal 4 4 2 2 9 4" xfId="13204" xr:uid="{6153D69D-71C9-437C-A190-8F8A2D72E574}"/>
    <cellStyle name="Normal 4 4 2 3" xfId="384" xr:uid="{00000000-0005-0000-0000-000016150000}"/>
    <cellStyle name="Normal 4 4 2 3 10" xfId="17431" xr:uid="{276FC0EF-F7C6-4097-9ACF-2BE1A7276595}"/>
    <cellStyle name="Normal 4 4 2 3 11" xfId="8990" xr:uid="{FC801636-8FC6-4A7E-B0CC-1A1CC0B5F9C1}"/>
    <cellStyle name="Normal 4 4 2 3 2" xfId="385" xr:uid="{00000000-0005-0000-0000-000017150000}"/>
    <cellStyle name="Normal 4 4 2 3 2 10" xfId="8991" xr:uid="{93F11E62-F892-458B-AA97-560774568E65}"/>
    <cellStyle name="Normal 4 4 2 3 2 2" xfId="860" xr:uid="{00000000-0005-0000-0000-000018150000}"/>
    <cellStyle name="Normal 4 4 2 3 2 2 2" xfId="3095" xr:uid="{00000000-0005-0000-0000-000019150000}"/>
    <cellStyle name="Normal 4 4 2 3 2 2 2 2" xfId="7317" xr:uid="{00000000-0005-0000-0000-00001A150000}"/>
    <cellStyle name="Normal 4 4 2 3 2 2 2 2 2" xfId="32649" xr:uid="{6E0DC3AF-C522-49FA-8C17-1904B035B3C4}"/>
    <cellStyle name="Normal 4 4 2 3 2 2 2 2 3" xfId="24208" xr:uid="{932D2A7B-9430-44C9-AFBA-2F209487EC34}"/>
    <cellStyle name="Normal 4 4 2 3 2 2 2 2 4" xfId="15767" xr:uid="{740CBBDC-3BF6-42AB-9F25-1A632992C794}"/>
    <cellStyle name="Normal 4 4 2 3 2 2 2 3" xfId="28431" xr:uid="{3B5E21F8-D213-4569-9008-F1534DAA8035}"/>
    <cellStyle name="Normal 4 4 2 3 2 2 2 4" xfId="19990" xr:uid="{54ECFC59-2E7C-4B8A-A464-D7E15F5E496A}"/>
    <cellStyle name="Normal 4 4 2 3 2 2 2 5" xfId="11549" xr:uid="{59D10CE0-40B2-4C24-AB0C-9BC3954F8C0A}"/>
    <cellStyle name="Normal 4 4 2 3 2 2 3" xfId="5172" xr:uid="{00000000-0005-0000-0000-00001B150000}"/>
    <cellStyle name="Normal 4 4 2 3 2 2 3 2" xfId="30504" xr:uid="{E1DC9893-A143-4A38-82D2-ACFBD68DDD83}"/>
    <cellStyle name="Normal 4 4 2 3 2 2 3 3" xfId="22063" xr:uid="{1DDE5BFC-9E5A-4FC5-B3A3-B7919725188C}"/>
    <cellStyle name="Normal 4 4 2 3 2 2 3 4" xfId="13622" xr:uid="{5F727BB2-2040-43D2-94B2-B940112DFFEB}"/>
    <cellStyle name="Normal 4 4 2 3 2 2 4" xfId="26286" xr:uid="{781E50B3-B949-4A8F-B09D-8960A226EE1C}"/>
    <cellStyle name="Normal 4 4 2 3 2 2 5" xfId="17845" xr:uid="{75B1A66E-5D41-400F-8262-E896D311108D}"/>
    <cellStyle name="Normal 4 4 2 3 2 2 6" xfId="9404" xr:uid="{A25790EF-C2D4-465A-93F5-6E026E10F1AD}"/>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2 2 2" xfId="33062" xr:uid="{78811728-AC49-4CA2-9969-92D4348C75A5}"/>
    <cellStyle name="Normal 4 4 2 3 2 3 2 2 3" xfId="24621" xr:uid="{157E2347-374C-4316-BD1C-CAA41BB47D76}"/>
    <cellStyle name="Normal 4 4 2 3 2 3 2 2 4" xfId="16180" xr:uid="{C166DA39-7AA5-4CC4-9EA8-2E069061A016}"/>
    <cellStyle name="Normal 4 4 2 3 2 3 2 3" xfId="28844" xr:uid="{80D3E1E8-8368-43E1-B645-16129ED85EFF}"/>
    <cellStyle name="Normal 4 4 2 3 2 3 2 4" xfId="20403" xr:uid="{22DFE260-8139-42A5-8FA3-2A0640149757}"/>
    <cellStyle name="Normal 4 4 2 3 2 3 2 5" xfId="11962" xr:uid="{AE0A4B5A-14D8-4E34-9734-93F97E475461}"/>
    <cellStyle name="Normal 4 4 2 3 2 3 3" xfId="5585" xr:uid="{00000000-0005-0000-0000-00001F150000}"/>
    <cellStyle name="Normal 4 4 2 3 2 3 3 2" xfId="30917" xr:uid="{7F1E7E18-7854-4E44-8FB2-1F60B2C99537}"/>
    <cellStyle name="Normal 4 4 2 3 2 3 3 3" xfId="22476" xr:uid="{5D5110B2-6633-485C-9326-4509E75BD034}"/>
    <cellStyle name="Normal 4 4 2 3 2 3 3 4" xfId="14035" xr:uid="{1DB979CA-C464-472A-B319-867A0BCDCB43}"/>
    <cellStyle name="Normal 4 4 2 3 2 3 4" xfId="26699" xr:uid="{B6021942-A744-40A4-895E-CE63D5C3DC90}"/>
    <cellStyle name="Normal 4 4 2 3 2 3 5" xfId="18258" xr:uid="{8C47F675-52B8-4541-829D-825EB5F2FFFC}"/>
    <cellStyle name="Normal 4 4 2 3 2 3 6" xfId="9817" xr:uid="{C7B4DDC9-AFE3-43F1-BF2B-593CD17CA077}"/>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2 2 2" xfId="33475" xr:uid="{43F2CB63-233B-41DF-8034-A15AE99EB44E}"/>
    <cellStyle name="Normal 4 4 2 3 2 4 2 2 3" xfId="25034" xr:uid="{5EF6E5C6-424D-4627-A039-48BF26BCFE59}"/>
    <cellStyle name="Normal 4 4 2 3 2 4 2 2 4" xfId="16593" xr:uid="{6A121784-3778-4409-A9C2-B5F63A701A6C}"/>
    <cellStyle name="Normal 4 4 2 3 2 4 2 3" xfId="29257" xr:uid="{147CCDB2-3424-4368-B442-7B153A92B849}"/>
    <cellStyle name="Normal 4 4 2 3 2 4 2 4" xfId="20816" xr:uid="{542F820B-BBA4-415D-8D0C-8B1B0C6544C9}"/>
    <cellStyle name="Normal 4 4 2 3 2 4 2 5" xfId="12375" xr:uid="{9ABCE48D-5716-4560-BB33-48C4D3F2B941}"/>
    <cellStyle name="Normal 4 4 2 3 2 4 3" xfId="5998" xr:uid="{00000000-0005-0000-0000-000023150000}"/>
    <cellStyle name="Normal 4 4 2 3 2 4 3 2" xfId="31330" xr:uid="{E86654F5-2DD8-4D84-BE85-04B0A1B7B725}"/>
    <cellStyle name="Normal 4 4 2 3 2 4 3 3" xfId="22889" xr:uid="{BC64E80E-D1F7-4FC5-B5C1-F4F539F697F4}"/>
    <cellStyle name="Normal 4 4 2 3 2 4 3 4" xfId="14448" xr:uid="{4A86CF43-D7EB-4E90-8BC3-7465C0342440}"/>
    <cellStyle name="Normal 4 4 2 3 2 4 4" xfId="27112" xr:uid="{F0A9D902-1C63-422B-86EF-3BD690A04428}"/>
    <cellStyle name="Normal 4 4 2 3 2 4 5" xfId="18671" xr:uid="{581B2C63-12CB-43B6-9BE3-986FECE03F48}"/>
    <cellStyle name="Normal 4 4 2 3 2 4 6" xfId="10230" xr:uid="{97035211-B039-48F6-A723-ABB619DFAF44}"/>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2 2 2" xfId="33888" xr:uid="{6DBD8C76-770E-44F9-BE5C-824CB525C57E}"/>
    <cellStyle name="Normal 4 4 2 3 2 5 2 2 3" xfId="25447" xr:uid="{1952CCF2-8860-42C0-A482-6DBADFE18512}"/>
    <cellStyle name="Normal 4 4 2 3 2 5 2 2 4" xfId="17006" xr:uid="{5FD6438C-BABF-46F8-BF5B-F1DF8EC2CB91}"/>
    <cellStyle name="Normal 4 4 2 3 2 5 2 3" xfId="29670" xr:uid="{F9B414B1-B9A8-411C-A962-7E60EAD832A7}"/>
    <cellStyle name="Normal 4 4 2 3 2 5 2 4" xfId="21229" xr:uid="{EB69C70B-F008-44E2-A816-5C60CC364843}"/>
    <cellStyle name="Normal 4 4 2 3 2 5 2 5" xfId="12788" xr:uid="{090F7737-9958-4063-B84A-FD4F131ED112}"/>
    <cellStyle name="Normal 4 4 2 3 2 5 3" xfId="6411" xr:uid="{00000000-0005-0000-0000-000027150000}"/>
    <cellStyle name="Normal 4 4 2 3 2 5 3 2" xfId="31743" xr:uid="{E292D5B6-174D-4261-9955-404EED8C218B}"/>
    <cellStyle name="Normal 4 4 2 3 2 5 3 3" xfId="23302" xr:uid="{61EC4277-2100-4596-ACCA-910072C59092}"/>
    <cellStyle name="Normal 4 4 2 3 2 5 3 4" xfId="14861" xr:uid="{02B0A0EA-1D01-4904-B78C-CB8DC09A72A9}"/>
    <cellStyle name="Normal 4 4 2 3 2 5 4" xfId="27525" xr:uid="{9FCB8F13-F05C-4196-95B3-EBA37F69AB24}"/>
    <cellStyle name="Normal 4 4 2 3 2 5 5" xfId="19084" xr:uid="{FACEC17F-3125-4F9D-A08E-666930315C73}"/>
    <cellStyle name="Normal 4 4 2 3 2 5 6" xfId="10643" xr:uid="{02CE4B73-0EC9-4083-8651-7BC2AEC2D7EB}"/>
    <cellStyle name="Normal 4 4 2 3 2 6" xfId="2541" xr:uid="{00000000-0005-0000-0000-000028150000}"/>
    <cellStyle name="Normal 4 4 2 3 2 6 2" xfId="6824" xr:uid="{00000000-0005-0000-0000-000029150000}"/>
    <cellStyle name="Normal 4 4 2 3 2 6 2 2" xfId="32156" xr:uid="{472EE48E-E2C5-48BA-B329-382D3D29B40F}"/>
    <cellStyle name="Normal 4 4 2 3 2 6 2 3" xfId="23715" xr:uid="{93617A50-D967-4459-B746-1EDA9FC5B214}"/>
    <cellStyle name="Normal 4 4 2 3 2 6 2 4" xfId="15274" xr:uid="{951DAB49-B34E-4FFC-B1B7-BBA79E3D7115}"/>
    <cellStyle name="Normal 4 4 2 3 2 6 3" xfId="27938" xr:uid="{93D83843-03F1-41A4-BFD2-1E1B96A78DA0}"/>
    <cellStyle name="Normal 4 4 2 3 2 6 4" xfId="19497" xr:uid="{6D1E2129-4B09-46DA-B785-3955109D38D7}"/>
    <cellStyle name="Normal 4 4 2 3 2 6 5" xfId="11056" xr:uid="{606D56EA-FF85-422F-B09F-88CEC7314FC4}"/>
    <cellStyle name="Normal 4 4 2 3 2 7" xfId="4759" xr:uid="{00000000-0005-0000-0000-00002A150000}"/>
    <cellStyle name="Normal 4 4 2 3 2 7 2" xfId="30091" xr:uid="{6E01C4C3-B74A-4836-ADA0-43B7D161EF80}"/>
    <cellStyle name="Normal 4 4 2 3 2 7 3" xfId="21650" xr:uid="{DD60CD1B-89F3-4D88-8874-6F9444D16544}"/>
    <cellStyle name="Normal 4 4 2 3 2 7 4" xfId="13209" xr:uid="{ABB7E860-465F-4BCE-8AC4-7D4834F055A0}"/>
    <cellStyle name="Normal 4 4 2 3 2 8" xfId="25873" xr:uid="{43341144-9E6C-4EE7-842E-6DB343FF2A7E}"/>
    <cellStyle name="Normal 4 4 2 3 2 9" xfId="17432" xr:uid="{EBFE93B8-51A1-4571-B2CB-0F3131885695}"/>
    <cellStyle name="Normal 4 4 2 3 3" xfId="859" xr:uid="{00000000-0005-0000-0000-00002B150000}"/>
    <cellStyle name="Normal 4 4 2 3 3 2" xfId="3094" xr:uid="{00000000-0005-0000-0000-00002C150000}"/>
    <cellStyle name="Normal 4 4 2 3 3 2 2" xfId="7316" xr:uid="{00000000-0005-0000-0000-00002D150000}"/>
    <cellStyle name="Normal 4 4 2 3 3 2 2 2" xfId="32648" xr:uid="{7A90C500-57A8-4A7B-A2F1-00D3317E52D2}"/>
    <cellStyle name="Normal 4 4 2 3 3 2 2 3" xfId="24207" xr:uid="{BBCE0498-56EA-4B59-BC0B-4CF8217DB56F}"/>
    <cellStyle name="Normal 4 4 2 3 3 2 2 4" xfId="15766" xr:uid="{029DD553-DFD9-4152-B7CE-9C4CEBA49725}"/>
    <cellStyle name="Normal 4 4 2 3 3 2 3" xfId="28430" xr:uid="{4602A549-0EA1-46F5-A478-1DCA96B1D26A}"/>
    <cellStyle name="Normal 4 4 2 3 3 2 4" xfId="19989" xr:uid="{D73D2C77-B112-42E4-95FF-5B8AC5A3BD29}"/>
    <cellStyle name="Normal 4 4 2 3 3 2 5" xfId="11548" xr:uid="{E2366B13-D49E-4369-A961-8F757235B519}"/>
    <cellStyle name="Normal 4 4 2 3 3 3" xfId="5171" xr:uid="{00000000-0005-0000-0000-00002E150000}"/>
    <cellStyle name="Normal 4 4 2 3 3 3 2" xfId="30503" xr:uid="{D8B60780-E2E6-4A63-B98E-214F52679B3E}"/>
    <cellStyle name="Normal 4 4 2 3 3 3 3" xfId="22062" xr:uid="{21701538-F87C-4EC8-BE03-281336C3FD31}"/>
    <cellStyle name="Normal 4 4 2 3 3 3 4" xfId="13621" xr:uid="{030809DE-F383-4E5B-BE7C-6F4BADF81125}"/>
    <cellStyle name="Normal 4 4 2 3 3 4" xfId="26285" xr:uid="{F66167C9-BC0A-4EB7-981A-655B33EFBBB5}"/>
    <cellStyle name="Normal 4 4 2 3 3 5" xfId="17844" xr:uid="{667E9458-5756-4871-8E58-68D3FFF25175}"/>
    <cellStyle name="Normal 4 4 2 3 3 6" xfId="9403" xr:uid="{FFA5E328-5D71-4337-9C6D-260F21CAFB71}"/>
    <cellStyle name="Normal 4 4 2 3 4" xfId="1277" xr:uid="{00000000-0005-0000-0000-00002F150000}"/>
    <cellStyle name="Normal 4 4 2 3 4 2" xfId="3507" xr:uid="{00000000-0005-0000-0000-000030150000}"/>
    <cellStyle name="Normal 4 4 2 3 4 2 2" xfId="7729" xr:uid="{00000000-0005-0000-0000-000031150000}"/>
    <cellStyle name="Normal 4 4 2 3 4 2 2 2" xfId="33061" xr:uid="{B67A92FA-3EF8-4382-B434-E4DB9FC091C4}"/>
    <cellStyle name="Normal 4 4 2 3 4 2 2 3" xfId="24620" xr:uid="{83E21474-02B0-4041-ABC1-5B579E62D80C}"/>
    <cellStyle name="Normal 4 4 2 3 4 2 2 4" xfId="16179" xr:uid="{D02DD27B-7841-4024-837D-90243785311D}"/>
    <cellStyle name="Normal 4 4 2 3 4 2 3" xfId="28843" xr:uid="{33DB2B53-4266-48C4-B430-42E8EE746CB0}"/>
    <cellStyle name="Normal 4 4 2 3 4 2 4" xfId="20402" xr:uid="{EF251D28-2B16-4430-ACCF-1CF484D6BF93}"/>
    <cellStyle name="Normal 4 4 2 3 4 2 5" xfId="11961" xr:uid="{1217A17C-CAC2-4319-B402-7A99145B5C9C}"/>
    <cellStyle name="Normal 4 4 2 3 4 3" xfId="5584" xr:uid="{00000000-0005-0000-0000-000032150000}"/>
    <cellStyle name="Normal 4 4 2 3 4 3 2" xfId="30916" xr:uid="{D08266E2-4336-489A-8019-FC7055189409}"/>
    <cellStyle name="Normal 4 4 2 3 4 3 3" xfId="22475" xr:uid="{8000AA36-8EF1-466F-8B3E-2CBED7C2BDAD}"/>
    <cellStyle name="Normal 4 4 2 3 4 3 4" xfId="14034" xr:uid="{0FE672D6-5417-4336-AFAC-B5BF410EA632}"/>
    <cellStyle name="Normal 4 4 2 3 4 4" xfId="26698" xr:uid="{CAF5454C-DD3C-4156-A5C0-D5DF90893E5B}"/>
    <cellStyle name="Normal 4 4 2 3 4 5" xfId="18257" xr:uid="{52F967CA-CB06-45BC-B4AD-2744D7BA8EA7}"/>
    <cellStyle name="Normal 4 4 2 3 4 6" xfId="9816" xr:uid="{EF1DBFE4-39D9-495F-9D38-C9654093C5FF}"/>
    <cellStyle name="Normal 4 4 2 3 5" xfId="1690" xr:uid="{00000000-0005-0000-0000-000033150000}"/>
    <cellStyle name="Normal 4 4 2 3 5 2" xfId="3920" xr:uid="{00000000-0005-0000-0000-000034150000}"/>
    <cellStyle name="Normal 4 4 2 3 5 2 2" xfId="8142" xr:uid="{00000000-0005-0000-0000-000035150000}"/>
    <cellStyle name="Normal 4 4 2 3 5 2 2 2" xfId="33474" xr:uid="{9E4B4625-438C-4E58-8400-C0813AFED040}"/>
    <cellStyle name="Normal 4 4 2 3 5 2 2 3" xfId="25033" xr:uid="{2DD47ADB-B819-42CE-BC63-AE33E5397652}"/>
    <cellStyle name="Normal 4 4 2 3 5 2 2 4" xfId="16592" xr:uid="{D3D7A17C-35E8-474A-9C50-05E58DC2BDCF}"/>
    <cellStyle name="Normal 4 4 2 3 5 2 3" xfId="29256" xr:uid="{830140F9-951F-459E-B9D8-54E47715F093}"/>
    <cellStyle name="Normal 4 4 2 3 5 2 4" xfId="20815" xr:uid="{BA951BBA-9DB9-4E65-AD29-BB4E95644DAF}"/>
    <cellStyle name="Normal 4 4 2 3 5 2 5" xfId="12374" xr:uid="{89D0792B-33E8-4A53-9573-BBC956739184}"/>
    <cellStyle name="Normal 4 4 2 3 5 3" xfId="5997" xr:uid="{00000000-0005-0000-0000-000036150000}"/>
    <cellStyle name="Normal 4 4 2 3 5 3 2" xfId="31329" xr:uid="{EFA42D01-4AE0-4489-872E-C1FFC3B5E9FF}"/>
    <cellStyle name="Normal 4 4 2 3 5 3 3" xfId="22888" xr:uid="{99B63EC5-BF2A-4367-BEB6-39432DE88BDF}"/>
    <cellStyle name="Normal 4 4 2 3 5 3 4" xfId="14447" xr:uid="{34527202-77C6-4F4E-B973-13274C2CB449}"/>
    <cellStyle name="Normal 4 4 2 3 5 4" xfId="27111" xr:uid="{0A1782CD-08B9-43DE-B8CF-0A1830CAF1D9}"/>
    <cellStyle name="Normal 4 4 2 3 5 5" xfId="18670" xr:uid="{9596991F-6644-4BBC-806E-BB0848806E72}"/>
    <cellStyle name="Normal 4 4 2 3 5 6" xfId="10229" xr:uid="{57C8F48B-A251-4E27-BA7F-8B1C34943428}"/>
    <cellStyle name="Normal 4 4 2 3 6" xfId="2104" xr:uid="{00000000-0005-0000-0000-000037150000}"/>
    <cellStyle name="Normal 4 4 2 3 6 2" xfId="4333" xr:uid="{00000000-0005-0000-0000-000038150000}"/>
    <cellStyle name="Normal 4 4 2 3 6 2 2" xfId="8555" xr:uid="{00000000-0005-0000-0000-000039150000}"/>
    <cellStyle name="Normal 4 4 2 3 6 2 2 2" xfId="33887" xr:uid="{1326A25A-9125-46AA-A496-F57D4C459CE7}"/>
    <cellStyle name="Normal 4 4 2 3 6 2 2 3" xfId="25446" xr:uid="{39446C13-0CF0-4A1A-90FA-92702854BA02}"/>
    <cellStyle name="Normal 4 4 2 3 6 2 2 4" xfId="17005" xr:uid="{F022A6A8-3B40-4C7E-861B-FED309B572C5}"/>
    <cellStyle name="Normal 4 4 2 3 6 2 3" xfId="29669" xr:uid="{FDE5B87B-25C7-4A5C-A3ED-41505712FACB}"/>
    <cellStyle name="Normal 4 4 2 3 6 2 4" xfId="21228" xr:uid="{6C94127F-75FA-47A5-8A14-23CC2630FF1D}"/>
    <cellStyle name="Normal 4 4 2 3 6 2 5" xfId="12787" xr:uid="{791808C5-65B4-4D4F-AA4A-0B0E874ABA07}"/>
    <cellStyle name="Normal 4 4 2 3 6 3" xfId="6410" xr:uid="{00000000-0005-0000-0000-00003A150000}"/>
    <cellStyle name="Normal 4 4 2 3 6 3 2" xfId="31742" xr:uid="{0D92D9E2-671F-40F4-BBAA-B54DC009659C}"/>
    <cellStyle name="Normal 4 4 2 3 6 3 3" xfId="23301" xr:uid="{B3798018-73C5-4080-8280-C481CE638D5D}"/>
    <cellStyle name="Normal 4 4 2 3 6 3 4" xfId="14860" xr:uid="{5F2E843B-D110-4DF2-A63F-F1D99EA15E5C}"/>
    <cellStyle name="Normal 4 4 2 3 6 4" xfId="27524" xr:uid="{D333E081-077F-48A8-83F7-70A0F020ED4F}"/>
    <cellStyle name="Normal 4 4 2 3 6 5" xfId="19083" xr:uid="{25905E6C-F127-4ADF-8A9F-237D38633065}"/>
    <cellStyle name="Normal 4 4 2 3 6 6" xfId="10642" xr:uid="{373DC762-ACFA-4F8B-8A72-CDC8B0ED0EBB}"/>
    <cellStyle name="Normal 4 4 2 3 7" xfId="2540" xr:uid="{00000000-0005-0000-0000-00003B150000}"/>
    <cellStyle name="Normal 4 4 2 3 7 2" xfId="6823" xr:uid="{00000000-0005-0000-0000-00003C150000}"/>
    <cellStyle name="Normal 4 4 2 3 7 2 2" xfId="32155" xr:uid="{D614EE72-910F-4F68-BDA1-6E13273B075F}"/>
    <cellStyle name="Normal 4 4 2 3 7 2 3" xfId="23714" xr:uid="{B68479DD-6451-42D5-80A4-F5EC2CBB44AA}"/>
    <cellStyle name="Normal 4 4 2 3 7 2 4" xfId="15273" xr:uid="{675BBF55-0869-46CF-95DD-252CACB9CAF5}"/>
    <cellStyle name="Normal 4 4 2 3 7 3" xfId="27937" xr:uid="{A0F9C969-5DAA-453C-AC2A-1BC914655B2F}"/>
    <cellStyle name="Normal 4 4 2 3 7 4" xfId="19496" xr:uid="{B19B72B4-8642-46B5-8BD5-BF4501DB14FB}"/>
    <cellStyle name="Normal 4 4 2 3 7 5" xfId="11055" xr:uid="{C109541E-96BF-4B91-A644-4C9BDF64479B}"/>
    <cellStyle name="Normal 4 4 2 3 8" xfId="4758" xr:uid="{00000000-0005-0000-0000-00003D150000}"/>
    <cellStyle name="Normal 4 4 2 3 8 2" xfId="30090" xr:uid="{021C2733-F150-426C-8EEE-B2D2A4428CF8}"/>
    <cellStyle name="Normal 4 4 2 3 8 3" xfId="21649" xr:uid="{4BC75FA7-6FF8-41CA-A1C1-A206A40CA4F4}"/>
    <cellStyle name="Normal 4 4 2 3 8 4" xfId="13208" xr:uid="{3A7F2434-C224-46A0-9FC2-BE5678512742}"/>
    <cellStyle name="Normal 4 4 2 3 9" xfId="25872" xr:uid="{BE4A82AA-DF84-4942-9169-C9860EFA7B10}"/>
    <cellStyle name="Normal 4 4 2 4" xfId="386" xr:uid="{00000000-0005-0000-0000-00003E150000}"/>
    <cellStyle name="Normal 4 4 2 4 10" xfId="8992" xr:uid="{DA44F6D7-3E31-446E-ADE5-039BB1117BF1}"/>
    <cellStyle name="Normal 4 4 2 4 2" xfId="861" xr:uid="{00000000-0005-0000-0000-00003F150000}"/>
    <cellStyle name="Normal 4 4 2 4 2 2" xfId="3096" xr:uid="{00000000-0005-0000-0000-000040150000}"/>
    <cellStyle name="Normal 4 4 2 4 2 2 2" xfId="7318" xr:uid="{00000000-0005-0000-0000-000041150000}"/>
    <cellStyle name="Normal 4 4 2 4 2 2 2 2" xfId="32650" xr:uid="{4974765F-F47B-4E3E-A1E6-E9B33B3F31AE}"/>
    <cellStyle name="Normal 4 4 2 4 2 2 2 3" xfId="24209" xr:uid="{A7F1367B-4182-4701-A6B5-D2E4F94E3CFF}"/>
    <cellStyle name="Normal 4 4 2 4 2 2 2 4" xfId="15768" xr:uid="{20853256-4070-48D7-8611-CC0D34782A3A}"/>
    <cellStyle name="Normal 4 4 2 4 2 2 3" xfId="28432" xr:uid="{6EDA419E-96E1-43CD-BF61-33ED89D0E038}"/>
    <cellStyle name="Normal 4 4 2 4 2 2 4" xfId="19991" xr:uid="{236B1B93-3FB1-4DAB-BFE1-495A36B1AAA5}"/>
    <cellStyle name="Normal 4 4 2 4 2 2 5" xfId="11550" xr:uid="{ED9A4AE1-1E93-476B-B425-AFF633531694}"/>
    <cellStyle name="Normal 4 4 2 4 2 3" xfId="5173" xr:uid="{00000000-0005-0000-0000-000042150000}"/>
    <cellStyle name="Normal 4 4 2 4 2 3 2" xfId="30505" xr:uid="{22E749F5-D5C4-4859-B049-BEF052FAC8FB}"/>
    <cellStyle name="Normal 4 4 2 4 2 3 3" xfId="22064" xr:uid="{EF996A87-CDE4-4720-B696-5ABDD9099115}"/>
    <cellStyle name="Normal 4 4 2 4 2 3 4" xfId="13623" xr:uid="{A73A5DAD-6BDC-4C57-A848-B8840722312C}"/>
    <cellStyle name="Normal 4 4 2 4 2 4" xfId="26287" xr:uid="{B70F3AF7-8D49-4743-827A-6CB8197B2F1D}"/>
    <cellStyle name="Normal 4 4 2 4 2 5" xfId="17846" xr:uid="{57A2DAA0-EA68-4288-93B0-2A058A040F77}"/>
    <cellStyle name="Normal 4 4 2 4 2 6" xfId="9405" xr:uid="{7F9D61D7-4D54-4D3E-9D18-C7282F94DA1B}"/>
    <cellStyle name="Normal 4 4 2 4 3" xfId="1279" xr:uid="{00000000-0005-0000-0000-000043150000}"/>
    <cellStyle name="Normal 4 4 2 4 3 2" xfId="3509" xr:uid="{00000000-0005-0000-0000-000044150000}"/>
    <cellStyle name="Normal 4 4 2 4 3 2 2" xfId="7731" xr:uid="{00000000-0005-0000-0000-000045150000}"/>
    <cellStyle name="Normal 4 4 2 4 3 2 2 2" xfId="33063" xr:uid="{4508314D-9322-4075-8842-1BF537F808F9}"/>
    <cellStyle name="Normal 4 4 2 4 3 2 2 3" xfId="24622" xr:uid="{F9803D2A-63B5-4292-8FA9-4302ABDC1618}"/>
    <cellStyle name="Normal 4 4 2 4 3 2 2 4" xfId="16181" xr:uid="{ABDA5603-18A0-4FFD-AE85-5247D87DF59F}"/>
    <cellStyle name="Normal 4 4 2 4 3 2 3" xfId="28845" xr:uid="{0EACA667-4D64-44CE-8634-02792F6E7542}"/>
    <cellStyle name="Normal 4 4 2 4 3 2 4" xfId="20404" xr:uid="{30F3B31F-068B-4A53-B6DE-0188D56A17C4}"/>
    <cellStyle name="Normal 4 4 2 4 3 2 5" xfId="11963" xr:uid="{DADA43E0-41E6-47DA-8DFA-59F56E6E2D57}"/>
    <cellStyle name="Normal 4 4 2 4 3 3" xfId="5586" xr:uid="{00000000-0005-0000-0000-000046150000}"/>
    <cellStyle name="Normal 4 4 2 4 3 3 2" xfId="30918" xr:uid="{BA24C8A0-CBD1-4892-8193-28D4F4E673A6}"/>
    <cellStyle name="Normal 4 4 2 4 3 3 3" xfId="22477" xr:uid="{03EFAB68-A0FB-4285-B4CB-B53B667CCE31}"/>
    <cellStyle name="Normal 4 4 2 4 3 3 4" xfId="14036" xr:uid="{4DA0C5D9-BAEF-40CD-964F-3E76B719F90C}"/>
    <cellStyle name="Normal 4 4 2 4 3 4" xfId="26700" xr:uid="{B0035C3A-6A16-458E-A717-8438558E5541}"/>
    <cellStyle name="Normal 4 4 2 4 3 5" xfId="18259" xr:uid="{8390AB8B-34BF-4EF4-B392-2CDF9F87D81A}"/>
    <cellStyle name="Normal 4 4 2 4 3 6" xfId="9818" xr:uid="{82252E5B-1260-4756-B08E-D1CDE89C3519}"/>
    <cellStyle name="Normal 4 4 2 4 4" xfId="1692" xr:uid="{00000000-0005-0000-0000-000047150000}"/>
    <cellStyle name="Normal 4 4 2 4 4 2" xfId="3922" xr:uid="{00000000-0005-0000-0000-000048150000}"/>
    <cellStyle name="Normal 4 4 2 4 4 2 2" xfId="8144" xr:uid="{00000000-0005-0000-0000-000049150000}"/>
    <cellStyle name="Normal 4 4 2 4 4 2 2 2" xfId="33476" xr:uid="{2C9A1D90-6544-40BF-8C2A-4FC9FD25F3AE}"/>
    <cellStyle name="Normal 4 4 2 4 4 2 2 3" xfId="25035" xr:uid="{C492152A-1634-4156-B921-B1C9255C6B99}"/>
    <cellStyle name="Normal 4 4 2 4 4 2 2 4" xfId="16594" xr:uid="{693BCE69-15BD-494F-8DF5-6BCB2B5A540A}"/>
    <cellStyle name="Normal 4 4 2 4 4 2 3" xfId="29258" xr:uid="{63D5A222-ABB3-4DC6-9491-1F429BFDD25B}"/>
    <cellStyle name="Normal 4 4 2 4 4 2 4" xfId="20817" xr:uid="{3B1F75BD-2254-4875-9EB3-09EDE7847CDE}"/>
    <cellStyle name="Normal 4 4 2 4 4 2 5" xfId="12376" xr:uid="{80C565FC-A40F-4C2B-A144-78D8A99E7BEE}"/>
    <cellStyle name="Normal 4 4 2 4 4 3" xfId="5999" xr:uid="{00000000-0005-0000-0000-00004A150000}"/>
    <cellStyle name="Normal 4 4 2 4 4 3 2" xfId="31331" xr:uid="{FBF60BF8-0943-4AE3-BBEC-DDF1ADF13B43}"/>
    <cellStyle name="Normal 4 4 2 4 4 3 3" xfId="22890" xr:uid="{E88261E1-372F-43F1-93E2-C5FBC1E1E2F6}"/>
    <cellStyle name="Normal 4 4 2 4 4 3 4" xfId="14449" xr:uid="{4FCA7672-0BFD-49FA-8E99-099F05BA55D3}"/>
    <cellStyle name="Normal 4 4 2 4 4 4" xfId="27113" xr:uid="{16727310-689D-4EFE-B8CB-E3FFB7E3C2A9}"/>
    <cellStyle name="Normal 4 4 2 4 4 5" xfId="18672" xr:uid="{D0671E41-DB64-4517-B1B0-843397563713}"/>
    <cellStyle name="Normal 4 4 2 4 4 6" xfId="10231" xr:uid="{26E5C71E-E14F-487A-9C76-944DFB0649BB}"/>
    <cellStyle name="Normal 4 4 2 4 5" xfId="2106" xr:uid="{00000000-0005-0000-0000-00004B150000}"/>
    <cellStyle name="Normal 4 4 2 4 5 2" xfId="4335" xr:uid="{00000000-0005-0000-0000-00004C150000}"/>
    <cellStyle name="Normal 4 4 2 4 5 2 2" xfId="8557" xr:uid="{00000000-0005-0000-0000-00004D150000}"/>
    <cellStyle name="Normal 4 4 2 4 5 2 2 2" xfId="33889" xr:uid="{3687680E-B715-48EB-98B2-9954CA9A9D93}"/>
    <cellStyle name="Normal 4 4 2 4 5 2 2 3" xfId="25448" xr:uid="{A2C331D3-9401-4AE0-8C96-BF9D16375EF4}"/>
    <cellStyle name="Normal 4 4 2 4 5 2 2 4" xfId="17007" xr:uid="{B3128BEC-96FE-43C1-B9BA-A0C9F55147A3}"/>
    <cellStyle name="Normal 4 4 2 4 5 2 3" xfId="29671" xr:uid="{CA872A52-030C-463E-927F-BEAC0C8703E0}"/>
    <cellStyle name="Normal 4 4 2 4 5 2 4" xfId="21230" xr:uid="{43D27D8F-2F1A-418F-9FFB-E9E1B82B870E}"/>
    <cellStyle name="Normal 4 4 2 4 5 2 5" xfId="12789" xr:uid="{F7B645DD-FCD0-4C3D-B408-A29CED914352}"/>
    <cellStyle name="Normal 4 4 2 4 5 3" xfId="6412" xr:uid="{00000000-0005-0000-0000-00004E150000}"/>
    <cellStyle name="Normal 4 4 2 4 5 3 2" xfId="31744" xr:uid="{C6C5D8F1-AAC3-42CF-B842-8C97A7C77815}"/>
    <cellStyle name="Normal 4 4 2 4 5 3 3" xfId="23303" xr:uid="{0ACEFC41-8DDD-4E2E-8DA4-562BBDB893A4}"/>
    <cellStyle name="Normal 4 4 2 4 5 3 4" xfId="14862" xr:uid="{9D92AE25-2777-45E8-B630-0188AA50C7E5}"/>
    <cellStyle name="Normal 4 4 2 4 5 4" xfId="27526" xr:uid="{52F18109-3041-454A-9636-4FA68BBA4367}"/>
    <cellStyle name="Normal 4 4 2 4 5 5" xfId="19085" xr:uid="{1C7F5911-A22D-4D34-B26E-B9C7E42B4A4F}"/>
    <cellStyle name="Normal 4 4 2 4 5 6" xfId="10644" xr:uid="{B70545C7-1BA7-4C15-826B-D35317A8A349}"/>
    <cellStyle name="Normal 4 4 2 4 6" xfId="2542" xr:uid="{00000000-0005-0000-0000-00004F150000}"/>
    <cellStyle name="Normal 4 4 2 4 6 2" xfId="6825" xr:uid="{00000000-0005-0000-0000-000050150000}"/>
    <cellStyle name="Normal 4 4 2 4 6 2 2" xfId="32157" xr:uid="{106F8437-FB16-4A92-A213-8E5ABFC6C424}"/>
    <cellStyle name="Normal 4 4 2 4 6 2 3" xfId="23716" xr:uid="{8D940F1D-941C-4FB2-85FF-84ED8AA5B527}"/>
    <cellStyle name="Normal 4 4 2 4 6 2 4" xfId="15275" xr:uid="{86F26887-4951-408E-9687-C2601C228B71}"/>
    <cellStyle name="Normal 4 4 2 4 6 3" xfId="27939" xr:uid="{3B9693E3-5B8B-4392-9F94-E31A1CD49382}"/>
    <cellStyle name="Normal 4 4 2 4 6 4" xfId="19498" xr:uid="{1E0B7399-33B1-44BB-A989-E29F728DB5EC}"/>
    <cellStyle name="Normal 4 4 2 4 6 5" xfId="11057" xr:uid="{8DD7A2A2-8ECB-4074-A2A0-BD935A4DE765}"/>
    <cellStyle name="Normal 4 4 2 4 7" xfId="4760" xr:uid="{00000000-0005-0000-0000-000051150000}"/>
    <cellStyle name="Normal 4 4 2 4 7 2" xfId="30092" xr:uid="{D0534E34-351E-4E46-A481-9EB817B6D46D}"/>
    <cellStyle name="Normal 4 4 2 4 7 3" xfId="21651" xr:uid="{A6AA33E6-FE42-4D8C-8B23-5727F99C1C61}"/>
    <cellStyle name="Normal 4 4 2 4 7 4" xfId="13210" xr:uid="{55FAFB68-3196-4E0C-8053-1A9280AA78CF}"/>
    <cellStyle name="Normal 4 4 2 4 8" xfId="25874" xr:uid="{A0690DAC-D2E5-4E46-9E65-16176FD502D4}"/>
    <cellStyle name="Normal 4 4 2 4 9" xfId="17433" xr:uid="{D33DD14B-83B8-494E-9309-131DB4A91BFE}"/>
    <cellStyle name="Normal 4 4 2 5" xfId="854" xr:uid="{00000000-0005-0000-0000-000052150000}"/>
    <cellStyle name="Normal 4 4 2 5 2" xfId="3089" xr:uid="{00000000-0005-0000-0000-000053150000}"/>
    <cellStyle name="Normal 4 4 2 5 2 2" xfId="7311" xr:uid="{00000000-0005-0000-0000-000054150000}"/>
    <cellStyle name="Normal 4 4 2 5 2 2 2" xfId="32643" xr:uid="{9451AF8C-3BFC-4E52-AAEF-62E69DB2CE04}"/>
    <cellStyle name="Normal 4 4 2 5 2 2 3" xfId="24202" xr:uid="{F7B333D0-27A6-4DAC-8078-0B490D58D30E}"/>
    <cellStyle name="Normal 4 4 2 5 2 2 4" xfId="15761" xr:uid="{AB43002C-59CC-4C70-9EA6-7CFAE5F79EB2}"/>
    <cellStyle name="Normal 4 4 2 5 2 3" xfId="28425" xr:uid="{CB5EB09E-C632-4EEA-891A-23815C97B6B2}"/>
    <cellStyle name="Normal 4 4 2 5 2 4" xfId="19984" xr:uid="{54799757-8A76-4090-B227-D7DD9A1EDA86}"/>
    <cellStyle name="Normal 4 4 2 5 2 5" xfId="11543" xr:uid="{43DC90CE-A65A-4FE0-8B8F-D216CF4DBAB4}"/>
    <cellStyle name="Normal 4 4 2 5 3" xfId="5166" xr:uid="{00000000-0005-0000-0000-000055150000}"/>
    <cellStyle name="Normal 4 4 2 5 3 2" xfId="30498" xr:uid="{F2DDD14A-7EE3-4021-A316-DB6B545D28FD}"/>
    <cellStyle name="Normal 4 4 2 5 3 3" xfId="22057" xr:uid="{2EEBA07E-157E-44AB-A3CF-18EE86820586}"/>
    <cellStyle name="Normal 4 4 2 5 3 4" xfId="13616" xr:uid="{A0DB9AE3-510D-46C1-891A-E4E1334B2525}"/>
    <cellStyle name="Normal 4 4 2 5 4" xfId="26280" xr:uid="{EDA7159A-8755-449C-8362-16A956143718}"/>
    <cellStyle name="Normal 4 4 2 5 5" xfId="17839" xr:uid="{DC1296A8-16CA-4BF6-AAC0-53DEB2EC524D}"/>
    <cellStyle name="Normal 4 4 2 5 6" xfId="9398" xr:uid="{7169B56A-CA7F-42B9-A36C-46F51802879A}"/>
    <cellStyle name="Normal 4 4 2 6" xfId="1272" xr:uid="{00000000-0005-0000-0000-000056150000}"/>
    <cellStyle name="Normal 4 4 2 6 2" xfId="3502" xr:uid="{00000000-0005-0000-0000-000057150000}"/>
    <cellStyle name="Normal 4 4 2 6 2 2" xfId="7724" xr:uid="{00000000-0005-0000-0000-000058150000}"/>
    <cellStyle name="Normal 4 4 2 6 2 2 2" xfId="33056" xr:uid="{6C15D18B-25C1-410B-A392-F67DD925F89A}"/>
    <cellStyle name="Normal 4 4 2 6 2 2 3" xfId="24615" xr:uid="{26BB21AF-17A5-4644-B69B-EAE3FC4D9DFD}"/>
    <cellStyle name="Normal 4 4 2 6 2 2 4" xfId="16174" xr:uid="{D964E8CF-4847-46BD-86FF-4C1B68A9953B}"/>
    <cellStyle name="Normal 4 4 2 6 2 3" xfId="28838" xr:uid="{ACA65D87-069E-425C-A79E-DC83F56FE263}"/>
    <cellStyle name="Normal 4 4 2 6 2 4" xfId="20397" xr:uid="{5DBE3578-A953-4389-9FEF-FB78C228BEA9}"/>
    <cellStyle name="Normal 4 4 2 6 2 5" xfId="11956" xr:uid="{B91ECA40-4B3E-4730-90B0-81BD8DA2D665}"/>
    <cellStyle name="Normal 4 4 2 6 3" xfId="5579" xr:uid="{00000000-0005-0000-0000-000059150000}"/>
    <cellStyle name="Normal 4 4 2 6 3 2" xfId="30911" xr:uid="{3F849C1C-0691-4906-8654-45D6FE981661}"/>
    <cellStyle name="Normal 4 4 2 6 3 3" xfId="22470" xr:uid="{E96754B9-7BD6-4CC6-9FC2-6840AB05CC53}"/>
    <cellStyle name="Normal 4 4 2 6 3 4" xfId="14029" xr:uid="{BC804EF8-E83A-45F2-A20D-97E87237FC8C}"/>
    <cellStyle name="Normal 4 4 2 6 4" xfId="26693" xr:uid="{F6625844-1C40-4871-BC32-817FA9CC3910}"/>
    <cellStyle name="Normal 4 4 2 6 5" xfId="18252" xr:uid="{CD0BAD3B-A944-4536-9735-FF75C27B45CF}"/>
    <cellStyle name="Normal 4 4 2 6 6" xfId="9811" xr:uid="{DB869D52-1753-4AFC-817C-1AF79EA6595C}"/>
    <cellStyle name="Normal 4 4 2 7" xfId="1685" xr:uid="{00000000-0005-0000-0000-00005A150000}"/>
    <cellStyle name="Normal 4 4 2 7 2" xfId="3915" xr:uid="{00000000-0005-0000-0000-00005B150000}"/>
    <cellStyle name="Normal 4 4 2 7 2 2" xfId="8137" xr:uid="{00000000-0005-0000-0000-00005C150000}"/>
    <cellStyle name="Normal 4 4 2 7 2 2 2" xfId="33469" xr:uid="{68427CEE-440F-4044-888B-7E02556F9CCB}"/>
    <cellStyle name="Normal 4 4 2 7 2 2 3" xfId="25028" xr:uid="{9ED630C6-E98A-41E5-B835-954C5381C360}"/>
    <cellStyle name="Normal 4 4 2 7 2 2 4" xfId="16587" xr:uid="{9D4DEE4A-D8E1-4E7D-A1AF-EDF6B63690F0}"/>
    <cellStyle name="Normal 4 4 2 7 2 3" xfId="29251" xr:uid="{501AA0A4-AF61-4052-8B3C-FD56FE2C97F3}"/>
    <cellStyle name="Normal 4 4 2 7 2 4" xfId="20810" xr:uid="{BA5AA182-43ED-4ADB-99FE-58DB10C6010A}"/>
    <cellStyle name="Normal 4 4 2 7 2 5" xfId="12369" xr:uid="{F88C7F5F-F9C0-4F49-84BA-BB6CE27EC5FF}"/>
    <cellStyle name="Normal 4 4 2 7 3" xfId="5992" xr:uid="{00000000-0005-0000-0000-00005D150000}"/>
    <cellStyle name="Normal 4 4 2 7 3 2" xfId="31324" xr:uid="{2E8DD1D5-5731-409A-9950-1BB231FF4EED}"/>
    <cellStyle name="Normal 4 4 2 7 3 3" xfId="22883" xr:uid="{5DA703C6-82BF-4F04-B425-6D3CAE78E4D3}"/>
    <cellStyle name="Normal 4 4 2 7 3 4" xfId="14442" xr:uid="{894D16F2-E76A-4294-A17E-796B1CEB4EE7}"/>
    <cellStyle name="Normal 4 4 2 7 4" xfId="27106" xr:uid="{DEFF2929-2701-49F6-A583-EA5C80117A62}"/>
    <cellStyle name="Normal 4 4 2 7 5" xfId="18665" xr:uid="{040EFA7F-93E4-47CD-86A0-296A47AC3771}"/>
    <cellStyle name="Normal 4 4 2 7 6" xfId="10224" xr:uid="{7573F52A-98E4-4BCF-84AE-19DA881865BC}"/>
    <cellStyle name="Normal 4 4 2 8" xfId="2099" xr:uid="{00000000-0005-0000-0000-00005E150000}"/>
    <cellStyle name="Normal 4 4 2 8 2" xfId="4328" xr:uid="{00000000-0005-0000-0000-00005F150000}"/>
    <cellStyle name="Normal 4 4 2 8 2 2" xfId="8550" xr:uid="{00000000-0005-0000-0000-000060150000}"/>
    <cellStyle name="Normal 4 4 2 8 2 2 2" xfId="33882" xr:uid="{58EF6F4E-D9A8-46F6-A327-CCFBA671B85E}"/>
    <cellStyle name="Normal 4 4 2 8 2 2 3" xfId="25441" xr:uid="{D58137D5-F1E6-4C19-B7A5-14EA0B8181E7}"/>
    <cellStyle name="Normal 4 4 2 8 2 2 4" xfId="17000" xr:uid="{3635C7ED-D037-4615-8DCF-520F6DF55F56}"/>
    <cellStyle name="Normal 4 4 2 8 2 3" xfId="29664" xr:uid="{F4571A86-7ABD-4D64-8D99-15DFCA1DFCD7}"/>
    <cellStyle name="Normal 4 4 2 8 2 4" xfId="21223" xr:uid="{4C76EB5E-45C9-42EC-A6B2-07F387F07C16}"/>
    <cellStyle name="Normal 4 4 2 8 2 5" xfId="12782" xr:uid="{0C3A64AD-9A3A-45D4-A8B4-ACCB3EE87B37}"/>
    <cellStyle name="Normal 4 4 2 8 3" xfId="6405" xr:uid="{00000000-0005-0000-0000-000061150000}"/>
    <cellStyle name="Normal 4 4 2 8 3 2" xfId="31737" xr:uid="{5C67FCF1-BC81-492F-A8E1-7438343758AC}"/>
    <cellStyle name="Normal 4 4 2 8 3 3" xfId="23296" xr:uid="{FAFB64CE-1BA4-40F0-B36D-C423E5F6386B}"/>
    <cellStyle name="Normal 4 4 2 8 3 4" xfId="14855" xr:uid="{896C2935-1CE0-48EF-AD00-92C50CC11B45}"/>
    <cellStyle name="Normal 4 4 2 8 4" xfId="27519" xr:uid="{7BF1B8E8-7870-4423-B731-1350BF37C17F}"/>
    <cellStyle name="Normal 4 4 2 8 5" xfId="19078" xr:uid="{DCFCAA6D-BB2A-42D7-A2BD-3376DA44407A}"/>
    <cellStyle name="Normal 4 4 2 8 6" xfId="10637" xr:uid="{390730AC-B1B9-434F-8670-9A0985FC6D09}"/>
    <cellStyle name="Normal 4 4 2 9" xfId="2535" xr:uid="{00000000-0005-0000-0000-000062150000}"/>
    <cellStyle name="Normal 4 4 2 9 2" xfId="6818" xr:uid="{00000000-0005-0000-0000-000063150000}"/>
    <cellStyle name="Normal 4 4 2 9 2 2" xfId="32150" xr:uid="{13DB6867-C239-42E0-8B79-E31BD0FEC83A}"/>
    <cellStyle name="Normal 4 4 2 9 2 3" xfId="23709" xr:uid="{26062AC9-793F-4E09-9ABC-A58171B01093}"/>
    <cellStyle name="Normal 4 4 2 9 2 4" xfId="15268" xr:uid="{9CAAF52B-29A2-4177-B5C9-E2770EAF9912}"/>
    <cellStyle name="Normal 4 4 2 9 3" xfId="27932" xr:uid="{E551FFD6-F9EE-4AC1-9C8C-D706361EB470}"/>
    <cellStyle name="Normal 4 4 2 9 4" xfId="19491" xr:uid="{0C88A7D2-72F2-4328-BAF8-464D54573E47}"/>
    <cellStyle name="Normal 4 4 2 9 5" xfId="11050" xr:uid="{DFAE10CF-2057-443E-8FC7-6C0EEECE9821}"/>
    <cellStyle name="Normal 4 4 3" xfId="387" xr:uid="{00000000-0005-0000-0000-000064150000}"/>
    <cellStyle name="Normal 4 4 3 10" xfId="25875" xr:uid="{8C0574D8-6C9E-4DF2-A391-7512B131C77C}"/>
    <cellStyle name="Normal 4 4 3 11" xfId="17434" xr:uid="{54B301B9-BABE-484B-947F-CC6796215FCB}"/>
    <cellStyle name="Normal 4 4 3 12" xfId="8993" xr:uid="{01BD9B79-E04D-4829-81E7-D03817F79744}"/>
    <cellStyle name="Normal 4 4 3 2" xfId="388" xr:uid="{00000000-0005-0000-0000-000065150000}"/>
    <cellStyle name="Normal 4 4 3 2 10" xfId="17435" xr:uid="{DF10A66D-F140-40A3-8930-F8417ADE745A}"/>
    <cellStyle name="Normal 4 4 3 2 11" xfId="8994" xr:uid="{7A2EB3DC-5DBE-4DEB-AEDE-FECD5ACCCA8C}"/>
    <cellStyle name="Normal 4 4 3 2 2" xfId="389" xr:uid="{00000000-0005-0000-0000-000066150000}"/>
    <cellStyle name="Normal 4 4 3 2 2 10" xfId="8995" xr:uid="{83E5248D-2731-4B80-9DC8-83B74F82B27B}"/>
    <cellStyle name="Normal 4 4 3 2 2 2" xfId="864" xr:uid="{00000000-0005-0000-0000-000067150000}"/>
    <cellStyle name="Normal 4 4 3 2 2 2 2" xfId="3099" xr:uid="{00000000-0005-0000-0000-000068150000}"/>
    <cellStyle name="Normal 4 4 3 2 2 2 2 2" xfId="7321" xr:uid="{00000000-0005-0000-0000-000069150000}"/>
    <cellStyle name="Normal 4 4 3 2 2 2 2 2 2" xfId="32653" xr:uid="{33292D55-870C-40CD-A807-279AABA1CBD5}"/>
    <cellStyle name="Normal 4 4 3 2 2 2 2 2 3" xfId="24212" xr:uid="{C7F3401F-D82D-45F0-8C55-1CA124E316D5}"/>
    <cellStyle name="Normal 4 4 3 2 2 2 2 2 4" xfId="15771" xr:uid="{76AF1D4A-28CC-430F-8B21-79072DD6F51E}"/>
    <cellStyle name="Normal 4 4 3 2 2 2 2 3" xfId="28435" xr:uid="{5B14A360-63F7-4641-8480-2A6FC5AD2B43}"/>
    <cellStyle name="Normal 4 4 3 2 2 2 2 4" xfId="19994" xr:uid="{D0ED533A-2F12-4524-A19A-7EF75885CDAC}"/>
    <cellStyle name="Normal 4 4 3 2 2 2 2 5" xfId="11553" xr:uid="{356FB08D-C07A-4B86-967D-D704BE2B1441}"/>
    <cellStyle name="Normal 4 4 3 2 2 2 3" xfId="5176" xr:uid="{00000000-0005-0000-0000-00006A150000}"/>
    <cellStyle name="Normal 4 4 3 2 2 2 3 2" xfId="30508" xr:uid="{B00B504C-F655-4D18-9F95-76B9D5C52139}"/>
    <cellStyle name="Normal 4 4 3 2 2 2 3 3" xfId="22067" xr:uid="{A2DEBFB5-C63D-44D7-95F3-E72FAD9BC39E}"/>
    <cellStyle name="Normal 4 4 3 2 2 2 3 4" xfId="13626" xr:uid="{70297F31-99D1-4BA3-8C96-ADF8B5A7F035}"/>
    <cellStyle name="Normal 4 4 3 2 2 2 4" xfId="26290" xr:uid="{63AC629D-0B9E-4C40-A888-2DA306B23B97}"/>
    <cellStyle name="Normal 4 4 3 2 2 2 5" xfId="17849" xr:uid="{A6E53212-1457-42E2-AFB1-12B30FF42B66}"/>
    <cellStyle name="Normal 4 4 3 2 2 2 6" xfId="9408" xr:uid="{94360A14-B64B-4DCF-B301-78874E5B74CA}"/>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2 2 2" xfId="33066" xr:uid="{B62394A8-A8F4-4E6C-8558-60010B23F844}"/>
    <cellStyle name="Normal 4 4 3 2 2 3 2 2 3" xfId="24625" xr:uid="{492538AB-7CA9-4BF3-9422-116B5A0C3A59}"/>
    <cellStyle name="Normal 4 4 3 2 2 3 2 2 4" xfId="16184" xr:uid="{1B3495C2-E84E-4C28-B11B-109F4AE9E809}"/>
    <cellStyle name="Normal 4 4 3 2 2 3 2 3" xfId="28848" xr:uid="{C94D49DE-FF52-48D2-9E22-C4C887AAA1C8}"/>
    <cellStyle name="Normal 4 4 3 2 2 3 2 4" xfId="20407" xr:uid="{02BCFBB7-3653-4F56-A79C-BF034F01C358}"/>
    <cellStyle name="Normal 4 4 3 2 2 3 2 5" xfId="11966" xr:uid="{F037E0D8-AD9E-498A-AC34-ECACE9864E48}"/>
    <cellStyle name="Normal 4 4 3 2 2 3 3" xfId="5589" xr:uid="{00000000-0005-0000-0000-00006E150000}"/>
    <cellStyle name="Normal 4 4 3 2 2 3 3 2" xfId="30921" xr:uid="{03D89A13-C9A0-46F3-9C18-97F8CA0CA9AB}"/>
    <cellStyle name="Normal 4 4 3 2 2 3 3 3" xfId="22480" xr:uid="{E67F45E2-24B4-41AE-9EAC-29C3281B5A32}"/>
    <cellStyle name="Normal 4 4 3 2 2 3 3 4" xfId="14039" xr:uid="{8A4F9A7D-1152-4777-826E-CCDE4B8B64A1}"/>
    <cellStyle name="Normal 4 4 3 2 2 3 4" xfId="26703" xr:uid="{27306886-A3CC-414A-A5F4-926CB6CCC454}"/>
    <cellStyle name="Normal 4 4 3 2 2 3 5" xfId="18262" xr:uid="{A812578F-F3A6-4979-B121-F5849BEAB139}"/>
    <cellStyle name="Normal 4 4 3 2 2 3 6" xfId="9821" xr:uid="{6578BD7E-EEEA-47C0-AE24-3C3EA2B1748B}"/>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2 2 2" xfId="33479" xr:uid="{86D54DE8-9DE3-461E-9756-330D2385476D}"/>
    <cellStyle name="Normal 4 4 3 2 2 4 2 2 3" xfId="25038" xr:uid="{9FC4FEE9-DEF1-4C44-B965-6084689D2885}"/>
    <cellStyle name="Normal 4 4 3 2 2 4 2 2 4" xfId="16597" xr:uid="{F625EEAC-63AE-445F-9406-ED80A238FBC4}"/>
    <cellStyle name="Normal 4 4 3 2 2 4 2 3" xfId="29261" xr:uid="{ECB68DC4-6192-4CBF-9CFE-C1F2CABDC207}"/>
    <cellStyle name="Normal 4 4 3 2 2 4 2 4" xfId="20820" xr:uid="{14BAAB2D-1DE6-419B-8EA5-FCD818260E8E}"/>
    <cellStyle name="Normal 4 4 3 2 2 4 2 5" xfId="12379" xr:uid="{EAD8ED9E-AA8C-4C4E-9C03-5DC8A46E439F}"/>
    <cellStyle name="Normal 4 4 3 2 2 4 3" xfId="6002" xr:uid="{00000000-0005-0000-0000-000072150000}"/>
    <cellStyle name="Normal 4 4 3 2 2 4 3 2" xfId="31334" xr:uid="{84D2DBEE-3160-4B8D-8078-53C1E409A406}"/>
    <cellStyle name="Normal 4 4 3 2 2 4 3 3" xfId="22893" xr:uid="{C9F57692-87C4-4CB7-853C-3D4CF227BE12}"/>
    <cellStyle name="Normal 4 4 3 2 2 4 3 4" xfId="14452" xr:uid="{B72BDE67-CF30-4DE3-B079-6BDC9C5264C2}"/>
    <cellStyle name="Normal 4 4 3 2 2 4 4" xfId="27116" xr:uid="{57FAEEA3-BE4C-414A-9747-6D78AA2AC1A8}"/>
    <cellStyle name="Normal 4 4 3 2 2 4 5" xfId="18675" xr:uid="{91FBB721-5BF7-4071-89EC-1083115BFBD3}"/>
    <cellStyle name="Normal 4 4 3 2 2 4 6" xfId="10234" xr:uid="{1A7D42D9-DC53-4B78-9CF2-91D31D4FF28A}"/>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2 2 2" xfId="33892" xr:uid="{1A06991D-8686-40D7-944B-22DFA3BEA957}"/>
    <cellStyle name="Normal 4 4 3 2 2 5 2 2 3" xfId="25451" xr:uid="{18EF7D08-E52A-46C6-885C-715934660755}"/>
    <cellStyle name="Normal 4 4 3 2 2 5 2 2 4" xfId="17010" xr:uid="{CC93CD6E-43E5-466C-850D-8EFBDD5CA2C9}"/>
    <cellStyle name="Normal 4 4 3 2 2 5 2 3" xfId="29674" xr:uid="{8C2949A5-EE69-4FD4-BDF2-1409AB3DBDA3}"/>
    <cellStyle name="Normal 4 4 3 2 2 5 2 4" xfId="21233" xr:uid="{84B1BDCB-2F5A-473C-903F-FFD564C1148E}"/>
    <cellStyle name="Normal 4 4 3 2 2 5 2 5" xfId="12792" xr:uid="{F9CAACE8-7742-4777-9FD3-79B4346795FE}"/>
    <cellStyle name="Normal 4 4 3 2 2 5 3" xfId="6415" xr:uid="{00000000-0005-0000-0000-000076150000}"/>
    <cellStyle name="Normal 4 4 3 2 2 5 3 2" xfId="31747" xr:uid="{C81418A8-FD39-44A9-95DA-7C341A38F765}"/>
    <cellStyle name="Normal 4 4 3 2 2 5 3 3" xfId="23306" xr:uid="{2ECEF7A8-4F3F-4A7C-94AC-AA6BF37DEF7A}"/>
    <cellStyle name="Normal 4 4 3 2 2 5 3 4" xfId="14865" xr:uid="{575C3CA4-748D-4076-A8D1-7B347DBB4F7C}"/>
    <cellStyle name="Normal 4 4 3 2 2 5 4" xfId="27529" xr:uid="{F8F04118-A22F-4A57-BE72-D2888DE9388B}"/>
    <cellStyle name="Normal 4 4 3 2 2 5 5" xfId="19088" xr:uid="{FC943698-ED6B-44BB-A208-282174420039}"/>
    <cellStyle name="Normal 4 4 3 2 2 5 6" xfId="10647" xr:uid="{94512BB3-1AE8-4AEB-83BD-746214841144}"/>
    <cellStyle name="Normal 4 4 3 2 2 6" xfId="2545" xr:uid="{00000000-0005-0000-0000-000077150000}"/>
    <cellStyle name="Normal 4 4 3 2 2 6 2" xfId="6828" xr:uid="{00000000-0005-0000-0000-000078150000}"/>
    <cellStyle name="Normal 4 4 3 2 2 6 2 2" xfId="32160" xr:uid="{4A8A42D5-50E1-4BA7-AF21-587055C4F002}"/>
    <cellStyle name="Normal 4 4 3 2 2 6 2 3" xfId="23719" xr:uid="{C0B1EEB0-EF56-40AD-90E0-420BBD8CF52A}"/>
    <cellStyle name="Normal 4 4 3 2 2 6 2 4" xfId="15278" xr:uid="{8969445D-CD47-47C1-99E2-086D3677357B}"/>
    <cellStyle name="Normal 4 4 3 2 2 6 3" xfId="27942" xr:uid="{E7C74CFD-6BA5-4E2C-91BB-1E7A738BBD35}"/>
    <cellStyle name="Normal 4 4 3 2 2 6 4" xfId="19501" xr:uid="{1181A564-57B8-4543-86ED-F6DAB4CCE3B2}"/>
    <cellStyle name="Normal 4 4 3 2 2 6 5" xfId="11060" xr:uid="{CA74CDCD-459C-4EA4-95D1-2846BA5D56FF}"/>
    <cellStyle name="Normal 4 4 3 2 2 7" xfId="4763" xr:uid="{00000000-0005-0000-0000-000079150000}"/>
    <cellStyle name="Normal 4 4 3 2 2 7 2" xfId="30095" xr:uid="{F2887C6B-43B4-4CF6-9927-FD52F71119DC}"/>
    <cellStyle name="Normal 4 4 3 2 2 7 3" xfId="21654" xr:uid="{7E303F01-48BB-4542-965A-D05A0071D800}"/>
    <cellStyle name="Normal 4 4 3 2 2 7 4" xfId="13213" xr:uid="{48D95F3B-472A-4DFB-A8BA-CE943EEEE871}"/>
    <cellStyle name="Normal 4 4 3 2 2 8" xfId="25877" xr:uid="{15D95422-F2C7-445D-B168-271413BC6C76}"/>
    <cellStyle name="Normal 4 4 3 2 2 9" xfId="17436" xr:uid="{BECAE1BB-8282-497A-A712-54986D5E8999}"/>
    <cellStyle name="Normal 4 4 3 2 3" xfId="863" xr:uid="{00000000-0005-0000-0000-00007A150000}"/>
    <cellStyle name="Normal 4 4 3 2 3 2" xfId="3098" xr:uid="{00000000-0005-0000-0000-00007B150000}"/>
    <cellStyle name="Normal 4 4 3 2 3 2 2" xfId="7320" xr:uid="{00000000-0005-0000-0000-00007C150000}"/>
    <cellStyle name="Normal 4 4 3 2 3 2 2 2" xfId="32652" xr:uid="{A3A84530-3BD7-4476-981F-060C94F7757E}"/>
    <cellStyle name="Normal 4 4 3 2 3 2 2 3" xfId="24211" xr:uid="{15D4915D-81E7-4E5A-9836-C78BA87DB8E7}"/>
    <cellStyle name="Normal 4 4 3 2 3 2 2 4" xfId="15770" xr:uid="{5C97335C-3EBF-459E-B815-EF3A98C0B934}"/>
    <cellStyle name="Normal 4 4 3 2 3 2 3" xfId="28434" xr:uid="{1C50705E-77E9-42A3-A0BF-0CD0B0359193}"/>
    <cellStyle name="Normal 4 4 3 2 3 2 4" xfId="19993" xr:uid="{E0DE9D27-CDD5-4DFF-8CD0-A8DF84D9B746}"/>
    <cellStyle name="Normal 4 4 3 2 3 2 5" xfId="11552" xr:uid="{6F84EE9E-13F7-41F1-84E8-4ECB255E1E7D}"/>
    <cellStyle name="Normal 4 4 3 2 3 3" xfId="5175" xr:uid="{00000000-0005-0000-0000-00007D150000}"/>
    <cellStyle name="Normal 4 4 3 2 3 3 2" xfId="30507" xr:uid="{AE6F65D2-82C6-4774-854B-00B9B68616CB}"/>
    <cellStyle name="Normal 4 4 3 2 3 3 3" xfId="22066" xr:uid="{B5C2A326-CA38-49DF-BFAB-6B8758835D70}"/>
    <cellStyle name="Normal 4 4 3 2 3 3 4" xfId="13625" xr:uid="{151F6631-06E0-4928-B566-D818A7A59461}"/>
    <cellStyle name="Normal 4 4 3 2 3 4" xfId="26289" xr:uid="{7AECFC5F-6F7F-41EC-9D98-53FBA32F9225}"/>
    <cellStyle name="Normal 4 4 3 2 3 5" xfId="17848" xr:uid="{18A54A48-FA51-4515-AB2D-E5F2848FC1CC}"/>
    <cellStyle name="Normal 4 4 3 2 3 6" xfId="9407" xr:uid="{349536EC-8717-469E-984E-E9974FFC2AB1}"/>
    <cellStyle name="Normal 4 4 3 2 4" xfId="1281" xr:uid="{00000000-0005-0000-0000-00007E150000}"/>
    <cellStyle name="Normal 4 4 3 2 4 2" xfId="3511" xr:uid="{00000000-0005-0000-0000-00007F150000}"/>
    <cellStyle name="Normal 4 4 3 2 4 2 2" xfId="7733" xr:uid="{00000000-0005-0000-0000-000080150000}"/>
    <cellStyle name="Normal 4 4 3 2 4 2 2 2" xfId="33065" xr:uid="{82CD6FD5-34D2-4DEB-8327-36D0F1359BEE}"/>
    <cellStyle name="Normal 4 4 3 2 4 2 2 3" xfId="24624" xr:uid="{00F23F9D-BD06-47EC-BDCC-88F1CFB2F664}"/>
    <cellStyle name="Normal 4 4 3 2 4 2 2 4" xfId="16183" xr:uid="{DC58E563-87B8-454A-BA85-AE8268D400FA}"/>
    <cellStyle name="Normal 4 4 3 2 4 2 3" xfId="28847" xr:uid="{56B2663B-EF43-49D9-B3DE-10067C64C04E}"/>
    <cellStyle name="Normal 4 4 3 2 4 2 4" xfId="20406" xr:uid="{D01A3F4D-D641-404C-A4C5-85A7E657E045}"/>
    <cellStyle name="Normal 4 4 3 2 4 2 5" xfId="11965" xr:uid="{29D1CFC6-424E-4390-8C7D-CB87FAD76F46}"/>
    <cellStyle name="Normal 4 4 3 2 4 3" xfId="5588" xr:uid="{00000000-0005-0000-0000-000081150000}"/>
    <cellStyle name="Normal 4 4 3 2 4 3 2" xfId="30920" xr:uid="{8613C570-703A-4662-8034-7E28D8A7AB00}"/>
    <cellStyle name="Normal 4 4 3 2 4 3 3" xfId="22479" xr:uid="{ACDA1EAD-BEF2-4F99-AD19-7CB6859E814B}"/>
    <cellStyle name="Normal 4 4 3 2 4 3 4" xfId="14038" xr:uid="{68197215-2B0A-4F39-BC79-7F349976E8F0}"/>
    <cellStyle name="Normal 4 4 3 2 4 4" xfId="26702" xr:uid="{CAF73D47-A568-45F0-B42A-96E1094DE294}"/>
    <cellStyle name="Normal 4 4 3 2 4 5" xfId="18261" xr:uid="{4CB84EC1-B6EF-4333-B9B9-18FCDF45FA12}"/>
    <cellStyle name="Normal 4 4 3 2 4 6" xfId="9820" xr:uid="{F798B409-5578-45DC-A9F0-2F2FAE500915}"/>
    <cellStyle name="Normal 4 4 3 2 5" xfId="1694" xr:uid="{00000000-0005-0000-0000-000082150000}"/>
    <cellStyle name="Normal 4 4 3 2 5 2" xfId="3924" xr:uid="{00000000-0005-0000-0000-000083150000}"/>
    <cellStyle name="Normal 4 4 3 2 5 2 2" xfId="8146" xr:uid="{00000000-0005-0000-0000-000084150000}"/>
    <cellStyle name="Normal 4 4 3 2 5 2 2 2" xfId="33478" xr:uid="{0BDBB837-0FD1-4CB9-93E2-AFA9B2EF9DF8}"/>
    <cellStyle name="Normal 4 4 3 2 5 2 2 3" xfId="25037" xr:uid="{A6545915-F2E7-44FA-BDDC-7B0C3455BB3A}"/>
    <cellStyle name="Normal 4 4 3 2 5 2 2 4" xfId="16596" xr:uid="{45B17DE6-24FB-4731-9350-D7C5B0B87192}"/>
    <cellStyle name="Normal 4 4 3 2 5 2 3" xfId="29260" xr:uid="{61CC3BC4-3D8F-40F7-8C99-D7E24A619C22}"/>
    <cellStyle name="Normal 4 4 3 2 5 2 4" xfId="20819" xr:uid="{7C812008-5186-4D95-B877-FAAF8337B563}"/>
    <cellStyle name="Normal 4 4 3 2 5 2 5" xfId="12378" xr:uid="{F4219B11-161B-4E40-8FF0-583D265EEBD2}"/>
    <cellStyle name="Normal 4 4 3 2 5 3" xfId="6001" xr:uid="{00000000-0005-0000-0000-000085150000}"/>
    <cellStyle name="Normal 4 4 3 2 5 3 2" xfId="31333" xr:uid="{654C1847-7D2F-49B6-B28D-15F94852B548}"/>
    <cellStyle name="Normal 4 4 3 2 5 3 3" xfId="22892" xr:uid="{C9145EDF-50E8-4088-BD0F-5E0F7CC4ECCA}"/>
    <cellStyle name="Normal 4 4 3 2 5 3 4" xfId="14451" xr:uid="{EB54CB43-C272-4158-BC3E-8EE931C76822}"/>
    <cellStyle name="Normal 4 4 3 2 5 4" xfId="27115" xr:uid="{7AA4EFC1-9E3F-42AA-B1DE-3B5442F0195B}"/>
    <cellStyle name="Normal 4 4 3 2 5 5" xfId="18674" xr:uid="{4B1EF046-8532-4391-B69E-808A15CBD34D}"/>
    <cellStyle name="Normal 4 4 3 2 5 6" xfId="10233" xr:uid="{83E42592-DEA7-4E88-8A40-B484D567EFAC}"/>
    <cellStyle name="Normal 4 4 3 2 6" xfId="2108" xr:uid="{00000000-0005-0000-0000-000086150000}"/>
    <cellStyle name="Normal 4 4 3 2 6 2" xfId="4337" xr:uid="{00000000-0005-0000-0000-000087150000}"/>
    <cellStyle name="Normal 4 4 3 2 6 2 2" xfId="8559" xr:uid="{00000000-0005-0000-0000-000088150000}"/>
    <cellStyle name="Normal 4 4 3 2 6 2 2 2" xfId="33891" xr:uid="{9D598AB5-0D86-4D87-A0F2-58CE356A53F6}"/>
    <cellStyle name="Normal 4 4 3 2 6 2 2 3" xfId="25450" xr:uid="{873D39C7-F8D8-44CF-8823-567BF25EE7DD}"/>
    <cellStyle name="Normal 4 4 3 2 6 2 2 4" xfId="17009" xr:uid="{5B463D80-2BB7-4BB6-8235-B90D2270712F}"/>
    <cellStyle name="Normal 4 4 3 2 6 2 3" xfId="29673" xr:uid="{6E74DD0B-2347-46A3-919B-E9C9BD782035}"/>
    <cellStyle name="Normal 4 4 3 2 6 2 4" xfId="21232" xr:uid="{340BD638-70CC-4CA8-A37C-FDEDB3D22E8B}"/>
    <cellStyle name="Normal 4 4 3 2 6 2 5" xfId="12791" xr:uid="{003F7F4B-0AC8-4B75-BA44-332AF25418E1}"/>
    <cellStyle name="Normal 4 4 3 2 6 3" xfId="6414" xr:uid="{00000000-0005-0000-0000-000089150000}"/>
    <cellStyle name="Normal 4 4 3 2 6 3 2" xfId="31746" xr:uid="{1F75462E-2D5F-497E-9F32-90FB92ADD873}"/>
    <cellStyle name="Normal 4 4 3 2 6 3 3" xfId="23305" xr:uid="{229AA1F7-C06E-4CB7-9F33-825483AB73CC}"/>
    <cellStyle name="Normal 4 4 3 2 6 3 4" xfId="14864" xr:uid="{D33E84EB-6A0C-47ED-8F80-71A2DC981B50}"/>
    <cellStyle name="Normal 4 4 3 2 6 4" xfId="27528" xr:uid="{37811997-EF32-480A-AE03-14D4138D1011}"/>
    <cellStyle name="Normal 4 4 3 2 6 5" xfId="19087" xr:uid="{ED6EBED5-8910-4C95-8C2D-6EF4D1C13D62}"/>
    <cellStyle name="Normal 4 4 3 2 6 6" xfId="10646" xr:uid="{E3B7900B-9A20-43FD-A206-FC9679030E93}"/>
    <cellStyle name="Normal 4 4 3 2 7" xfId="2544" xr:uid="{00000000-0005-0000-0000-00008A150000}"/>
    <cellStyle name="Normal 4 4 3 2 7 2" xfId="6827" xr:uid="{00000000-0005-0000-0000-00008B150000}"/>
    <cellStyle name="Normal 4 4 3 2 7 2 2" xfId="32159" xr:uid="{432E2DBD-BA8A-4E5C-8DCA-D83D0B4BE3FD}"/>
    <cellStyle name="Normal 4 4 3 2 7 2 3" xfId="23718" xr:uid="{58391056-A83D-4315-B6F0-3DB2B230A3E5}"/>
    <cellStyle name="Normal 4 4 3 2 7 2 4" xfId="15277" xr:uid="{DE2A4796-BA1D-48AD-A613-C1D24B8E672B}"/>
    <cellStyle name="Normal 4 4 3 2 7 3" xfId="27941" xr:uid="{E4243D10-832B-4A1C-8713-A5AD43A32905}"/>
    <cellStyle name="Normal 4 4 3 2 7 4" xfId="19500" xr:uid="{47F12D6E-8416-4CC6-9015-73CF3453C4AF}"/>
    <cellStyle name="Normal 4 4 3 2 7 5" xfId="11059" xr:uid="{868FE326-EAAA-41D7-A32E-13B53536C382}"/>
    <cellStyle name="Normal 4 4 3 2 8" xfId="4762" xr:uid="{00000000-0005-0000-0000-00008C150000}"/>
    <cellStyle name="Normal 4 4 3 2 8 2" xfId="30094" xr:uid="{6419FB8B-A93C-4C0A-8B87-6370D8B99D71}"/>
    <cellStyle name="Normal 4 4 3 2 8 3" xfId="21653" xr:uid="{82116DCD-EC5D-4372-AF1E-C0501226BEDD}"/>
    <cellStyle name="Normal 4 4 3 2 8 4" xfId="13212" xr:uid="{64619847-6B38-4434-9121-B7B8E7241C7A}"/>
    <cellStyle name="Normal 4 4 3 2 9" xfId="25876" xr:uid="{60270A8A-53FD-462F-A071-A7BF8E9A946E}"/>
    <cellStyle name="Normal 4 4 3 3" xfId="390" xr:uid="{00000000-0005-0000-0000-00008D150000}"/>
    <cellStyle name="Normal 4 4 3 3 10" xfId="8996" xr:uid="{238EFE22-CBBE-4E67-995B-34859CEF3217}"/>
    <cellStyle name="Normal 4 4 3 3 2" xfId="865" xr:uid="{00000000-0005-0000-0000-00008E150000}"/>
    <cellStyle name="Normal 4 4 3 3 2 2" xfId="3100" xr:uid="{00000000-0005-0000-0000-00008F150000}"/>
    <cellStyle name="Normal 4 4 3 3 2 2 2" xfId="7322" xr:uid="{00000000-0005-0000-0000-000090150000}"/>
    <cellStyle name="Normal 4 4 3 3 2 2 2 2" xfId="32654" xr:uid="{38D0E954-6187-4B61-B14A-22DF6C27A9B8}"/>
    <cellStyle name="Normal 4 4 3 3 2 2 2 3" xfId="24213" xr:uid="{1C51A549-FDA9-4FC8-B103-2B348BC57D5E}"/>
    <cellStyle name="Normal 4 4 3 3 2 2 2 4" xfId="15772" xr:uid="{8273B05C-91B0-4D72-8747-B9EF9DDF078F}"/>
    <cellStyle name="Normal 4 4 3 3 2 2 3" xfId="28436" xr:uid="{F5C52FFA-0B2B-4395-B0B3-86F9B84B6EDD}"/>
    <cellStyle name="Normal 4 4 3 3 2 2 4" xfId="19995" xr:uid="{2B7C5544-22BB-4548-9252-FA90F7FAE55E}"/>
    <cellStyle name="Normal 4 4 3 3 2 2 5" xfId="11554" xr:uid="{2578E38E-3728-4A23-AEFE-8CAE186986FE}"/>
    <cellStyle name="Normal 4 4 3 3 2 3" xfId="5177" xr:uid="{00000000-0005-0000-0000-000091150000}"/>
    <cellStyle name="Normal 4 4 3 3 2 3 2" xfId="30509" xr:uid="{9BD76061-7391-4D85-BDCE-0E7616124798}"/>
    <cellStyle name="Normal 4 4 3 3 2 3 3" xfId="22068" xr:uid="{22EB4C41-7395-4174-8924-F01BF1A4664E}"/>
    <cellStyle name="Normal 4 4 3 3 2 3 4" xfId="13627" xr:uid="{05200B89-577F-407B-BC90-3194A53B73BF}"/>
    <cellStyle name="Normal 4 4 3 3 2 4" xfId="26291" xr:uid="{5197679D-6AEC-407B-B222-A50D5CC4228C}"/>
    <cellStyle name="Normal 4 4 3 3 2 5" xfId="17850" xr:uid="{3F742827-72AB-4550-98FB-3AB8C5104B3F}"/>
    <cellStyle name="Normal 4 4 3 3 2 6" xfId="9409" xr:uid="{2A7B2013-5A3B-4E38-964B-48D6FFD5C3DF}"/>
    <cellStyle name="Normal 4 4 3 3 3" xfId="1283" xr:uid="{00000000-0005-0000-0000-000092150000}"/>
    <cellStyle name="Normal 4 4 3 3 3 2" xfId="3513" xr:uid="{00000000-0005-0000-0000-000093150000}"/>
    <cellStyle name="Normal 4 4 3 3 3 2 2" xfId="7735" xr:uid="{00000000-0005-0000-0000-000094150000}"/>
    <cellStyle name="Normal 4 4 3 3 3 2 2 2" xfId="33067" xr:uid="{43606247-176D-4DE2-9FB5-D19482714407}"/>
    <cellStyle name="Normal 4 4 3 3 3 2 2 3" xfId="24626" xr:uid="{2B86F653-9E73-40F4-9E55-A1C2991C2388}"/>
    <cellStyle name="Normal 4 4 3 3 3 2 2 4" xfId="16185" xr:uid="{751E0196-A4D4-492B-B457-415F877FC853}"/>
    <cellStyle name="Normal 4 4 3 3 3 2 3" xfId="28849" xr:uid="{F03BAAF6-F572-4A6C-A9B5-FCCBE15A8375}"/>
    <cellStyle name="Normal 4 4 3 3 3 2 4" xfId="20408" xr:uid="{36E5E7B0-DE52-48B0-B1A8-4103F5AEBB38}"/>
    <cellStyle name="Normal 4 4 3 3 3 2 5" xfId="11967" xr:uid="{06C0FA5C-40AA-40F2-8870-508589E0E6F9}"/>
    <cellStyle name="Normal 4 4 3 3 3 3" xfId="5590" xr:uid="{00000000-0005-0000-0000-000095150000}"/>
    <cellStyle name="Normal 4 4 3 3 3 3 2" xfId="30922" xr:uid="{42DA7881-B9A3-45F3-A8E6-9A16D4A5958E}"/>
    <cellStyle name="Normal 4 4 3 3 3 3 3" xfId="22481" xr:uid="{A6B201FE-B41D-4737-B471-1E15A1EF56A1}"/>
    <cellStyle name="Normal 4 4 3 3 3 3 4" xfId="14040" xr:uid="{430B33A0-A67C-48E3-9CCC-E95C466D2009}"/>
    <cellStyle name="Normal 4 4 3 3 3 4" xfId="26704" xr:uid="{A63366A8-76CD-4250-9BE5-890A09702567}"/>
    <cellStyle name="Normal 4 4 3 3 3 5" xfId="18263" xr:uid="{31F9860F-0CA2-453B-B39B-89310ADD706E}"/>
    <cellStyle name="Normal 4 4 3 3 3 6" xfId="9822" xr:uid="{9AD56FA8-8B0C-4CDC-8141-5431F1E0A5CB}"/>
    <cellStyle name="Normal 4 4 3 3 4" xfId="1696" xr:uid="{00000000-0005-0000-0000-000096150000}"/>
    <cellStyle name="Normal 4 4 3 3 4 2" xfId="3926" xr:uid="{00000000-0005-0000-0000-000097150000}"/>
    <cellStyle name="Normal 4 4 3 3 4 2 2" xfId="8148" xr:uid="{00000000-0005-0000-0000-000098150000}"/>
    <cellStyle name="Normal 4 4 3 3 4 2 2 2" xfId="33480" xr:uid="{DB46AE42-6536-4520-96C9-BBB8DCDBF1D6}"/>
    <cellStyle name="Normal 4 4 3 3 4 2 2 3" xfId="25039" xr:uid="{31F6B6BB-DC19-4433-9E8D-B1CF7F9B19A7}"/>
    <cellStyle name="Normal 4 4 3 3 4 2 2 4" xfId="16598" xr:uid="{04D72F94-218D-47EF-98CA-45E3BCEE3BA4}"/>
    <cellStyle name="Normal 4 4 3 3 4 2 3" xfId="29262" xr:uid="{CA8C2C32-DF12-454F-B5C9-7518D370A71F}"/>
    <cellStyle name="Normal 4 4 3 3 4 2 4" xfId="20821" xr:uid="{43E0DD03-3424-45A9-9589-486192EDAA6F}"/>
    <cellStyle name="Normal 4 4 3 3 4 2 5" xfId="12380" xr:uid="{9F724B2D-6559-4111-A362-184551B60E8F}"/>
    <cellStyle name="Normal 4 4 3 3 4 3" xfId="6003" xr:uid="{00000000-0005-0000-0000-000099150000}"/>
    <cellStyle name="Normal 4 4 3 3 4 3 2" xfId="31335" xr:uid="{6BBD99EE-1A17-40C7-841B-D84EECCFE847}"/>
    <cellStyle name="Normal 4 4 3 3 4 3 3" xfId="22894" xr:uid="{1E7BEFA3-950A-4F9F-AD24-0039A90FB35D}"/>
    <cellStyle name="Normal 4 4 3 3 4 3 4" xfId="14453" xr:uid="{6F72F440-20C3-4748-A3B1-7A0E588F3202}"/>
    <cellStyle name="Normal 4 4 3 3 4 4" xfId="27117" xr:uid="{A488C725-8146-4B9A-A7BB-A2E5DEBF31E5}"/>
    <cellStyle name="Normal 4 4 3 3 4 5" xfId="18676" xr:uid="{015DBE29-9AE9-459D-93F3-59C4CAF12B38}"/>
    <cellStyle name="Normal 4 4 3 3 4 6" xfId="10235" xr:uid="{31A7C7BE-E927-43FF-A808-982179BF0AD5}"/>
    <cellStyle name="Normal 4 4 3 3 5" xfId="2110" xr:uid="{00000000-0005-0000-0000-00009A150000}"/>
    <cellStyle name="Normal 4 4 3 3 5 2" xfId="4339" xr:uid="{00000000-0005-0000-0000-00009B150000}"/>
    <cellStyle name="Normal 4 4 3 3 5 2 2" xfId="8561" xr:uid="{00000000-0005-0000-0000-00009C150000}"/>
    <cellStyle name="Normal 4 4 3 3 5 2 2 2" xfId="33893" xr:uid="{969AFB07-8AFC-4770-B266-CD78AC8555C2}"/>
    <cellStyle name="Normal 4 4 3 3 5 2 2 3" xfId="25452" xr:uid="{DC22CF62-560C-4224-BCA4-6AB4A068B254}"/>
    <cellStyle name="Normal 4 4 3 3 5 2 2 4" xfId="17011" xr:uid="{CADEAB4B-841B-48A0-9EF4-9FAA0DF5825C}"/>
    <cellStyle name="Normal 4 4 3 3 5 2 3" xfId="29675" xr:uid="{01347C5A-DDA0-4E6D-AAF8-81E11AAB3B04}"/>
    <cellStyle name="Normal 4 4 3 3 5 2 4" xfId="21234" xr:uid="{73598F78-3738-40CF-8CA6-C533FFC5AEEC}"/>
    <cellStyle name="Normal 4 4 3 3 5 2 5" xfId="12793" xr:uid="{C5CB94B7-E063-4B6A-93FC-E22F1A0A5F90}"/>
    <cellStyle name="Normal 4 4 3 3 5 3" xfId="6416" xr:uid="{00000000-0005-0000-0000-00009D150000}"/>
    <cellStyle name="Normal 4 4 3 3 5 3 2" xfId="31748" xr:uid="{53725FA7-EF2D-4EA5-BA01-36532C3AFD53}"/>
    <cellStyle name="Normal 4 4 3 3 5 3 3" xfId="23307" xr:uid="{8D85ACF7-6F2A-4C07-980C-ACE6BCD0E630}"/>
    <cellStyle name="Normal 4 4 3 3 5 3 4" xfId="14866" xr:uid="{64474329-80E9-4511-A009-39F8AA717E72}"/>
    <cellStyle name="Normal 4 4 3 3 5 4" xfId="27530" xr:uid="{C63C4514-014B-446B-9BAE-AC6AA1171FD9}"/>
    <cellStyle name="Normal 4 4 3 3 5 5" xfId="19089" xr:uid="{97ACEC01-C11B-46E0-9376-0C7AFA249EA0}"/>
    <cellStyle name="Normal 4 4 3 3 5 6" xfId="10648" xr:uid="{5F1CAF69-E2F3-47B6-8577-860CB02B25DE}"/>
    <cellStyle name="Normal 4 4 3 3 6" xfId="2546" xr:uid="{00000000-0005-0000-0000-00009E150000}"/>
    <cellStyle name="Normal 4 4 3 3 6 2" xfId="6829" xr:uid="{00000000-0005-0000-0000-00009F150000}"/>
    <cellStyle name="Normal 4 4 3 3 6 2 2" xfId="32161" xr:uid="{70F0F6CA-1F02-40A2-8ABF-7DAF36B95A66}"/>
    <cellStyle name="Normal 4 4 3 3 6 2 3" xfId="23720" xr:uid="{DAEEDAD5-7DEE-4C22-B8EC-F0051DBCB92C}"/>
    <cellStyle name="Normal 4 4 3 3 6 2 4" xfId="15279" xr:uid="{32EBE214-E063-4755-B7D2-805AE4C4BD3C}"/>
    <cellStyle name="Normal 4 4 3 3 6 3" xfId="27943" xr:uid="{E1DC7B70-05A8-4677-AD6E-E56E46A4F9C1}"/>
    <cellStyle name="Normal 4 4 3 3 6 4" xfId="19502" xr:uid="{82993B5A-CA93-4F48-9D96-7DD00EC04D2E}"/>
    <cellStyle name="Normal 4 4 3 3 6 5" xfId="11061" xr:uid="{5C535058-38E3-4FA4-8064-3BBB246C55E8}"/>
    <cellStyle name="Normal 4 4 3 3 7" xfId="4764" xr:uid="{00000000-0005-0000-0000-0000A0150000}"/>
    <cellStyle name="Normal 4 4 3 3 7 2" xfId="30096" xr:uid="{5633BE0E-1A0C-45D6-BE5A-7A68BBA05C5A}"/>
    <cellStyle name="Normal 4 4 3 3 7 3" xfId="21655" xr:uid="{C0FC5BC6-A394-430F-8C5A-6FACC7C70F62}"/>
    <cellStyle name="Normal 4 4 3 3 7 4" xfId="13214" xr:uid="{60A1378A-D810-49DA-8492-A0A7C7F01034}"/>
    <cellStyle name="Normal 4 4 3 3 8" xfId="25878" xr:uid="{D180B160-909B-4117-8FC3-3CB693B7069D}"/>
    <cellStyle name="Normal 4 4 3 3 9" xfId="17437" xr:uid="{E9160D2E-91AB-41E3-ACC7-30442FFD3330}"/>
    <cellStyle name="Normal 4 4 3 4" xfId="862" xr:uid="{00000000-0005-0000-0000-0000A1150000}"/>
    <cellStyle name="Normal 4 4 3 4 2" xfId="3097" xr:uid="{00000000-0005-0000-0000-0000A2150000}"/>
    <cellStyle name="Normal 4 4 3 4 2 2" xfId="7319" xr:uid="{00000000-0005-0000-0000-0000A3150000}"/>
    <cellStyle name="Normal 4 4 3 4 2 2 2" xfId="32651" xr:uid="{B7A93D55-B5EC-4E60-A29C-F1AC14A929CF}"/>
    <cellStyle name="Normal 4 4 3 4 2 2 3" xfId="24210" xr:uid="{8FF8AC40-4808-4523-ACB2-2E5B724201B0}"/>
    <cellStyle name="Normal 4 4 3 4 2 2 4" xfId="15769" xr:uid="{55805742-F714-4F35-A4C7-103FBE2FE7F0}"/>
    <cellStyle name="Normal 4 4 3 4 2 3" xfId="28433" xr:uid="{324BDDCA-115E-45D8-8FEE-501A134902E4}"/>
    <cellStyle name="Normal 4 4 3 4 2 4" xfId="19992" xr:uid="{A886E98F-80B1-417A-9546-92998251B9BB}"/>
    <cellStyle name="Normal 4 4 3 4 2 5" xfId="11551" xr:uid="{82E98968-3EBE-4B2F-AAD6-CB2E62D10621}"/>
    <cellStyle name="Normal 4 4 3 4 3" xfId="5174" xr:uid="{00000000-0005-0000-0000-0000A4150000}"/>
    <cellStyle name="Normal 4 4 3 4 3 2" xfId="30506" xr:uid="{4AB6E1B8-5FD8-4A40-B785-521A00907A4F}"/>
    <cellStyle name="Normal 4 4 3 4 3 3" xfId="22065" xr:uid="{1C5C7BC5-5926-48B8-A9B7-7085EF32EA5E}"/>
    <cellStyle name="Normal 4 4 3 4 3 4" xfId="13624" xr:uid="{3DDEF24C-276D-4795-9139-0FDF5EE2CE51}"/>
    <cellStyle name="Normal 4 4 3 4 4" xfId="26288" xr:uid="{4E298B9A-BCE9-416D-9ED8-A371171BBB6E}"/>
    <cellStyle name="Normal 4 4 3 4 5" xfId="17847" xr:uid="{6FAE122F-F6D7-4A17-81FA-E28A4C04A978}"/>
    <cellStyle name="Normal 4 4 3 4 6" xfId="9406" xr:uid="{9A9D85A2-62D3-46BC-A2F2-662DBAF31D6F}"/>
    <cellStyle name="Normal 4 4 3 5" xfId="1280" xr:uid="{00000000-0005-0000-0000-0000A5150000}"/>
    <cellStyle name="Normal 4 4 3 5 2" xfId="3510" xr:uid="{00000000-0005-0000-0000-0000A6150000}"/>
    <cellStyle name="Normal 4 4 3 5 2 2" xfId="7732" xr:uid="{00000000-0005-0000-0000-0000A7150000}"/>
    <cellStyle name="Normal 4 4 3 5 2 2 2" xfId="33064" xr:uid="{1CD8E8CE-F3F1-4CAE-9A91-84A3A0B84E61}"/>
    <cellStyle name="Normal 4 4 3 5 2 2 3" xfId="24623" xr:uid="{92A08C96-22D9-4065-8459-DCC8695B9224}"/>
    <cellStyle name="Normal 4 4 3 5 2 2 4" xfId="16182" xr:uid="{E65E0A8A-88A9-423F-88AF-D8CA30368419}"/>
    <cellStyle name="Normal 4 4 3 5 2 3" xfId="28846" xr:uid="{FD11A955-3FA3-4F9A-A42B-90179E26413E}"/>
    <cellStyle name="Normal 4 4 3 5 2 4" xfId="20405" xr:uid="{B24158E6-C95D-4683-99D0-8B15B930EA0C}"/>
    <cellStyle name="Normal 4 4 3 5 2 5" xfId="11964" xr:uid="{5441EBD2-EE16-405A-B47B-5E5FF0598DBF}"/>
    <cellStyle name="Normal 4 4 3 5 3" xfId="5587" xr:uid="{00000000-0005-0000-0000-0000A8150000}"/>
    <cellStyle name="Normal 4 4 3 5 3 2" xfId="30919" xr:uid="{80A21C9B-8ADC-40FB-8CF2-7B3DD0601E86}"/>
    <cellStyle name="Normal 4 4 3 5 3 3" xfId="22478" xr:uid="{A3038789-DB3B-4B33-A351-3DC136141B51}"/>
    <cellStyle name="Normal 4 4 3 5 3 4" xfId="14037" xr:uid="{85274DCB-FBF8-4973-9FD3-7F79178F8370}"/>
    <cellStyle name="Normal 4 4 3 5 4" xfId="26701" xr:uid="{3AEF9633-0C6A-48FF-B009-6ACF0DA23801}"/>
    <cellStyle name="Normal 4 4 3 5 5" xfId="18260" xr:uid="{C31E103D-12AF-4E96-A4F5-BF6460E88221}"/>
    <cellStyle name="Normal 4 4 3 5 6" xfId="9819" xr:uid="{46B0B813-003A-4D53-A7BA-8AC4F85FBBE5}"/>
    <cellStyle name="Normal 4 4 3 6" xfId="1693" xr:uid="{00000000-0005-0000-0000-0000A9150000}"/>
    <cellStyle name="Normal 4 4 3 6 2" xfId="3923" xr:uid="{00000000-0005-0000-0000-0000AA150000}"/>
    <cellStyle name="Normal 4 4 3 6 2 2" xfId="8145" xr:uid="{00000000-0005-0000-0000-0000AB150000}"/>
    <cellStyle name="Normal 4 4 3 6 2 2 2" xfId="33477" xr:uid="{0EAFCA30-18E6-461A-A3C6-518E0CF5924D}"/>
    <cellStyle name="Normal 4 4 3 6 2 2 3" xfId="25036" xr:uid="{B1E81915-980D-497D-89F1-770CDC5132B1}"/>
    <cellStyle name="Normal 4 4 3 6 2 2 4" xfId="16595" xr:uid="{FB572BFD-77F5-4337-86B4-1C5F0D9BC92F}"/>
    <cellStyle name="Normal 4 4 3 6 2 3" xfId="29259" xr:uid="{256DDC61-0F64-4BEB-B456-3B41291CD5A5}"/>
    <cellStyle name="Normal 4 4 3 6 2 4" xfId="20818" xr:uid="{EACFDDA8-A1C8-4E96-B820-4354FC74BB8C}"/>
    <cellStyle name="Normal 4 4 3 6 2 5" xfId="12377" xr:uid="{F6BE6A5D-23BD-44A7-A484-C55C817CD58E}"/>
    <cellStyle name="Normal 4 4 3 6 3" xfId="6000" xr:uid="{00000000-0005-0000-0000-0000AC150000}"/>
    <cellStyle name="Normal 4 4 3 6 3 2" xfId="31332" xr:uid="{D43148CD-5C1A-4F8E-A78D-2888AC4DA6E7}"/>
    <cellStyle name="Normal 4 4 3 6 3 3" xfId="22891" xr:uid="{9F7B478F-C183-4227-8DCF-547FA36E87E4}"/>
    <cellStyle name="Normal 4 4 3 6 3 4" xfId="14450" xr:uid="{89ACD76C-0A98-4880-ACD5-DA5F816B346E}"/>
    <cellStyle name="Normal 4 4 3 6 4" xfId="27114" xr:uid="{DED3C57C-E417-45D1-9E50-FA879D9C86FD}"/>
    <cellStyle name="Normal 4 4 3 6 5" xfId="18673" xr:uid="{3DACEED1-AA26-4E3B-AE8F-1BD650A6B843}"/>
    <cellStyle name="Normal 4 4 3 6 6" xfId="10232" xr:uid="{B02AC190-45A0-4022-9AF1-BC9EC5826C5C}"/>
    <cellStyle name="Normal 4 4 3 7" xfId="2107" xr:uid="{00000000-0005-0000-0000-0000AD150000}"/>
    <cellStyle name="Normal 4 4 3 7 2" xfId="4336" xr:uid="{00000000-0005-0000-0000-0000AE150000}"/>
    <cellStyle name="Normal 4 4 3 7 2 2" xfId="8558" xr:uid="{00000000-0005-0000-0000-0000AF150000}"/>
    <cellStyle name="Normal 4 4 3 7 2 2 2" xfId="33890" xr:uid="{F05A2257-D977-4378-9814-DD92943FCE9D}"/>
    <cellStyle name="Normal 4 4 3 7 2 2 3" xfId="25449" xr:uid="{05B84F06-0A26-4033-8B5F-23B907B76B0B}"/>
    <cellStyle name="Normal 4 4 3 7 2 2 4" xfId="17008" xr:uid="{DC39A168-1B4A-4408-92F1-BCCF45127CF0}"/>
    <cellStyle name="Normal 4 4 3 7 2 3" xfId="29672" xr:uid="{CB849D7B-E2ED-46E8-8856-D509097B1D75}"/>
    <cellStyle name="Normal 4 4 3 7 2 4" xfId="21231" xr:uid="{728F3FE0-7B2C-4D16-9999-E8BC833E918F}"/>
    <cellStyle name="Normal 4 4 3 7 2 5" xfId="12790" xr:uid="{95919DB4-E1F1-4B24-BDBD-C85AC8863C6B}"/>
    <cellStyle name="Normal 4 4 3 7 3" xfId="6413" xr:uid="{00000000-0005-0000-0000-0000B0150000}"/>
    <cellStyle name="Normal 4 4 3 7 3 2" xfId="31745" xr:uid="{902623F6-E62E-4A83-84D9-9D0A60B0C130}"/>
    <cellStyle name="Normal 4 4 3 7 3 3" xfId="23304" xr:uid="{7D2420AB-8CA8-46BF-833E-6663CE5D1C07}"/>
    <cellStyle name="Normal 4 4 3 7 3 4" xfId="14863" xr:uid="{CD6CE2F5-31A0-4E65-B726-7C29EFD107CC}"/>
    <cellStyle name="Normal 4 4 3 7 4" xfId="27527" xr:uid="{65083945-4A2E-4B1A-8A18-B73ABF2410B3}"/>
    <cellStyle name="Normal 4 4 3 7 5" xfId="19086" xr:uid="{25FEF3FE-33B0-4322-82C3-3D1AF704236D}"/>
    <cellStyle name="Normal 4 4 3 7 6" xfId="10645" xr:uid="{ED5DAC07-C31C-4D92-AF3F-75D7145A5D67}"/>
    <cellStyle name="Normal 4 4 3 8" xfId="2543" xr:uid="{00000000-0005-0000-0000-0000B1150000}"/>
    <cellStyle name="Normal 4 4 3 8 2" xfId="6826" xr:uid="{00000000-0005-0000-0000-0000B2150000}"/>
    <cellStyle name="Normal 4 4 3 8 2 2" xfId="32158" xr:uid="{CEA57A54-1764-4D0F-8E9D-5576AE85D348}"/>
    <cellStyle name="Normal 4 4 3 8 2 3" xfId="23717" xr:uid="{AC09223C-F89E-4601-BE94-B7EAB5C70EE5}"/>
    <cellStyle name="Normal 4 4 3 8 2 4" xfId="15276" xr:uid="{10D331BF-49F4-4CC3-A501-73031D876123}"/>
    <cellStyle name="Normal 4 4 3 8 3" xfId="27940" xr:uid="{1CC9CB69-D266-487A-831C-FC72DE8D9F03}"/>
    <cellStyle name="Normal 4 4 3 8 4" xfId="19499" xr:uid="{C6E82242-443F-4A26-A372-F690310FC58E}"/>
    <cellStyle name="Normal 4 4 3 8 5" xfId="11058" xr:uid="{3AFD0FFC-D0F7-4D51-8D8C-7A13D2954D81}"/>
    <cellStyle name="Normal 4 4 3 9" xfId="4761" xr:uid="{00000000-0005-0000-0000-0000B3150000}"/>
    <cellStyle name="Normal 4 4 3 9 2" xfId="30093" xr:uid="{77A425D7-5D4E-4C6A-9E91-D5039CF1BEC5}"/>
    <cellStyle name="Normal 4 4 3 9 3" xfId="21652" xr:uid="{6277E4A7-9003-4A2D-9826-FF5B02BD72BE}"/>
    <cellStyle name="Normal 4 4 3 9 4" xfId="13211" xr:uid="{7F9FA53F-D89F-4DE7-9F2A-96BABE7A0B54}"/>
    <cellStyle name="Normal 4 4 4" xfId="391" xr:uid="{00000000-0005-0000-0000-0000B4150000}"/>
    <cellStyle name="Normal 4 4 4 10" xfId="17438" xr:uid="{EF312EEC-EE05-4756-B623-D792ADAB96D4}"/>
    <cellStyle name="Normal 4 4 4 11" xfId="8997" xr:uid="{99AED31F-0B09-448B-A7A0-4212592C2B9B}"/>
    <cellStyle name="Normal 4 4 4 2" xfId="392" xr:uid="{00000000-0005-0000-0000-0000B5150000}"/>
    <cellStyle name="Normal 4 4 4 2 10" xfId="8998" xr:uid="{F15C0EFC-A8AF-413C-A0A9-B667500C97DC}"/>
    <cellStyle name="Normal 4 4 4 2 2" xfId="867" xr:uid="{00000000-0005-0000-0000-0000B6150000}"/>
    <cellStyle name="Normal 4 4 4 2 2 2" xfId="3102" xr:uid="{00000000-0005-0000-0000-0000B7150000}"/>
    <cellStyle name="Normal 4 4 4 2 2 2 2" xfId="7324" xr:uid="{00000000-0005-0000-0000-0000B8150000}"/>
    <cellStyle name="Normal 4 4 4 2 2 2 2 2" xfId="32656" xr:uid="{5621D982-EBD8-4090-A4EE-85A87039AAAF}"/>
    <cellStyle name="Normal 4 4 4 2 2 2 2 3" xfId="24215" xr:uid="{34195C7C-9F94-4C26-8EC4-01DE46500720}"/>
    <cellStyle name="Normal 4 4 4 2 2 2 2 4" xfId="15774" xr:uid="{D912C682-D0DB-4494-BF00-E9D08097BB02}"/>
    <cellStyle name="Normal 4 4 4 2 2 2 3" xfId="28438" xr:uid="{74A79004-6CC1-4BCD-BD32-F405DE2111C4}"/>
    <cellStyle name="Normal 4 4 4 2 2 2 4" xfId="19997" xr:uid="{2257D3AE-131C-47C4-B1FD-FBF7751F13C9}"/>
    <cellStyle name="Normal 4 4 4 2 2 2 5" xfId="11556" xr:uid="{09CE99C5-6C44-4041-8F72-4AFF3CB6720B}"/>
    <cellStyle name="Normal 4 4 4 2 2 3" xfId="5179" xr:uid="{00000000-0005-0000-0000-0000B9150000}"/>
    <cellStyle name="Normal 4 4 4 2 2 3 2" xfId="30511" xr:uid="{F3E7D8FF-BF71-4F4D-91A3-0227FE8C764C}"/>
    <cellStyle name="Normal 4 4 4 2 2 3 3" xfId="22070" xr:uid="{974F76A3-0F78-4CD0-9D20-4EB2F1C843EB}"/>
    <cellStyle name="Normal 4 4 4 2 2 3 4" xfId="13629" xr:uid="{7C764EED-6365-4B55-A55A-E572E14B7046}"/>
    <cellStyle name="Normal 4 4 4 2 2 4" xfId="26293" xr:uid="{73675037-8AD4-4FEF-A95E-38C8364CB786}"/>
    <cellStyle name="Normal 4 4 4 2 2 5" xfId="17852" xr:uid="{F6682BD8-FD34-4E97-AA87-F5260DE679FF}"/>
    <cellStyle name="Normal 4 4 4 2 2 6" xfId="9411" xr:uid="{88962150-4B6E-4571-8C40-ADF6B3D66D03}"/>
    <cellStyle name="Normal 4 4 4 2 3" xfId="1285" xr:uid="{00000000-0005-0000-0000-0000BA150000}"/>
    <cellStyle name="Normal 4 4 4 2 3 2" xfId="3515" xr:uid="{00000000-0005-0000-0000-0000BB150000}"/>
    <cellStyle name="Normal 4 4 4 2 3 2 2" xfId="7737" xr:uid="{00000000-0005-0000-0000-0000BC150000}"/>
    <cellStyle name="Normal 4 4 4 2 3 2 2 2" xfId="33069" xr:uid="{988889DC-24F9-45C8-B4CC-ED5068883C58}"/>
    <cellStyle name="Normal 4 4 4 2 3 2 2 3" xfId="24628" xr:uid="{E61509E4-4549-442E-9316-617416C5CBE4}"/>
    <cellStyle name="Normal 4 4 4 2 3 2 2 4" xfId="16187" xr:uid="{81CE96A9-0769-4E70-AA73-72A47D99AE5A}"/>
    <cellStyle name="Normal 4 4 4 2 3 2 3" xfId="28851" xr:uid="{A79C0EAC-E8DF-432E-BF40-4B1E9647DEF4}"/>
    <cellStyle name="Normal 4 4 4 2 3 2 4" xfId="20410" xr:uid="{9EAF03BA-4FC3-4050-BE5E-D4233FA1BE33}"/>
    <cellStyle name="Normal 4 4 4 2 3 2 5" xfId="11969" xr:uid="{6D2FCAF1-019D-4D20-BF9C-883730E9811F}"/>
    <cellStyle name="Normal 4 4 4 2 3 3" xfId="5592" xr:uid="{00000000-0005-0000-0000-0000BD150000}"/>
    <cellStyle name="Normal 4 4 4 2 3 3 2" xfId="30924" xr:uid="{10EB5CE0-7F25-4677-9D37-1E1C1705448C}"/>
    <cellStyle name="Normal 4 4 4 2 3 3 3" xfId="22483" xr:uid="{E49AE895-2E2D-4DA9-B9BF-A9C768593D8E}"/>
    <cellStyle name="Normal 4 4 4 2 3 3 4" xfId="14042" xr:uid="{3C0F4A23-F99D-4B45-BFEB-37690B8A30A2}"/>
    <cellStyle name="Normal 4 4 4 2 3 4" xfId="26706" xr:uid="{C02F6C6D-48E1-4517-BA71-C1F26DFE309E}"/>
    <cellStyle name="Normal 4 4 4 2 3 5" xfId="18265" xr:uid="{49F7B156-D366-43CE-B212-33CABC407085}"/>
    <cellStyle name="Normal 4 4 4 2 3 6" xfId="9824" xr:uid="{55AAD158-B159-4621-8919-874A357B2D3D}"/>
    <cellStyle name="Normal 4 4 4 2 4" xfId="1698" xr:uid="{00000000-0005-0000-0000-0000BE150000}"/>
    <cellStyle name="Normal 4 4 4 2 4 2" xfId="3928" xr:uid="{00000000-0005-0000-0000-0000BF150000}"/>
    <cellStyle name="Normal 4 4 4 2 4 2 2" xfId="8150" xr:uid="{00000000-0005-0000-0000-0000C0150000}"/>
    <cellStyle name="Normal 4 4 4 2 4 2 2 2" xfId="33482" xr:uid="{C1B919AD-5085-437A-81E3-03568F9D2D14}"/>
    <cellStyle name="Normal 4 4 4 2 4 2 2 3" xfId="25041" xr:uid="{A2DE473D-D182-4AF1-89AC-30D36A7D1E77}"/>
    <cellStyle name="Normal 4 4 4 2 4 2 2 4" xfId="16600" xr:uid="{1F7857B2-17F7-4266-9168-627E0038B719}"/>
    <cellStyle name="Normal 4 4 4 2 4 2 3" xfId="29264" xr:uid="{B22CA235-7DFA-429A-8E3F-837E89FA07AC}"/>
    <cellStyle name="Normal 4 4 4 2 4 2 4" xfId="20823" xr:uid="{8B66DF83-1FA8-411E-8AE1-D2CFF915DEC1}"/>
    <cellStyle name="Normal 4 4 4 2 4 2 5" xfId="12382" xr:uid="{547AA63C-D9AD-4645-86CE-74E89FD29C4C}"/>
    <cellStyle name="Normal 4 4 4 2 4 3" xfId="6005" xr:uid="{00000000-0005-0000-0000-0000C1150000}"/>
    <cellStyle name="Normal 4 4 4 2 4 3 2" xfId="31337" xr:uid="{E794939C-BAB7-4190-A737-AD857EED0E61}"/>
    <cellStyle name="Normal 4 4 4 2 4 3 3" xfId="22896" xr:uid="{86C3D050-D634-48C1-9ACE-AB720E03AEF4}"/>
    <cellStyle name="Normal 4 4 4 2 4 3 4" xfId="14455" xr:uid="{1511CBC6-28B8-4EC5-BF95-AE025B97C70C}"/>
    <cellStyle name="Normal 4 4 4 2 4 4" xfId="27119" xr:uid="{ECD63555-27E6-4471-8647-4E7942AC96E0}"/>
    <cellStyle name="Normal 4 4 4 2 4 5" xfId="18678" xr:uid="{FF032924-7505-4452-A71E-853DF9122F39}"/>
    <cellStyle name="Normal 4 4 4 2 4 6" xfId="10237" xr:uid="{86CF057D-59E7-4398-8EA4-2079BBC7CD4B}"/>
    <cellStyle name="Normal 4 4 4 2 5" xfId="2112" xr:uid="{00000000-0005-0000-0000-0000C2150000}"/>
    <cellStyle name="Normal 4 4 4 2 5 2" xfId="4341" xr:uid="{00000000-0005-0000-0000-0000C3150000}"/>
    <cellStyle name="Normal 4 4 4 2 5 2 2" xfId="8563" xr:uid="{00000000-0005-0000-0000-0000C4150000}"/>
    <cellStyle name="Normal 4 4 4 2 5 2 2 2" xfId="33895" xr:uid="{CC079F00-C76C-4A34-8526-78F3943B274F}"/>
    <cellStyle name="Normal 4 4 4 2 5 2 2 3" xfId="25454" xr:uid="{3C3EC627-7CDD-4CEB-A180-DE288C8CD21B}"/>
    <cellStyle name="Normal 4 4 4 2 5 2 2 4" xfId="17013" xr:uid="{641EEF8F-4131-4C38-80C5-6BAA0EB5424A}"/>
    <cellStyle name="Normal 4 4 4 2 5 2 3" xfId="29677" xr:uid="{433A5F34-F4F8-4F10-869E-6D8DB3AA1525}"/>
    <cellStyle name="Normal 4 4 4 2 5 2 4" xfId="21236" xr:uid="{4F0190DC-2003-448D-AE8B-013304123277}"/>
    <cellStyle name="Normal 4 4 4 2 5 2 5" xfId="12795" xr:uid="{BB8F84EB-BBB7-4765-9DA6-31D130C9572E}"/>
    <cellStyle name="Normal 4 4 4 2 5 3" xfId="6418" xr:uid="{00000000-0005-0000-0000-0000C5150000}"/>
    <cellStyle name="Normal 4 4 4 2 5 3 2" xfId="31750" xr:uid="{11633DD6-835F-446F-9819-DA92E79034A8}"/>
    <cellStyle name="Normal 4 4 4 2 5 3 3" xfId="23309" xr:uid="{77C97F53-C53E-44B3-9973-D21C4E057EFC}"/>
    <cellStyle name="Normal 4 4 4 2 5 3 4" xfId="14868" xr:uid="{0C835607-AD60-438E-9F2F-C4F2F6BB1609}"/>
    <cellStyle name="Normal 4 4 4 2 5 4" xfId="27532" xr:uid="{B212A51B-207D-4D5F-BD65-51DDBBC66E2F}"/>
    <cellStyle name="Normal 4 4 4 2 5 5" xfId="19091" xr:uid="{99A006BB-DD25-4055-A0F1-D12D857931CE}"/>
    <cellStyle name="Normal 4 4 4 2 5 6" xfId="10650" xr:uid="{6F8AAFB9-68EE-4846-BD19-B7D56DF2A1AD}"/>
    <cellStyle name="Normal 4 4 4 2 6" xfId="2548" xr:uid="{00000000-0005-0000-0000-0000C6150000}"/>
    <cellStyle name="Normal 4 4 4 2 6 2" xfId="6831" xr:uid="{00000000-0005-0000-0000-0000C7150000}"/>
    <cellStyle name="Normal 4 4 4 2 6 2 2" xfId="32163" xr:uid="{3FDDA0F8-6F7E-4523-A4A5-24416168F39B}"/>
    <cellStyle name="Normal 4 4 4 2 6 2 3" xfId="23722" xr:uid="{01A66DAC-17DE-4AEE-A847-596962C0476E}"/>
    <cellStyle name="Normal 4 4 4 2 6 2 4" xfId="15281" xr:uid="{FD4C5181-B0B2-4831-A5F1-C4425D6439A0}"/>
    <cellStyle name="Normal 4 4 4 2 6 3" xfId="27945" xr:uid="{D7E45F16-6B21-450E-9A38-F296EE4F049D}"/>
    <cellStyle name="Normal 4 4 4 2 6 4" xfId="19504" xr:uid="{AC20ABB9-F968-4F8C-8268-9786D22B602A}"/>
    <cellStyle name="Normal 4 4 4 2 6 5" xfId="11063" xr:uid="{175657F3-4E39-4AC7-8C2B-A017E8520922}"/>
    <cellStyle name="Normal 4 4 4 2 7" xfId="4766" xr:uid="{00000000-0005-0000-0000-0000C8150000}"/>
    <cellStyle name="Normal 4 4 4 2 7 2" xfId="30098" xr:uid="{45DBAA06-597F-4AFF-85F4-DD64EF84E0B5}"/>
    <cellStyle name="Normal 4 4 4 2 7 3" xfId="21657" xr:uid="{8BF4FE2E-3AAF-4C7C-B567-92CB4CBD4661}"/>
    <cellStyle name="Normal 4 4 4 2 7 4" xfId="13216" xr:uid="{6473321C-7A12-4E43-89D5-B69D11BD53AE}"/>
    <cellStyle name="Normal 4 4 4 2 8" xfId="25880" xr:uid="{58B71DE7-D247-424A-A79C-81231E0022FB}"/>
    <cellStyle name="Normal 4 4 4 2 9" xfId="17439" xr:uid="{6A71EF8B-012D-401D-AF81-F3137A62B895}"/>
    <cellStyle name="Normal 4 4 4 3" xfId="866" xr:uid="{00000000-0005-0000-0000-0000C9150000}"/>
    <cellStyle name="Normal 4 4 4 3 2" xfId="3101" xr:uid="{00000000-0005-0000-0000-0000CA150000}"/>
    <cellStyle name="Normal 4 4 4 3 2 2" xfId="7323" xr:uid="{00000000-0005-0000-0000-0000CB150000}"/>
    <cellStyle name="Normal 4 4 4 3 2 2 2" xfId="32655" xr:uid="{E8924074-A543-424D-A529-0F1CB2EC9BB0}"/>
    <cellStyle name="Normal 4 4 4 3 2 2 3" xfId="24214" xr:uid="{3203D072-F415-472C-9A28-CDAE3EA168BE}"/>
    <cellStyle name="Normal 4 4 4 3 2 2 4" xfId="15773" xr:uid="{2A934D12-5D53-4B59-A9C2-146B5F29DF44}"/>
    <cellStyle name="Normal 4 4 4 3 2 3" xfId="28437" xr:uid="{F24D179D-0F12-46BF-8964-F26FD881400D}"/>
    <cellStyle name="Normal 4 4 4 3 2 4" xfId="19996" xr:uid="{BC1CA8DE-EFBC-49D3-9106-30B128695182}"/>
    <cellStyle name="Normal 4 4 4 3 2 5" xfId="11555" xr:uid="{122ECD6C-25B3-4918-80FB-426739780AF6}"/>
    <cellStyle name="Normal 4 4 4 3 3" xfId="5178" xr:uid="{00000000-0005-0000-0000-0000CC150000}"/>
    <cellStyle name="Normal 4 4 4 3 3 2" xfId="30510" xr:uid="{A327587B-4B4A-4BA8-B108-5B9E0F1CB6DB}"/>
    <cellStyle name="Normal 4 4 4 3 3 3" xfId="22069" xr:uid="{537CBF71-5B59-49D8-936C-165EED769C0F}"/>
    <cellStyle name="Normal 4 4 4 3 3 4" xfId="13628" xr:uid="{73222169-C35B-4901-AF6D-DC728C95E882}"/>
    <cellStyle name="Normal 4 4 4 3 4" xfId="26292" xr:uid="{7FAE11DC-7209-46CB-8054-C215865C288D}"/>
    <cellStyle name="Normal 4 4 4 3 5" xfId="17851" xr:uid="{87E83AEB-9F03-45C3-9DA5-D3DFE452530D}"/>
    <cellStyle name="Normal 4 4 4 3 6" xfId="9410" xr:uid="{B67B3FBB-B7D6-4DC2-B405-31515014BA45}"/>
    <cellStyle name="Normal 4 4 4 4" xfId="1284" xr:uid="{00000000-0005-0000-0000-0000CD150000}"/>
    <cellStyle name="Normal 4 4 4 4 2" xfId="3514" xr:uid="{00000000-0005-0000-0000-0000CE150000}"/>
    <cellStyle name="Normal 4 4 4 4 2 2" xfId="7736" xr:uid="{00000000-0005-0000-0000-0000CF150000}"/>
    <cellStyle name="Normal 4 4 4 4 2 2 2" xfId="33068" xr:uid="{A564614B-F871-442D-A06A-DEA7BB9A76D4}"/>
    <cellStyle name="Normal 4 4 4 4 2 2 3" xfId="24627" xr:uid="{0CC3A8EB-483D-4966-8425-43B840907A7B}"/>
    <cellStyle name="Normal 4 4 4 4 2 2 4" xfId="16186" xr:uid="{D10FF8B7-85B5-4B90-B13A-B863A47EB32C}"/>
    <cellStyle name="Normal 4 4 4 4 2 3" xfId="28850" xr:uid="{615ABE99-A2A8-418E-AE0A-C15DB582557E}"/>
    <cellStyle name="Normal 4 4 4 4 2 4" xfId="20409" xr:uid="{D53553E8-4D10-4C12-8E93-34EFF7715AB8}"/>
    <cellStyle name="Normal 4 4 4 4 2 5" xfId="11968" xr:uid="{57B1BB78-1888-43A9-8F0B-A68D8151D068}"/>
    <cellStyle name="Normal 4 4 4 4 3" xfId="5591" xr:uid="{00000000-0005-0000-0000-0000D0150000}"/>
    <cellStyle name="Normal 4 4 4 4 3 2" xfId="30923" xr:uid="{1D9C1AE9-0731-4264-A7AD-46288CCC6226}"/>
    <cellStyle name="Normal 4 4 4 4 3 3" xfId="22482" xr:uid="{449EC4E3-4E74-46A5-8DA3-AB8235B41A8F}"/>
    <cellStyle name="Normal 4 4 4 4 3 4" xfId="14041" xr:uid="{6823B19B-B9A7-4664-93DF-76669D36AEEC}"/>
    <cellStyle name="Normal 4 4 4 4 4" xfId="26705" xr:uid="{2F940644-2AC5-495B-A44D-8537341741FC}"/>
    <cellStyle name="Normal 4 4 4 4 5" xfId="18264" xr:uid="{CD9751E4-DF2A-4A44-BA46-FCF088B91529}"/>
    <cellStyle name="Normal 4 4 4 4 6" xfId="9823" xr:uid="{ECDCB309-CBF7-4B1A-A7DA-298C55C98A76}"/>
    <cellStyle name="Normal 4 4 4 5" xfId="1697" xr:uid="{00000000-0005-0000-0000-0000D1150000}"/>
    <cellStyle name="Normal 4 4 4 5 2" xfId="3927" xr:uid="{00000000-0005-0000-0000-0000D2150000}"/>
    <cellStyle name="Normal 4 4 4 5 2 2" xfId="8149" xr:uid="{00000000-0005-0000-0000-0000D3150000}"/>
    <cellStyle name="Normal 4 4 4 5 2 2 2" xfId="33481" xr:uid="{30DCA0A3-2DA4-4537-BF5B-BF6F5F6A3EC0}"/>
    <cellStyle name="Normal 4 4 4 5 2 2 3" xfId="25040" xr:uid="{7F803019-CFF7-4BA8-8633-8DD0449A9DF4}"/>
    <cellStyle name="Normal 4 4 4 5 2 2 4" xfId="16599" xr:uid="{80D27C68-87E9-4AD8-AF43-D0FE8FB64FDB}"/>
    <cellStyle name="Normal 4 4 4 5 2 3" xfId="29263" xr:uid="{3F1A287E-41F1-4AC8-ADD1-84D51A60EEE2}"/>
    <cellStyle name="Normal 4 4 4 5 2 4" xfId="20822" xr:uid="{549668C5-3B1E-4F8A-A23B-DA373FCEDF2C}"/>
    <cellStyle name="Normal 4 4 4 5 2 5" xfId="12381" xr:uid="{2155B4CB-5E27-4BD2-8459-1C785A9F0223}"/>
    <cellStyle name="Normal 4 4 4 5 3" xfId="6004" xr:uid="{00000000-0005-0000-0000-0000D4150000}"/>
    <cellStyle name="Normal 4 4 4 5 3 2" xfId="31336" xr:uid="{A1D5F66E-21B7-4AB2-A9A8-5488E3A0CD0F}"/>
    <cellStyle name="Normal 4 4 4 5 3 3" xfId="22895" xr:uid="{E4A2DC88-FDAD-4AC3-ABFB-74803305D8F2}"/>
    <cellStyle name="Normal 4 4 4 5 3 4" xfId="14454" xr:uid="{877AF897-BD2B-47EB-8808-2672B9313BD9}"/>
    <cellStyle name="Normal 4 4 4 5 4" xfId="27118" xr:uid="{76461D7A-BD26-4124-8F39-E01500565E9F}"/>
    <cellStyle name="Normal 4 4 4 5 5" xfId="18677" xr:uid="{0A3D77BC-FA33-4FCA-8684-F4D6E982111D}"/>
    <cellStyle name="Normal 4 4 4 5 6" xfId="10236" xr:uid="{78FBA274-D3D9-491C-A4AE-4575E1C0396D}"/>
    <cellStyle name="Normal 4 4 4 6" xfId="2111" xr:uid="{00000000-0005-0000-0000-0000D5150000}"/>
    <cellStyle name="Normal 4 4 4 6 2" xfId="4340" xr:uid="{00000000-0005-0000-0000-0000D6150000}"/>
    <cellStyle name="Normal 4 4 4 6 2 2" xfId="8562" xr:uid="{00000000-0005-0000-0000-0000D7150000}"/>
    <cellStyle name="Normal 4 4 4 6 2 2 2" xfId="33894" xr:uid="{DFC7C5BB-3E80-489E-9D80-D9FBD4ED7CD2}"/>
    <cellStyle name="Normal 4 4 4 6 2 2 3" xfId="25453" xr:uid="{C393070D-1938-4C45-9DC5-D80F64457674}"/>
    <cellStyle name="Normal 4 4 4 6 2 2 4" xfId="17012" xr:uid="{B820E6B9-976A-4CD5-B315-3D45AAA7763D}"/>
    <cellStyle name="Normal 4 4 4 6 2 3" xfId="29676" xr:uid="{C8FA8A34-5BB0-46AF-A9AA-9E126E39D8FF}"/>
    <cellStyle name="Normal 4 4 4 6 2 4" xfId="21235" xr:uid="{EC7395BB-C1BE-4A90-A616-402DCC3725D9}"/>
    <cellStyle name="Normal 4 4 4 6 2 5" xfId="12794" xr:uid="{0C295A4A-28DE-46C4-A0D5-3ED9A5D8AC76}"/>
    <cellStyle name="Normal 4 4 4 6 3" xfId="6417" xr:uid="{00000000-0005-0000-0000-0000D8150000}"/>
    <cellStyle name="Normal 4 4 4 6 3 2" xfId="31749" xr:uid="{03FD2C7C-DD1D-4073-AAA4-2E6CB5E4C20E}"/>
    <cellStyle name="Normal 4 4 4 6 3 3" xfId="23308" xr:uid="{252CB2D6-FCE0-46D1-90F7-EBA975306100}"/>
    <cellStyle name="Normal 4 4 4 6 3 4" xfId="14867" xr:uid="{F7E7FD3D-0C67-47E3-8870-8940F597839E}"/>
    <cellStyle name="Normal 4 4 4 6 4" xfId="27531" xr:uid="{DD567179-00E3-4918-8046-B4BDA7437681}"/>
    <cellStyle name="Normal 4 4 4 6 5" xfId="19090" xr:uid="{D9C1AA43-341D-488A-9CC6-CA8D60E8A6ED}"/>
    <cellStyle name="Normal 4 4 4 6 6" xfId="10649" xr:uid="{2336467A-E189-4748-B366-CCA33B0FC02B}"/>
    <cellStyle name="Normal 4 4 4 7" xfId="2547" xr:uid="{00000000-0005-0000-0000-0000D9150000}"/>
    <cellStyle name="Normal 4 4 4 7 2" xfId="6830" xr:uid="{00000000-0005-0000-0000-0000DA150000}"/>
    <cellStyle name="Normal 4 4 4 7 2 2" xfId="32162" xr:uid="{B304AD7E-5B4C-4D4C-882C-B5C714427E80}"/>
    <cellStyle name="Normal 4 4 4 7 2 3" xfId="23721" xr:uid="{03BB5D52-9815-44A1-B731-E1F8F0351A90}"/>
    <cellStyle name="Normal 4 4 4 7 2 4" xfId="15280" xr:uid="{F66A1389-5637-46E3-AEAF-DF532DB68967}"/>
    <cellStyle name="Normal 4 4 4 7 3" xfId="27944" xr:uid="{64B9AF9D-B00C-4C41-AAD0-F6D1D92ACED6}"/>
    <cellStyle name="Normal 4 4 4 7 4" xfId="19503" xr:uid="{5A7A9C70-DA42-4F48-ACF4-B290FBC4DD9A}"/>
    <cellStyle name="Normal 4 4 4 7 5" xfId="11062" xr:uid="{05E5402B-F739-48D2-A1CD-E51A77C69019}"/>
    <cellStyle name="Normal 4 4 4 8" xfId="4765" xr:uid="{00000000-0005-0000-0000-0000DB150000}"/>
    <cellStyle name="Normal 4 4 4 8 2" xfId="30097" xr:uid="{C09DC40D-C45A-4FBE-81E8-58C30D53107D}"/>
    <cellStyle name="Normal 4 4 4 8 3" xfId="21656" xr:uid="{D82F1F81-5288-4C4C-A88E-CE0D47FA0CD4}"/>
    <cellStyle name="Normal 4 4 4 8 4" xfId="13215" xr:uid="{2BBB5B76-228B-4247-A023-D782B5C1303C}"/>
    <cellStyle name="Normal 4 4 4 9" xfId="25879" xr:uid="{F7AF309F-63F1-4B42-8A8B-83915FC5DE03}"/>
    <cellStyle name="Normal 4 4 5" xfId="393" xr:uid="{00000000-0005-0000-0000-0000DC150000}"/>
    <cellStyle name="Normal 4 4 5 10" xfId="8999" xr:uid="{C6B5E9DA-9302-4EA5-9B30-E64E72C924FF}"/>
    <cellStyle name="Normal 4 4 5 2" xfId="868" xr:uid="{00000000-0005-0000-0000-0000DD150000}"/>
    <cellStyle name="Normal 4 4 5 2 2" xfId="3103" xr:uid="{00000000-0005-0000-0000-0000DE150000}"/>
    <cellStyle name="Normal 4 4 5 2 2 2" xfId="7325" xr:uid="{00000000-0005-0000-0000-0000DF150000}"/>
    <cellStyle name="Normal 4 4 5 2 2 2 2" xfId="32657" xr:uid="{6AFAF1EC-44F5-4FEE-8CF8-882C3F143305}"/>
    <cellStyle name="Normal 4 4 5 2 2 2 3" xfId="24216" xr:uid="{78B06DA9-4EAE-43DE-94A6-38D673FA05C4}"/>
    <cellStyle name="Normal 4 4 5 2 2 2 4" xfId="15775" xr:uid="{68C2AF59-F188-431C-A280-213723E12EEA}"/>
    <cellStyle name="Normal 4 4 5 2 2 3" xfId="28439" xr:uid="{5FD8E549-401B-4429-95A7-7149AAECAFF3}"/>
    <cellStyle name="Normal 4 4 5 2 2 4" xfId="19998" xr:uid="{59B085DB-4041-4F23-8A62-C4065143F877}"/>
    <cellStyle name="Normal 4 4 5 2 2 5" xfId="11557" xr:uid="{527D0465-0E8C-4860-BA29-8F3741B289E3}"/>
    <cellStyle name="Normal 4 4 5 2 3" xfId="5180" xr:uid="{00000000-0005-0000-0000-0000E0150000}"/>
    <cellStyle name="Normal 4 4 5 2 3 2" xfId="30512" xr:uid="{0B748219-8B6C-4D1C-BA8E-B9F34EB5678A}"/>
    <cellStyle name="Normal 4 4 5 2 3 3" xfId="22071" xr:uid="{A0419FD7-EBF5-4925-9A9E-159E3A3A6273}"/>
    <cellStyle name="Normal 4 4 5 2 3 4" xfId="13630" xr:uid="{0DC69171-E9B1-4BF2-B756-039E03C16248}"/>
    <cellStyle name="Normal 4 4 5 2 4" xfId="26294" xr:uid="{3EA7BD12-2886-4828-B4DE-E774B85A484D}"/>
    <cellStyle name="Normal 4 4 5 2 5" xfId="17853" xr:uid="{90CCB282-D651-4D90-A794-C8BD532D2FCB}"/>
    <cellStyle name="Normal 4 4 5 2 6" xfId="9412" xr:uid="{8340C787-7E9D-44AB-96D1-DA15947E0300}"/>
    <cellStyle name="Normal 4 4 5 3" xfId="1286" xr:uid="{00000000-0005-0000-0000-0000E1150000}"/>
    <cellStyle name="Normal 4 4 5 3 2" xfId="3516" xr:uid="{00000000-0005-0000-0000-0000E2150000}"/>
    <cellStyle name="Normal 4 4 5 3 2 2" xfId="7738" xr:uid="{00000000-0005-0000-0000-0000E3150000}"/>
    <cellStyle name="Normal 4 4 5 3 2 2 2" xfId="33070" xr:uid="{0F174CEA-3B01-49D8-8302-F59E7F232AD6}"/>
    <cellStyle name="Normal 4 4 5 3 2 2 3" xfId="24629" xr:uid="{015C8259-753B-4AAB-808C-C7A660D5BA60}"/>
    <cellStyle name="Normal 4 4 5 3 2 2 4" xfId="16188" xr:uid="{42E4C55F-73C8-4EFA-A17C-41F18F5B45BB}"/>
    <cellStyle name="Normal 4 4 5 3 2 3" xfId="28852" xr:uid="{9F5A6D4D-D574-4C54-AEC8-91AF62DA497B}"/>
    <cellStyle name="Normal 4 4 5 3 2 4" xfId="20411" xr:uid="{993BB278-B082-41C6-BAD4-AEA92647670B}"/>
    <cellStyle name="Normal 4 4 5 3 2 5" xfId="11970" xr:uid="{5C3B7280-ACA6-4F4D-825C-59A6A1C9C443}"/>
    <cellStyle name="Normal 4 4 5 3 3" xfId="5593" xr:uid="{00000000-0005-0000-0000-0000E4150000}"/>
    <cellStyle name="Normal 4 4 5 3 3 2" xfId="30925" xr:uid="{2C6F036E-9CAF-479B-980E-84AE015DE0BF}"/>
    <cellStyle name="Normal 4 4 5 3 3 3" xfId="22484" xr:uid="{F2A6D336-EDA7-4E40-9A69-07D6607A36F0}"/>
    <cellStyle name="Normal 4 4 5 3 3 4" xfId="14043" xr:uid="{529F0D29-6BC4-4F4C-9717-9CE820591801}"/>
    <cellStyle name="Normal 4 4 5 3 4" xfId="26707" xr:uid="{0CA8E8D3-6A03-4748-A83B-F0584442988A}"/>
    <cellStyle name="Normal 4 4 5 3 5" xfId="18266" xr:uid="{207CEC2A-E60B-462C-91C9-1A264B267B25}"/>
    <cellStyle name="Normal 4 4 5 3 6" xfId="9825" xr:uid="{D1526EC2-02F2-4592-8596-044673449B91}"/>
    <cellStyle name="Normal 4 4 5 4" xfId="1699" xr:uid="{00000000-0005-0000-0000-0000E5150000}"/>
    <cellStyle name="Normal 4 4 5 4 2" xfId="3929" xr:uid="{00000000-0005-0000-0000-0000E6150000}"/>
    <cellStyle name="Normal 4 4 5 4 2 2" xfId="8151" xr:uid="{00000000-0005-0000-0000-0000E7150000}"/>
    <cellStyle name="Normal 4 4 5 4 2 2 2" xfId="33483" xr:uid="{71E0F6E4-B470-45E1-BB67-C70C28C5D2AB}"/>
    <cellStyle name="Normal 4 4 5 4 2 2 3" xfId="25042" xr:uid="{12059313-79AC-4091-827E-2C0482137BCB}"/>
    <cellStyle name="Normal 4 4 5 4 2 2 4" xfId="16601" xr:uid="{8A016ED1-350B-4621-A973-FF846B2D7806}"/>
    <cellStyle name="Normal 4 4 5 4 2 3" xfId="29265" xr:uid="{1B16DA8F-0A16-4EF4-83C4-BFE59F3D99E1}"/>
    <cellStyle name="Normal 4 4 5 4 2 4" xfId="20824" xr:uid="{148CAF4D-3DF3-4899-9CFB-4EB53953A444}"/>
    <cellStyle name="Normal 4 4 5 4 2 5" xfId="12383" xr:uid="{4A0DB27F-1CC2-4676-983E-5A2E47C26275}"/>
    <cellStyle name="Normal 4 4 5 4 3" xfId="6006" xr:uid="{00000000-0005-0000-0000-0000E8150000}"/>
    <cellStyle name="Normal 4 4 5 4 3 2" xfId="31338" xr:uid="{594DB215-737C-4A02-9347-7D6B766AD9DD}"/>
    <cellStyle name="Normal 4 4 5 4 3 3" xfId="22897" xr:uid="{ADF62FEE-102B-41F1-BA69-1EE5C55C17B4}"/>
    <cellStyle name="Normal 4 4 5 4 3 4" xfId="14456" xr:uid="{E5D95CA4-73DF-4869-ADF5-07506A61DEC3}"/>
    <cellStyle name="Normal 4 4 5 4 4" xfId="27120" xr:uid="{89D10CA3-F297-4767-B83B-401AC1BBBC7F}"/>
    <cellStyle name="Normal 4 4 5 4 5" xfId="18679" xr:uid="{FEB5AF50-832F-4289-AB9E-0C88C0960B21}"/>
    <cellStyle name="Normal 4 4 5 4 6" xfId="10238" xr:uid="{107CB0B1-4B52-4C23-98C2-66F0233F3315}"/>
    <cellStyle name="Normal 4 4 5 5" xfId="2113" xr:uid="{00000000-0005-0000-0000-0000E9150000}"/>
    <cellStyle name="Normal 4 4 5 5 2" xfId="4342" xr:uid="{00000000-0005-0000-0000-0000EA150000}"/>
    <cellStyle name="Normal 4 4 5 5 2 2" xfId="8564" xr:uid="{00000000-0005-0000-0000-0000EB150000}"/>
    <cellStyle name="Normal 4 4 5 5 2 2 2" xfId="33896" xr:uid="{4F7035DF-798C-4692-BE2F-61709FA07B79}"/>
    <cellStyle name="Normal 4 4 5 5 2 2 3" xfId="25455" xr:uid="{2146BA67-CB7D-4CA4-8F53-57722DA985F9}"/>
    <cellStyle name="Normal 4 4 5 5 2 2 4" xfId="17014" xr:uid="{B48CE1A0-E0EE-49A4-BE51-9300021FAF49}"/>
    <cellStyle name="Normal 4 4 5 5 2 3" xfId="29678" xr:uid="{3363A00C-0311-45EA-BE07-416AB707DF5D}"/>
    <cellStyle name="Normal 4 4 5 5 2 4" xfId="21237" xr:uid="{9F583133-0562-45FD-958C-22FCF25C6049}"/>
    <cellStyle name="Normal 4 4 5 5 2 5" xfId="12796" xr:uid="{A8C943BF-CF71-4560-AA26-3263151B44B2}"/>
    <cellStyle name="Normal 4 4 5 5 3" xfId="6419" xr:uid="{00000000-0005-0000-0000-0000EC150000}"/>
    <cellStyle name="Normal 4 4 5 5 3 2" xfId="31751" xr:uid="{3E8064B0-AC9C-4E2B-873D-A50163980265}"/>
    <cellStyle name="Normal 4 4 5 5 3 3" xfId="23310" xr:uid="{BEDD9ABC-FE6B-41C1-AFB9-5A6FBD3E3E58}"/>
    <cellStyle name="Normal 4 4 5 5 3 4" xfId="14869" xr:uid="{86C59C53-178C-40C9-BAFA-3C6B70F9BB19}"/>
    <cellStyle name="Normal 4 4 5 5 4" xfId="27533" xr:uid="{C665AF77-4963-4A06-8062-7926270FADA5}"/>
    <cellStyle name="Normal 4 4 5 5 5" xfId="19092" xr:uid="{68C20D7D-6C1D-4444-87EF-360086F0F20F}"/>
    <cellStyle name="Normal 4 4 5 5 6" xfId="10651" xr:uid="{BB97B77E-80A3-4631-AE4D-8E04932F8736}"/>
    <cellStyle name="Normal 4 4 5 6" xfId="2549" xr:uid="{00000000-0005-0000-0000-0000ED150000}"/>
    <cellStyle name="Normal 4 4 5 6 2" xfId="6832" xr:uid="{00000000-0005-0000-0000-0000EE150000}"/>
    <cellStyle name="Normal 4 4 5 6 2 2" xfId="32164" xr:uid="{B9471D00-E077-4465-9EB6-68F20F7247D8}"/>
    <cellStyle name="Normal 4 4 5 6 2 3" xfId="23723" xr:uid="{866FCAB2-90BC-45A3-A367-11BCBE32A43E}"/>
    <cellStyle name="Normal 4 4 5 6 2 4" xfId="15282" xr:uid="{51DD752D-7D09-4DAE-9451-D8294AE359E1}"/>
    <cellStyle name="Normal 4 4 5 6 3" xfId="27946" xr:uid="{C6FDF8C2-E002-411F-A927-2766A33F3E01}"/>
    <cellStyle name="Normal 4 4 5 6 4" xfId="19505" xr:uid="{9187333C-1288-41F2-B495-ED00B2BA37DE}"/>
    <cellStyle name="Normal 4 4 5 6 5" xfId="11064" xr:uid="{8428F289-F7FA-4340-940E-479F72EDF805}"/>
    <cellStyle name="Normal 4 4 5 7" xfId="4767" xr:uid="{00000000-0005-0000-0000-0000EF150000}"/>
    <cellStyle name="Normal 4 4 5 7 2" xfId="30099" xr:uid="{79B38B74-A1F6-464E-8B25-582B8DDDCE7E}"/>
    <cellStyle name="Normal 4 4 5 7 3" xfId="21658" xr:uid="{C075D1BC-6DEF-445D-8A64-5716D4EBA724}"/>
    <cellStyle name="Normal 4 4 5 7 4" xfId="13217" xr:uid="{979EAFBA-9CDD-4D30-ACA5-B65C9DA93FD1}"/>
    <cellStyle name="Normal 4 4 5 8" xfId="25881" xr:uid="{DD6ACDBA-D778-4F75-87F3-E3B7749A57C8}"/>
    <cellStyle name="Normal 4 4 5 9" xfId="17440" xr:uid="{D0DF3217-ACBE-40B4-874A-081507B503B4}"/>
    <cellStyle name="Normal 4 4 6" xfId="853" xr:uid="{00000000-0005-0000-0000-0000F0150000}"/>
    <cellStyle name="Normal 4 4 6 2" xfId="3088" xr:uid="{00000000-0005-0000-0000-0000F1150000}"/>
    <cellStyle name="Normal 4 4 6 2 2" xfId="7310" xr:uid="{00000000-0005-0000-0000-0000F2150000}"/>
    <cellStyle name="Normal 4 4 6 2 2 2" xfId="32642" xr:uid="{278FA9B3-9DCD-4FD0-A57E-A1B0F74BD361}"/>
    <cellStyle name="Normal 4 4 6 2 2 3" xfId="24201" xr:uid="{B8604F55-ABC7-4C11-8B0A-77B04B7B5491}"/>
    <cellStyle name="Normal 4 4 6 2 2 4" xfId="15760" xr:uid="{DB8D9FD5-B6B8-4793-8266-305D0056748F}"/>
    <cellStyle name="Normal 4 4 6 2 3" xfId="28424" xr:uid="{FA1424D8-08E2-49BA-8C0A-3FB218400E2E}"/>
    <cellStyle name="Normal 4 4 6 2 4" xfId="19983" xr:uid="{C2BFB206-5E4E-4078-B9F1-30DA82A6FFC1}"/>
    <cellStyle name="Normal 4 4 6 2 5" xfId="11542" xr:uid="{54E2E910-BAA9-43C0-921C-D1C962BFBFA9}"/>
    <cellStyle name="Normal 4 4 6 3" xfId="5165" xr:uid="{00000000-0005-0000-0000-0000F3150000}"/>
    <cellStyle name="Normal 4 4 6 3 2" xfId="30497" xr:uid="{4D5E6FEA-53DA-4C7D-890E-643C0F6589A1}"/>
    <cellStyle name="Normal 4 4 6 3 3" xfId="22056" xr:uid="{9D70CF4A-102A-436E-9731-2207DEB9034D}"/>
    <cellStyle name="Normal 4 4 6 3 4" xfId="13615" xr:uid="{2810241B-AF47-4476-AF98-A1D2295B75AA}"/>
    <cellStyle name="Normal 4 4 6 4" xfId="26279" xr:uid="{C923E4E7-2B84-4BC9-82AD-F612C2AA1DF4}"/>
    <cellStyle name="Normal 4 4 6 5" xfId="17838" xr:uid="{188920EA-EA47-449C-A355-717509450D42}"/>
    <cellStyle name="Normal 4 4 6 6" xfId="9397" xr:uid="{178AB742-014E-4D4D-9311-42CBC50FE18C}"/>
    <cellStyle name="Normal 4 4 7" xfId="1271" xr:uid="{00000000-0005-0000-0000-0000F4150000}"/>
    <cellStyle name="Normal 4 4 7 2" xfId="3501" xr:uid="{00000000-0005-0000-0000-0000F5150000}"/>
    <cellStyle name="Normal 4 4 7 2 2" xfId="7723" xr:uid="{00000000-0005-0000-0000-0000F6150000}"/>
    <cellStyle name="Normal 4 4 7 2 2 2" xfId="33055" xr:uid="{4CF6FA70-828F-4118-8915-A5410F001627}"/>
    <cellStyle name="Normal 4 4 7 2 2 3" xfId="24614" xr:uid="{E204E295-FFF5-4BCD-98CB-10FD518D16A4}"/>
    <cellStyle name="Normal 4 4 7 2 2 4" xfId="16173" xr:uid="{F8034640-AB3C-4749-A604-46EABF0AECE4}"/>
    <cellStyle name="Normal 4 4 7 2 3" xfId="28837" xr:uid="{82F367D8-EC09-4402-AADB-2D53C6EB825D}"/>
    <cellStyle name="Normal 4 4 7 2 4" xfId="20396" xr:uid="{181FBA24-282D-4155-AF87-1DD8756B047A}"/>
    <cellStyle name="Normal 4 4 7 2 5" xfId="11955" xr:uid="{179529D6-F392-42E2-9740-7DDDB294C379}"/>
    <cellStyle name="Normal 4 4 7 3" xfId="5578" xr:uid="{00000000-0005-0000-0000-0000F7150000}"/>
    <cellStyle name="Normal 4 4 7 3 2" xfId="30910" xr:uid="{C2C8F9E4-392F-40DC-90FE-FE3BAE5860E6}"/>
    <cellStyle name="Normal 4 4 7 3 3" xfId="22469" xr:uid="{4CDC8472-8177-4BCA-86EF-03D6DDF6C4BA}"/>
    <cellStyle name="Normal 4 4 7 3 4" xfId="14028" xr:uid="{7F235EFB-821A-40F1-A30C-6073F0B064D6}"/>
    <cellStyle name="Normal 4 4 7 4" xfId="26692" xr:uid="{BF76231B-74AA-43EC-8834-B380FC8551A1}"/>
    <cellStyle name="Normal 4 4 7 5" xfId="18251" xr:uid="{37AFD497-C45F-4084-A367-6FB9BA14ECF1}"/>
    <cellStyle name="Normal 4 4 7 6" xfId="9810" xr:uid="{D8183C9A-D2BF-4F03-80B8-D663C460E371}"/>
    <cellStyle name="Normal 4 4 8" xfId="1684" xr:uid="{00000000-0005-0000-0000-0000F8150000}"/>
    <cellStyle name="Normal 4 4 8 2" xfId="3914" xr:uid="{00000000-0005-0000-0000-0000F9150000}"/>
    <cellStyle name="Normal 4 4 8 2 2" xfId="8136" xr:uid="{00000000-0005-0000-0000-0000FA150000}"/>
    <cellStyle name="Normal 4 4 8 2 2 2" xfId="33468" xr:uid="{BE9649F5-CB86-4A1A-B63E-5FD4602F2CB2}"/>
    <cellStyle name="Normal 4 4 8 2 2 3" xfId="25027" xr:uid="{698B8517-38D6-401F-BDF0-DA3DF39A9E2A}"/>
    <cellStyle name="Normal 4 4 8 2 2 4" xfId="16586" xr:uid="{462FBEDA-6B21-4E10-BA0D-089C5B0EB204}"/>
    <cellStyle name="Normal 4 4 8 2 3" xfId="29250" xr:uid="{3A2BC73D-C329-4533-B4D2-04B80206F314}"/>
    <cellStyle name="Normal 4 4 8 2 4" xfId="20809" xr:uid="{7607F497-B44F-4238-94ED-2B8078A1290D}"/>
    <cellStyle name="Normal 4 4 8 2 5" xfId="12368" xr:uid="{00769296-2DC4-46BD-A01C-7606FF435C29}"/>
    <cellStyle name="Normal 4 4 8 3" xfId="5991" xr:uid="{00000000-0005-0000-0000-0000FB150000}"/>
    <cellStyle name="Normal 4 4 8 3 2" xfId="31323" xr:uid="{EB9F7AAA-DEB0-495F-9896-35E0531E6152}"/>
    <cellStyle name="Normal 4 4 8 3 3" xfId="22882" xr:uid="{A0A0AE35-4251-4F3B-A427-B56CF958225A}"/>
    <cellStyle name="Normal 4 4 8 3 4" xfId="14441" xr:uid="{37AF76EB-9CF4-4A12-8275-3D01E606F7CE}"/>
    <cellStyle name="Normal 4 4 8 4" xfId="27105" xr:uid="{62A26535-4538-4847-8A9D-2477AD121AF7}"/>
    <cellStyle name="Normal 4 4 8 5" xfId="18664" xr:uid="{27597972-4C24-4D05-8FE0-AC3CDA06BE51}"/>
    <cellStyle name="Normal 4 4 8 6" xfId="10223" xr:uid="{8FEA20A2-B9AB-46CB-B706-97A349518FB0}"/>
    <cellStyle name="Normal 4 4 9" xfId="2098" xr:uid="{00000000-0005-0000-0000-0000FC150000}"/>
    <cellStyle name="Normal 4 4 9 2" xfId="4327" xr:uid="{00000000-0005-0000-0000-0000FD150000}"/>
    <cellStyle name="Normal 4 4 9 2 2" xfId="8549" xr:uid="{00000000-0005-0000-0000-0000FE150000}"/>
    <cellStyle name="Normal 4 4 9 2 2 2" xfId="33881" xr:uid="{9F416ECE-775F-4A2E-A268-1F722D695D86}"/>
    <cellStyle name="Normal 4 4 9 2 2 3" xfId="25440" xr:uid="{809DDBFA-1F0A-421E-BA2D-7D5E28AA6F84}"/>
    <cellStyle name="Normal 4 4 9 2 2 4" xfId="16999" xr:uid="{05A7443E-967E-493E-BDD0-593E9369CDA9}"/>
    <cellStyle name="Normal 4 4 9 2 3" xfId="29663" xr:uid="{D44C5870-D572-400F-94A4-5086D6392B40}"/>
    <cellStyle name="Normal 4 4 9 2 4" xfId="21222" xr:uid="{13B04D37-6D4D-4B10-8F8A-EF5CFD99A410}"/>
    <cellStyle name="Normal 4 4 9 2 5" xfId="12781" xr:uid="{2B457CD5-0D75-4611-A599-649EBE31591C}"/>
    <cellStyle name="Normal 4 4 9 3" xfId="6404" xr:uid="{00000000-0005-0000-0000-0000FF150000}"/>
    <cellStyle name="Normal 4 4 9 3 2" xfId="31736" xr:uid="{762724A8-16AD-4709-AF4A-1732890489E9}"/>
    <cellStyle name="Normal 4 4 9 3 3" xfId="23295" xr:uid="{A4248ED1-84A8-45F8-B35E-D34D700D2C3D}"/>
    <cellStyle name="Normal 4 4 9 3 4" xfId="14854" xr:uid="{5D594026-EF5F-4E76-9C91-8BB499C04E11}"/>
    <cellStyle name="Normal 4 4 9 4" xfId="27518" xr:uid="{4DF05A6C-6EB1-4D05-9939-9DED021979A7}"/>
    <cellStyle name="Normal 4 4 9 5" xfId="19077" xr:uid="{97A0AB11-3B69-42FB-B2AC-E4DE2EFD6047}"/>
    <cellStyle name="Normal 4 4 9 6" xfId="10636" xr:uid="{1739F69B-C8F9-465D-A20E-BAB09A58A4B8}"/>
    <cellStyle name="Normal 4 5" xfId="394" xr:uid="{00000000-0005-0000-0000-000000160000}"/>
    <cellStyle name="Normal 4 6" xfId="395" xr:uid="{00000000-0005-0000-0000-000001160000}"/>
    <cellStyle name="Normal 4 6 10" xfId="4768" xr:uid="{00000000-0005-0000-0000-000002160000}"/>
    <cellStyle name="Normal 4 6 10 2" xfId="30100" xr:uid="{6A743996-7DB9-467A-9DBF-784157CBF982}"/>
    <cellStyle name="Normal 4 6 10 3" xfId="21659" xr:uid="{6F8CD3B4-4E53-42D6-88CF-2A7B091BC786}"/>
    <cellStyle name="Normal 4 6 10 4" xfId="13218" xr:uid="{3B9E17D0-14F0-419D-B77C-5A46878351E4}"/>
    <cellStyle name="Normal 4 6 11" xfId="25882" xr:uid="{8AA5E3B8-66B8-4B31-BDAF-02EC062E5012}"/>
    <cellStyle name="Normal 4 6 12" xfId="17441" xr:uid="{DDB89901-FFFE-41A6-B07D-63B50D734609}"/>
    <cellStyle name="Normal 4 6 13" xfId="9000" xr:uid="{920CB8FC-D284-4BD0-902D-7D1796FDD1FA}"/>
    <cellStyle name="Normal 4 6 2" xfId="396" xr:uid="{00000000-0005-0000-0000-000003160000}"/>
    <cellStyle name="Normal 4 6 2 10" xfId="25883" xr:uid="{8F1478A5-1F3A-45F2-9487-40D996AB72FB}"/>
    <cellStyle name="Normal 4 6 2 11" xfId="17442" xr:uid="{EB42BE14-C496-4108-8186-E8BCB914F318}"/>
    <cellStyle name="Normal 4 6 2 12" xfId="9001" xr:uid="{A550C69B-2C80-453A-8677-6C8C9BCD3FC5}"/>
    <cellStyle name="Normal 4 6 2 2" xfId="397" xr:uid="{00000000-0005-0000-0000-000004160000}"/>
    <cellStyle name="Normal 4 6 2 2 10" xfId="17443" xr:uid="{4E43060E-9028-4DC3-85DF-1E7C9971EB67}"/>
    <cellStyle name="Normal 4 6 2 2 11" xfId="9002" xr:uid="{E3BDDA3C-6D00-40E3-AE1D-763AC1278418}"/>
    <cellStyle name="Normal 4 6 2 2 2" xfId="398" xr:uid="{00000000-0005-0000-0000-000005160000}"/>
    <cellStyle name="Normal 4 6 2 2 2 10" xfId="9003" xr:uid="{FDD76801-8753-46A1-9938-FE5299F1726F}"/>
    <cellStyle name="Normal 4 6 2 2 2 2" xfId="872" xr:uid="{00000000-0005-0000-0000-000006160000}"/>
    <cellStyle name="Normal 4 6 2 2 2 2 2" xfId="3107" xr:uid="{00000000-0005-0000-0000-000007160000}"/>
    <cellStyle name="Normal 4 6 2 2 2 2 2 2" xfId="7329" xr:uid="{00000000-0005-0000-0000-000008160000}"/>
    <cellStyle name="Normal 4 6 2 2 2 2 2 2 2" xfId="32661" xr:uid="{A77C2E8A-4ED0-4879-AF76-AA16AC747461}"/>
    <cellStyle name="Normal 4 6 2 2 2 2 2 2 3" xfId="24220" xr:uid="{D721B190-7819-4C4C-83C1-67978203C3E0}"/>
    <cellStyle name="Normal 4 6 2 2 2 2 2 2 4" xfId="15779" xr:uid="{047156AF-084C-4172-863E-6550BD6C699C}"/>
    <cellStyle name="Normal 4 6 2 2 2 2 2 3" xfId="28443" xr:uid="{2120F147-7D5B-4160-B656-773336578FFA}"/>
    <cellStyle name="Normal 4 6 2 2 2 2 2 4" xfId="20002" xr:uid="{DECD863E-48D4-4F67-96C4-6098CEA96F0F}"/>
    <cellStyle name="Normal 4 6 2 2 2 2 2 5" xfId="11561" xr:uid="{7790B895-F10E-4FA2-AD5A-948943798EAE}"/>
    <cellStyle name="Normal 4 6 2 2 2 2 3" xfId="5184" xr:uid="{00000000-0005-0000-0000-000009160000}"/>
    <cellStyle name="Normal 4 6 2 2 2 2 3 2" xfId="30516" xr:uid="{3FF2412A-588F-4CEC-BB2A-EDB416724659}"/>
    <cellStyle name="Normal 4 6 2 2 2 2 3 3" xfId="22075" xr:uid="{7EABC815-0B6F-4B2F-B3E1-8386D73FA2DC}"/>
    <cellStyle name="Normal 4 6 2 2 2 2 3 4" xfId="13634" xr:uid="{D779CB1F-CAD3-455A-A119-74D2D09BA8B5}"/>
    <cellStyle name="Normal 4 6 2 2 2 2 4" xfId="26298" xr:uid="{F3721E7F-7965-4121-A9BE-F4F5FD7AEB69}"/>
    <cellStyle name="Normal 4 6 2 2 2 2 5" xfId="17857" xr:uid="{D4C3653E-EC12-4234-92D8-A766DA93692E}"/>
    <cellStyle name="Normal 4 6 2 2 2 2 6" xfId="9416" xr:uid="{0700D48F-3D2D-40FD-A414-94C4CED5AC3F}"/>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2 2 2" xfId="33074" xr:uid="{DF340111-F6FD-4349-9D9C-4308934508E6}"/>
    <cellStyle name="Normal 4 6 2 2 2 3 2 2 3" xfId="24633" xr:uid="{17DE1B38-389F-4018-AEF2-2C82F4A1BDFA}"/>
    <cellStyle name="Normal 4 6 2 2 2 3 2 2 4" xfId="16192" xr:uid="{80150CBC-8012-478E-9B61-F7BCA9E1A893}"/>
    <cellStyle name="Normal 4 6 2 2 2 3 2 3" xfId="28856" xr:uid="{67BD0E7D-4BF8-4BB9-A1DF-20D9A1E1B3A3}"/>
    <cellStyle name="Normal 4 6 2 2 2 3 2 4" xfId="20415" xr:uid="{D1BC0651-3CD5-4008-A77C-105DF3444B15}"/>
    <cellStyle name="Normal 4 6 2 2 2 3 2 5" xfId="11974" xr:uid="{F340A61F-6D63-4977-8F9C-41DD8AE52E56}"/>
    <cellStyle name="Normal 4 6 2 2 2 3 3" xfId="5597" xr:uid="{00000000-0005-0000-0000-00000D160000}"/>
    <cellStyle name="Normal 4 6 2 2 2 3 3 2" xfId="30929" xr:uid="{0E9E8FDF-EFAD-41C6-927D-3D39D841C9C7}"/>
    <cellStyle name="Normal 4 6 2 2 2 3 3 3" xfId="22488" xr:uid="{C4B917F4-A7A4-4653-882D-B13991D5A375}"/>
    <cellStyle name="Normal 4 6 2 2 2 3 3 4" xfId="14047" xr:uid="{5870208A-B81F-43C2-AEE1-76038FFCC040}"/>
    <cellStyle name="Normal 4 6 2 2 2 3 4" xfId="26711" xr:uid="{9C80A5B1-A2FE-4105-8413-E0CD65784686}"/>
    <cellStyle name="Normal 4 6 2 2 2 3 5" xfId="18270" xr:uid="{23D12B1E-2101-4D8D-BDB2-307F02C8F839}"/>
    <cellStyle name="Normal 4 6 2 2 2 3 6" xfId="9829" xr:uid="{E1A5644C-84A3-4E03-9EA5-59E14873B44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2 2 2" xfId="33487" xr:uid="{5EBE8421-2AFB-40E1-BD41-14B841388D5E}"/>
    <cellStyle name="Normal 4 6 2 2 2 4 2 2 3" xfId="25046" xr:uid="{278FB3AE-47DA-4FDC-B6D6-DBF6101212C8}"/>
    <cellStyle name="Normal 4 6 2 2 2 4 2 2 4" xfId="16605" xr:uid="{6520E8E4-3780-41CB-A5B9-5D20B340488A}"/>
    <cellStyle name="Normal 4 6 2 2 2 4 2 3" xfId="29269" xr:uid="{9A71DCD7-F10C-4A90-8C22-295AC3D7F96D}"/>
    <cellStyle name="Normal 4 6 2 2 2 4 2 4" xfId="20828" xr:uid="{B86A0BD8-884F-4425-A93B-BE22AC8CFF00}"/>
    <cellStyle name="Normal 4 6 2 2 2 4 2 5" xfId="12387" xr:uid="{E7D14BB6-2F20-411E-B22F-29C698E31EE8}"/>
    <cellStyle name="Normal 4 6 2 2 2 4 3" xfId="6010" xr:uid="{00000000-0005-0000-0000-000011160000}"/>
    <cellStyle name="Normal 4 6 2 2 2 4 3 2" xfId="31342" xr:uid="{C2D7408A-8417-4AD3-80C7-E966AA5E0FD2}"/>
    <cellStyle name="Normal 4 6 2 2 2 4 3 3" xfId="22901" xr:uid="{91035AC4-0FCE-4A73-9A9E-F936175A3826}"/>
    <cellStyle name="Normal 4 6 2 2 2 4 3 4" xfId="14460" xr:uid="{24A07D29-9F78-4775-96FC-A82F9D59F8AB}"/>
    <cellStyle name="Normal 4 6 2 2 2 4 4" xfId="27124" xr:uid="{00A75081-E6CE-4C1F-ADDC-3F4B5DCC0E68}"/>
    <cellStyle name="Normal 4 6 2 2 2 4 5" xfId="18683" xr:uid="{B6F5E8FA-850A-464C-9615-90642649D441}"/>
    <cellStyle name="Normal 4 6 2 2 2 4 6" xfId="10242" xr:uid="{7A4ADD0E-A35F-48D7-BE33-C3FF7F0278D8}"/>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2 2 2" xfId="33900" xr:uid="{8EEA7EDF-37F9-4D94-BC48-390E46955A8A}"/>
    <cellStyle name="Normal 4 6 2 2 2 5 2 2 3" xfId="25459" xr:uid="{90624093-CEF5-4E12-B4CB-8CC9151C0AC8}"/>
    <cellStyle name="Normal 4 6 2 2 2 5 2 2 4" xfId="17018" xr:uid="{CD74F131-D8FF-43A7-B509-B90125084E78}"/>
    <cellStyle name="Normal 4 6 2 2 2 5 2 3" xfId="29682" xr:uid="{C284BF25-E8CC-40EB-9982-6C35187F1B58}"/>
    <cellStyle name="Normal 4 6 2 2 2 5 2 4" xfId="21241" xr:uid="{367489DD-84EE-42E1-B1A1-1F3067E804C3}"/>
    <cellStyle name="Normal 4 6 2 2 2 5 2 5" xfId="12800" xr:uid="{11AC9643-E467-45A9-B762-6115052806AA}"/>
    <cellStyle name="Normal 4 6 2 2 2 5 3" xfId="6423" xr:uid="{00000000-0005-0000-0000-000015160000}"/>
    <cellStyle name="Normal 4 6 2 2 2 5 3 2" xfId="31755" xr:uid="{7EA3FEA2-7E55-4097-B8FE-6785EA07278D}"/>
    <cellStyle name="Normal 4 6 2 2 2 5 3 3" xfId="23314" xr:uid="{6CF94E15-FAEC-485F-9142-0EA587E03AE6}"/>
    <cellStyle name="Normal 4 6 2 2 2 5 3 4" xfId="14873" xr:uid="{133ACCA1-9617-4036-9CEE-AD7CE666922D}"/>
    <cellStyle name="Normal 4 6 2 2 2 5 4" xfId="27537" xr:uid="{FE58AD3A-4076-4FC7-9FC7-A6CD5F2A99D9}"/>
    <cellStyle name="Normal 4 6 2 2 2 5 5" xfId="19096" xr:uid="{E140FEEF-CD27-40FF-A67C-45716878D18E}"/>
    <cellStyle name="Normal 4 6 2 2 2 5 6" xfId="10655" xr:uid="{2F9543F1-166B-4DE9-85EB-8E0E02B054C2}"/>
    <cellStyle name="Normal 4 6 2 2 2 6" xfId="2553" xr:uid="{00000000-0005-0000-0000-000016160000}"/>
    <cellStyle name="Normal 4 6 2 2 2 6 2" xfId="6836" xr:uid="{00000000-0005-0000-0000-000017160000}"/>
    <cellStyle name="Normal 4 6 2 2 2 6 2 2" xfId="32168" xr:uid="{7E2BB8DC-1ABB-45A9-B62B-85A4E793F594}"/>
    <cellStyle name="Normal 4 6 2 2 2 6 2 3" xfId="23727" xr:uid="{DF294701-9CC3-42E9-9AB2-7515AA9060D1}"/>
    <cellStyle name="Normal 4 6 2 2 2 6 2 4" xfId="15286" xr:uid="{6D98818A-9593-461D-BA62-86661C6E1F2D}"/>
    <cellStyle name="Normal 4 6 2 2 2 6 3" xfId="27950" xr:uid="{3D7D7F4C-C078-430B-B879-900E50E9EFA7}"/>
    <cellStyle name="Normal 4 6 2 2 2 6 4" xfId="19509" xr:uid="{D801D882-F365-48DD-854E-DB6B1B8142BB}"/>
    <cellStyle name="Normal 4 6 2 2 2 6 5" xfId="11068" xr:uid="{5EEB13AA-A991-4A5B-AB61-315EC5B62989}"/>
    <cellStyle name="Normal 4 6 2 2 2 7" xfId="4771" xr:uid="{00000000-0005-0000-0000-000018160000}"/>
    <cellStyle name="Normal 4 6 2 2 2 7 2" xfId="30103" xr:uid="{5E154747-FB75-49D1-97EE-E17A56E7139B}"/>
    <cellStyle name="Normal 4 6 2 2 2 7 3" xfId="21662" xr:uid="{F48B1D6A-8DB1-424E-B49A-646133782ECB}"/>
    <cellStyle name="Normal 4 6 2 2 2 7 4" xfId="13221" xr:uid="{F9AF3F11-DA96-4186-BA9F-48FCC5C071AD}"/>
    <cellStyle name="Normal 4 6 2 2 2 8" xfId="25885" xr:uid="{56A5C07A-BCAA-419E-80E0-C3379890C0F6}"/>
    <cellStyle name="Normal 4 6 2 2 2 9" xfId="17444" xr:uid="{07924BA3-0961-492F-BA64-FF2CFE248ADD}"/>
    <cellStyle name="Normal 4 6 2 2 3" xfId="871" xr:uid="{00000000-0005-0000-0000-000019160000}"/>
    <cellStyle name="Normal 4 6 2 2 3 2" xfId="3106" xr:uid="{00000000-0005-0000-0000-00001A160000}"/>
    <cellStyle name="Normal 4 6 2 2 3 2 2" xfId="7328" xr:uid="{00000000-0005-0000-0000-00001B160000}"/>
    <cellStyle name="Normal 4 6 2 2 3 2 2 2" xfId="32660" xr:uid="{A65BCF51-E097-4069-AECB-3F353A53CD30}"/>
    <cellStyle name="Normal 4 6 2 2 3 2 2 3" xfId="24219" xr:uid="{D27E0E0D-C530-4730-AC0A-42295B628401}"/>
    <cellStyle name="Normal 4 6 2 2 3 2 2 4" xfId="15778" xr:uid="{872D74ED-99A1-465E-8F7C-93D3E20E957A}"/>
    <cellStyle name="Normal 4 6 2 2 3 2 3" xfId="28442" xr:uid="{FCCF8C31-EB21-47BA-8744-951E7C7A0D6A}"/>
    <cellStyle name="Normal 4 6 2 2 3 2 4" xfId="20001" xr:uid="{6B5F53D5-BBFD-4B0A-8B9D-BAF028B54E27}"/>
    <cellStyle name="Normal 4 6 2 2 3 2 5" xfId="11560" xr:uid="{F8E25F1A-DA82-4335-9F94-172821E2C596}"/>
    <cellStyle name="Normal 4 6 2 2 3 3" xfId="5183" xr:uid="{00000000-0005-0000-0000-00001C160000}"/>
    <cellStyle name="Normal 4 6 2 2 3 3 2" xfId="30515" xr:uid="{75F19210-6BFC-4329-B9B3-D13F1499B288}"/>
    <cellStyle name="Normal 4 6 2 2 3 3 3" xfId="22074" xr:uid="{836A062E-1605-468B-A20B-F89F012FDF57}"/>
    <cellStyle name="Normal 4 6 2 2 3 3 4" xfId="13633" xr:uid="{FA138247-E97E-4594-8A08-1D0FA604F803}"/>
    <cellStyle name="Normal 4 6 2 2 3 4" xfId="26297" xr:uid="{DBFA71CE-90A9-4CB6-B065-278146B14E71}"/>
    <cellStyle name="Normal 4 6 2 2 3 5" xfId="17856" xr:uid="{F31B19EA-0CC8-412E-B782-B7E32D998C0B}"/>
    <cellStyle name="Normal 4 6 2 2 3 6" xfId="9415" xr:uid="{45598526-2D18-43E9-A862-AF05780B6E24}"/>
    <cellStyle name="Normal 4 6 2 2 4" xfId="1289" xr:uid="{00000000-0005-0000-0000-00001D160000}"/>
    <cellStyle name="Normal 4 6 2 2 4 2" xfId="3519" xr:uid="{00000000-0005-0000-0000-00001E160000}"/>
    <cellStyle name="Normal 4 6 2 2 4 2 2" xfId="7741" xr:uid="{00000000-0005-0000-0000-00001F160000}"/>
    <cellStyle name="Normal 4 6 2 2 4 2 2 2" xfId="33073" xr:uid="{3ED90829-C5B9-475F-878A-48A49B348CC6}"/>
    <cellStyle name="Normal 4 6 2 2 4 2 2 3" xfId="24632" xr:uid="{7A1BA65E-C8C5-451A-8F96-76E26DCD3882}"/>
    <cellStyle name="Normal 4 6 2 2 4 2 2 4" xfId="16191" xr:uid="{F21712DF-7F47-4535-A8C6-7B8CB7D51CFF}"/>
    <cellStyle name="Normal 4 6 2 2 4 2 3" xfId="28855" xr:uid="{BD6FC0BB-D5C4-4085-8CC3-1F67F00F033D}"/>
    <cellStyle name="Normal 4 6 2 2 4 2 4" xfId="20414" xr:uid="{1FF73840-CD9E-42C0-8707-CCAEFD8BFB07}"/>
    <cellStyle name="Normal 4 6 2 2 4 2 5" xfId="11973" xr:uid="{75A1535E-974D-4C1D-BCE7-6244CF5718D9}"/>
    <cellStyle name="Normal 4 6 2 2 4 3" xfId="5596" xr:uid="{00000000-0005-0000-0000-000020160000}"/>
    <cellStyle name="Normal 4 6 2 2 4 3 2" xfId="30928" xr:uid="{00F1EACA-63DF-4CDA-B785-DAAF45327E09}"/>
    <cellStyle name="Normal 4 6 2 2 4 3 3" xfId="22487" xr:uid="{BECF166E-D912-465B-9031-2EB9370606E2}"/>
    <cellStyle name="Normal 4 6 2 2 4 3 4" xfId="14046" xr:uid="{8EBEAE03-EA01-45B7-9A33-76D890156069}"/>
    <cellStyle name="Normal 4 6 2 2 4 4" xfId="26710" xr:uid="{44DA9007-BEBF-473A-8A4D-A4AAE66B1BCF}"/>
    <cellStyle name="Normal 4 6 2 2 4 5" xfId="18269" xr:uid="{73E451F2-1352-48B1-A45F-9C243442DFE8}"/>
    <cellStyle name="Normal 4 6 2 2 4 6" xfId="9828" xr:uid="{E1F33680-5ED1-4137-A0E9-A3B7AD0838BD}"/>
    <cellStyle name="Normal 4 6 2 2 5" xfId="1702" xr:uid="{00000000-0005-0000-0000-000021160000}"/>
    <cellStyle name="Normal 4 6 2 2 5 2" xfId="3932" xr:uid="{00000000-0005-0000-0000-000022160000}"/>
    <cellStyle name="Normal 4 6 2 2 5 2 2" xfId="8154" xr:uid="{00000000-0005-0000-0000-000023160000}"/>
    <cellStyle name="Normal 4 6 2 2 5 2 2 2" xfId="33486" xr:uid="{FEB694B1-5D7D-4191-B794-CBE2A2371B3E}"/>
    <cellStyle name="Normal 4 6 2 2 5 2 2 3" xfId="25045" xr:uid="{BD82F751-E3B1-4B17-9B2D-5FE7D2E95CF8}"/>
    <cellStyle name="Normal 4 6 2 2 5 2 2 4" xfId="16604" xr:uid="{5C02E776-98BB-497A-8CCD-298CC8B67C0F}"/>
    <cellStyle name="Normal 4 6 2 2 5 2 3" xfId="29268" xr:uid="{682F9B73-E6FB-4E71-9E6F-13C37435124C}"/>
    <cellStyle name="Normal 4 6 2 2 5 2 4" xfId="20827" xr:uid="{34C2B846-D97A-4423-BBF8-F9CC730EA834}"/>
    <cellStyle name="Normal 4 6 2 2 5 2 5" xfId="12386" xr:uid="{F2E8F8F5-DDFB-4EA9-B909-F525975A6C51}"/>
    <cellStyle name="Normal 4 6 2 2 5 3" xfId="6009" xr:uid="{00000000-0005-0000-0000-000024160000}"/>
    <cellStyle name="Normal 4 6 2 2 5 3 2" xfId="31341" xr:uid="{CC080F24-47C2-47AD-8864-F6CE36BF8AB4}"/>
    <cellStyle name="Normal 4 6 2 2 5 3 3" xfId="22900" xr:uid="{936AFB93-7E3C-4C3C-A957-FB82E4658B1A}"/>
    <cellStyle name="Normal 4 6 2 2 5 3 4" xfId="14459" xr:uid="{7DB192D8-EA3F-439E-A219-0C9AC19C698A}"/>
    <cellStyle name="Normal 4 6 2 2 5 4" xfId="27123" xr:uid="{B2BBDC07-D923-42CA-8F4F-D775AFE3359B}"/>
    <cellStyle name="Normal 4 6 2 2 5 5" xfId="18682" xr:uid="{0EEFCB77-3370-4157-AC16-7767F2E0E950}"/>
    <cellStyle name="Normal 4 6 2 2 5 6" xfId="10241" xr:uid="{9E48C3FB-11E3-403A-B036-DB80E0D39501}"/>
    <cellStyle name="Normal 4 6 2 2 6" xfId="2116" xr:uid="{00000000-0005-0000-0000-000025160000}"/>
    <cellStyle name="Normal 4 6 2 2 6 2" xfId="4345" xr:uid="{00000000-0005-0000-0000-000026160000}"/>
    <cellStyle name="Normal 4 6 2 2 6 2 2" xfId="8567" xr:uid="{00000000-0005-0000-0000-000027160000}"/>
    <cellStyle name="Normal 4 6 2 2 6 2 2 2" xfId="33899" xr:uid="{72ACCA50-2A21-4EEB-AB68-7F7E56533AF0}"/>
    <cellStyle name="Normal 4 6 2 2 6 2 2 3" xfId="25458" xr:uid="{84CFB1F3-FE5E-435D-AFFC-510A1E48E5C1}"/>
    <cellStyle name="Normal 4 6 2 2 6 2 2 4" xfId="17017" xr:uid="{70BF26D6-1F53-46E6-8388-0D0074ACBD6C}"/>
    <cellStyle name="Normal 4 6 2 2 6 2 3" xfId="29681" xr:uid="{D17C3AEB-4FAC-4AF6-A023-1879D9075174}"/>
    <cellStyle name="Normal 4 6 2 2 6 2 4" xfId="21240" xr:uid="{F7F61746-94FE-4EC2-8E44-0CB8B110C693}"/>
    <cellStyle name="Normal 4 6 2 2 6 2 5" xfId="12799" xr:uid="{1F816410-4225-4F1F-86F1-79E7662587C3}"/>
    <cellStyle name="Normal 4 6 2 2 6 3" xfId="6422" xr:uid="{00000000-0005-0000-0000-000028160000}"/>
    <cellStyle name="Normal 4 6 2 2 6 3 2" xfId="31754" xr:uid="{F7547A9A-51A3-4F68-AB55-3BF9500EB823}"/>
    <cellStyle name="Normal 4 6 2 2 6 3 3" xfId="23313" xr:uid="{4E3AB99A-08D2-4C24-8238-FEE40FEF2719}"/>
    <cellStyle name="Normal 4 6 2 2 6 3 4" xfId="14872" xr:uid="{8662C765-1E33-45AF-8597-76FCC774ECB0}"/>
    <cellStyle name="Normal 4 6 2 2 6 4" xfId="27536" xr:uid="{F11741D8-3EEA-49DE-9753-2F04ACCACE30}"/>
    <cellStyle name="Normal 4 6 2 2 6 5" xfId="19095" xr:uid="{3E93A2BC-F889-4CE2-965C-CD97401763A3}"/>
    <cellStyle name="Normal 4 6 2 2 6 6" xfId="10654" xr:uid="{0B689F8C-3FAA-4634-89E9-98DE5D1C2B6A}"/>
    <cellStyle name="Normal 4 6 2 2 7" xfId="2552" xr:uid="{00000000-0005-0000-0000-000029160000}"/>
    <cellStyle name="Normal 4 6 2 2 7 2" xfId="6835" xr:uid="{00000000-0005-0000-0000-00002A160000}"/>
    <cellStyle name="Normal 4 6 2 2 7 2 2" xfId="32167" xr:uid="{4F37F9EF-FD03-410A-8088-4512C92CE95F}"/>
    <cellStyle name="Normal 4 6 2 2 7 2 3" xfId="23726" xr:uid="{862066F2-A247-47C6-9364-59D82AB9612D}"/>
    <cellStyle name="Normal 4 6 2 2 7 2 4" xfId="15285" xr:uid="{1F7C39A9-00A2-495E-80FA-D5CF792E7926}"/>
    <cellStyle name="Normal 4 6 2 2 7 3" xfId="27949" xr:uid="{83E1528B-EF58-4739-9810-37463ACE85CA}"/>
    <cellStyle name="Normal 4 6 2 2 7 4" xfId="19508" xr:uid="{C5427E11-7554-48E2-BE10-B19D1FCCF9E3}"/>
    <cellStyle name="Normal 4 6 2 2 7 5" xfId="11067" xr:uid="{A511CB9E-E6DF-4EA8-A756-EB6293F1F201}"/>
    <cellStyle name="Normal 4 6 2 2 8" xfId="4770" xr:uid="{00000000-0005-0000-0000-00002B160000}"/>
    <cellStyle name="Normal 4 6 2 2 8 2" xfId="30102" xr:uid="{A4F6DDEC-4005-4519-9DB4-75F40672AC8E}"/>
    <cellStyle name="Normal 4 6 2 2 8 3" xfId="21661" xr:uid="{CCE8A964-3DBD-4A18-B949-CC589B4116CF}"/>
    <cellStyle name="Normal 4 6 2 2 8 4" xfId="13220" xr:uid="{8667224B-BCFE-4177-B194-7B98A06F7C49}"/>
    <cellStyle name="Normal 4 6 2 2 9" xfId="25884" xr:uid="{49BCFDA9-3EC7-4552-8FFB-A4A762513A7C}"/>
    <cellStyle name="Normal 4 6 2 3" xfId="399" xr:uid="{00000000-0005-0000-0000-00002C160000}"/>
    <cellStyle name="Normal 4 6 2 3 10" xfId="9004" xr:uid="{AE47EC21-7B09-476F-89F5-039832261FBF}"/>
    <cellStyle name="Normal 4 6 2 3 2" xfId="873" xr:uid="{00000000-0005-0000-0000-00002D160000}"/>
    <cellStyle name="Normal 4 6 2 3 2 2" xfId="3108" xr:uid="{00000000-0005-0000-0000-00002E160000}"/>
    <cellStyle name="Normal 4 6 2 3 2 2 2" xfId="7330" xr:uid="{00000000-0005-0000-0000-00002F160000}"/>
    <cellStyle name="Normal 4 6 2 3 2 2 2 2" xfId="32662" xr:uid="{D92095D3-2F63-42F0-8E21-FE1FA05C4D17}"/>
    <cellStyle name="Normal 4 6 2 3 2 2 2 3" xfId="24221" xr:uid="{F1FA846B-A868-42D9-9D44-F841F4C9B677}"/>
    <cellStyle name="Normal 4 6 2 3 2 2 2 4" xfId="15780" xr:uid="{F9F64141-4C52-47EC-9722-E373A3E6EE91}"/>
    <cellStyle name="Normal 4 6 2 3 2 2 3" xfId="28444" xr:uid="{E4E94533-7603-48AD-BA36-83499148CB3B}"/>
    <cellStyle name="Normal 4 6 2 3 2 2 4" xfId="20003" xr:uid="{8D7020F1-F98E-46A4-A0C5-C5093C43A16D}"/>
    <cellStyle name="Normal 4 6 2 3 2 2 5" xfId="11562" xr:uid="{DF5CE304-D6BA-4808-BCA9-FD6E8DACB2F1}"/>
    <cellStyle name="Normal 4 6 2 3 2 3" xfId="5185" xr:uid="{00000000-0005-0000-0000-000030160000}"/>
    <cellStyle name="Normal 4 6 2 3 2 3 2" xfId="30517" xr:uid="{42B9E411-DCC5-4CC5-BE97-A08A39383F67}"/>
    <cellStyle name="Normal 4 6 2 3 2 3 3" xfId="22076" xr:uid="{F02A6B32-0B82-4178-AE09-F270D5FDBBDE}"/>
    <cellStyle name="Normal 4 6 2 3 2 3 4" xfId="13635" xr:uid="{251A3641-001E-46D2-A791-59F7A2E9D043}"/>
    <cellStyle name="Normal 4 6 2 3 2 4" xfId="26299" xr:uid="{C2202F85-5391-4628-A632-5ED0C55C8008}"/>
    <cellStyle name="Normal 4 6 2 3 2 5" xfId="17858" xr:uid="{2A6BBDB7-C264-48A7-A2A3-066167735220}"/>
    <cellStyle name="Normal 4 6 2 3 2 6" xfId="9417" xr:uid="{D35D8D65-F4A8-41E6-94E7-30779EF9B485}"/>
    <cellStyle name="Normal 4 6 2 3 3" xfId="1291" xr:uid="{00000000-0005-0000-0000-000031160000}"/>
    <cellStyle name="Normal 4 6 2 3 3 2" xfId="3521" xr:uid="{00000000-0005-0000-0000-000032160000}"/>
    <cellStyle name="Normal 4 6 2 3 3 2 2" xfId="7743" xr:uid="{00000000-0005-0000-0000-000033160000}"/>
    <cellStyle name="Normal 4 6 2 3 3 2 2 2" xfId="33075" xr:uid="{19CB1D74-848B-43BC-85EF-B9F5DCCA5223}"/>
    <cellStyle name="Normal 4 6 2 3 3 2 2 3" xfId="24634" xr:uid="{18EAA111-D506-4132-99C5-D3B871DE0950}"/>
    <cellStyle name="Normal 4 6 2 3 3 2 2 4" xfId="16193" xr:uid="{C3898D17-5114-43EA-A95C-B7DB5DB66D1B}"/>
    <cellStyle name="Normal 4 6 2 3 3 2 3" xfId="28857" xr:uid="{02D9E6BC-2397-4597-8BA1-6A964E37A6F9}"/>
    <cellStyle name="Normal 4 6 2 3 3 2 4" xfId="20416" xr:uid="{51D0C163-096D-4FC2-A041-59DC481E972D}"/>
    <cellStyle name="Normal 4 6 2 3 3 2 5" xfId="11975" xr:uid="{8EAFA456-853C-45FE-A539-6ED051FFE022}"/>
    <cellStyle name="Normal 4 6 2 3 3 3" xfId="5598" xr:uid="{00000000-0005-0000-0000-000034160000}"/>
    <cellStyle name="Normal 4 6 2 3 3 3 2" xfId="30930" xr:uid="{95083F3B-1B4D-47D5-9579-D1DE598115B6}"/>
    <cellStyle name="Normal 4 6 2 3 3 3 3" xfId="22489" xr:uid="{5A24996D-2573-40AB-AEAA-345212F8C824}"/>
    <cellStyle name="Normal 4 6 2 3 3 3 4" xfId="14048" xr:uid="{B244C2D7-E0FA-4641-B3F1-250C52BB05AD}"/>
    <cellStyle name="Normal 4 6 2 3 3 4" xfId="26712" xr:uid="{7F5F04BB-D3D5-4344-975E-2CD25C57EABA}"/>
    <cellStyle name="Normal 4 6 2 3 3 5" xfId="18271" xr:uid="{D6DF52D1-F114-4F85-82F6-01B6CE10C9BA}"/>
    <cellStyle name="Normal 4 6 2 3 3 6" xfId="9830" xr:uid="{81237C5D-9B96-4DA2-AA5A-41106BDECF65}"/>
    <cellStyle name="Normal 4 6 2 3 4" xfId="1704" xr:uid="{00000000-0005-0000-0000-000035160000}"/>
    <cellStyle name="Normal 4 6 2 3 4 2" xfId="3934" xr:uid="{00000000-0005-0000-0000-000036160000}"/>
    <cellStyle name="Normal 4 6 2 3 4 2 2" xfId="8156" xr:uid="{00000000-0005-0000-0000-000037160000}"/>
    <cellStyle name="Normal 4 6 2 3 4 2 2 2" xfId="33488" xr:uid="{2DFBB7E2-FFAD-46D1-9E67-16416BA36CB1}"/>
    <cellStyle name="Normal 4 6 2 3 4 2 2 3" xfId="25047" xr:uid="{174C10DB-26A8-40FB-A0A9-1797A7CFC863}"/>
    <cellStyle name="Normal 4 6 2 3 4 2 2 4" xfId="16606" xr:uid="{173101D7-76A3-47C8-A7B9-8784B8AD21A4}"/>
    <cellStyle name="Normal 4 6 2 3 4 2 3" xfId="29270" xr:uid="{C2A1B957-60C6-4359-848B-7FFE662DBE1C}"/>
    <cellStyle name="Normal 4 6 2 3 4 2 4" xfId="20829" xr:uid="{2D4D0DCE-C33B-45A0-BD3D-735931D5DAE8}"/>
    <cellStyle name="Normal 4 6 2 3 4 2 5" xfId="12388" xr:uid="{E93344AF-E06D-4FF8-B232-BA0B7F15D17A}"/>
    <cellStyle name="Normal 4 6 2 3 4 3" xfId="6011" xr:uid="{00000000-0005-0000-0000-000038160000}"/>
    <cellStyle name="Normal 4 6 2 3 4 3 2" xfId="31343" xr:uid="{5AC23675-9B2F-44FE-A1EB-BFD733305A4A}"/>
    <cellStyle name="Normal 4 6 2 3 4 3 3" xfId="22902" xr:uid="{B0FBDC10-C09A-4217-9C17-C2EDDFB8EC45}"/>
    <cellStyle name="Normal 4 6 2 3 4 3 4" xfId="14461" xr:uid="{F75EAE82-3AF2-42D2-A375-B219BE2CBEC8}"/>
    <cellStyle name="Normal 4 6 2 3 4 4" xfId="27125" xr:uid="{9902B901-7F70-4643-97C8-D0AC4BDCE80F}"/>
    <cellStyle name="Normal 4 6 2 3 4 5" xfId="18684" xr:uid="{7173449D-2DC2-4B16-8676-138DAA92E049}"/>
    <cellStyle name="Normal 4 6 2 3 4 6" xfId="10243" xr:uid="{FB1F5051-3C25-438D-A60A-2082E1E42446}"/>
    <cellStyle name="Normal 4 6 2 3 5" xfId="2118" xr:uid="{00000000-0005-0000-0000-000039160000}"/>
    <cellStyle name="Normal 4 6 2 3 5 2" xfId="4347" xr:uid="{00000000-0005-0000-0000-00003A160000}"/>
    <cellStyle name="Normal 4 6 2 3 5 2 2" xfId="8569" xr:uid="{00000000-0005-0000-0000-00003B160000}"/>
    <cellStyle name="Normal 4 6 2 3 5 2 2 2" xfId="33901" xr:uid="{30E8439D-E9D1-45C7-8F85-4D9A4CA3CE4A}"/>
    <cellStyle name="Normal 4 6 2 3 5 2 2 3" xfId="25460" xr:uid="{7A95EB2A-65E4-4708-BFF4-D3C11851AAB1}"/>
    <cellStyle name="Normal 4 6 2 3 5 2 2 4" xfId="17019" xr:uid="{4DD4515E-6B19-4D0D-87FD-149855AC4FFE}"/>
    <cellStyle name="Normal 4 6 2 3 5 2 3" xfId="29683" xr:uid="{6DFAC639-2F26-4505-A5E5-A41A8D999FD5}"/>
    <cellStyle name="Normal 4 6 2 3 5 2 4" xfId="21242" xr:uid="{16C7F606-5EFC-4A10-AA85-D1D3100A9E2D}"/>
    <cellStyle name="Normal 4 6 2 3 5 2 5" xfId="12801" xr:uid="{BB078C7F-D5A2-43CE-87A2-B4310A5A9053}"/>
    <cellStyle name="Normal 4 6 2 3 5 3" xfId="6424" xr:uid="{00000000-0005-0000-0000-00003C160000}"/>
    <cellStyle name="Normal 4 6 2 3 5 3 2" xfId="31756" xr:uid="{BA9F19E0-122A-4DD6-9CA6-057DD2A0CD54}"/>
    <cellStyle name="Normal 4 6 2 3 5 3 3" xfId="23315" xr:uid="{B431287A-239F-4CD6-BD15-A9DFBCE51AED}"/>
    <cellStyle name="Normal 4 6 2 3 5 3 4" xfId="14874" xr:uid="{A8DB41D5-92DA-412D-9A78-301EA757E488}"/>
    <cellStyle name="Normal 4 6 2 3 5 4" xfId="27538" xr:uid="{FD68ECF2-65BE-4A55-84D6-4739A80C00C2}"/>
    <cellStyle name="Normal 4 6 2 3 5 5" xfId="19097" xr:uid="{B0B12A6A-7BB0-4D0C-B96E-DB428DE39B74}"/>
    <cellStyle name="Normal 4 6 2 3 5 6" xfId="10656" xr:uid="{7C9621E2-5DA1-484C-9425-F75866D0CA90}"/>
    <cellStyle name="Normal 4 6 2 3 6" xfId="2554" xr:uid="{00000000-0005-0000-0000-00003D160000}"/>
    <cellStyle name="Normal 4 6 2 3 6 2" xfId="6837" xr:uid="{00000000-0005-0000-0000-00003E160000}"/>
    <cellStyle name="Normal 4 6 2 3 6 2 2" xfId="32169" xr:uid="{3EF85E64-A471-4F4C-A696-ED252AC89C6A}"/>
    <cellStyle name="Normal 4 6 2 3 6 2 3" xfId="23728" xr:uid="{70B2CBA0-3D5C-4A66-8D70-424CE0398784}"/>
    <cellStyle name="Normal 4 6 2 3 6 2 4" xfId="15287" xr:uid="{0EDEFE51-0198-49CA-B67F-973F90DFC464}"/>
    <cellStyle name="Normal 4 6 2 3 6 3" xfId="27951" xr:uid="{9EBBC850-A907-496C-BC5C-38B43793C555}"/>
    <cellStyle name="Normal 4 6 2 3 6 4" xfId="19510" xr:uid="{92198CE2-0600-461B-A491-C6A2102E32B6}"/>
    <cellStyle name="Normal 4 6 2 3 6 5" xfId="11069" xr:uid="{C6591C69-6FEB-415D-9D0E-8B58C89E80F1}"/>
    <cellStyle name="Normal 4 6 2 3 7" xfId="4772" xr:uid="{00000000-0005-0000-0000-00003F160000}"/>
    <cellStyle name="Normal 4 6 2 3 7 2" xfId="30104" xr:uid="{8D61FB3D-B4C9-483F-8AAA-926F1D2C63AF}"/>
    <cellStyle name="Normal 4 6 2 3 7 3" xfId="21663" xr:uid="{F8227D17-B415-4799-A967-390EF8F6CF06}"/>
    <cellStyle name="Normal 4 6 2 3 7 4" xfId="13222" xr:uid="{368EE5B0-6CEC-4C90-BCAD-BF847C18F1F8}"/>
    <cellStyle name="Normal 4 6 2 3 8" xfId="25886" xr:uid="{33B6C61D-F600-4665-B3B8-DDD603282A5C}"/>
    <cellStyle name="Normal 4 6 2 3 9" xfId="17445" xr:uid="{7C7211C7-6FB8-4767-88CE-DAD811589C86}"/>
    <cellStyle name="Normal 4 6 2 4" xfId="870" xr:uid="{00000000-0005-0000-0000-000040160000}"/>
    <cellStyle name="Normal 4 6 2 4 2" xfId="3105" xr:uid="{00000000-0005-0000-0000-000041160000}"/>
    <cellStyle name="Normal 4 6 2 4 2 2" xfId="7327" xr:uid="{00000000-0005-0000-0000-000042160000}"/>
    <cellStyle name="Normal 4 6 2 4 2 2 2" xfId="32659" xr:uid="{7810C569-A906-4492-973C-D5A2570DC5FE}"/>
    <cellStyle name="Normal 4 6 2 4 2 2 3" xfId="24218" xr:uid="{D1467065-8386-40D6-B22D-8972D6A89F68}"/>
    <cellStyle name="Normal 4 6 2 4 2 2 4" xfId="15777" xr:uid="{F9A48753-E254-4E2A-A886-3781A53EADD1}"/>
    <cellStyle name="Normal 4 6 2 4 2 3" xfId="28441" xr:uid="{E47A7487-BE2C-4D32-B165-1647273B75F9}"/>
    <cellStyle name="Normal 4 6 2 4 2 4" xfId="20000" xr:uid="{449F26ED-DDA5-45BF-B8FF-20A8A4D93472}"/>
    <cellStyle name="Normal 4 6 2 4 2 5" xfId="11559" xr:uid="{9DA435B7-3A00-4140-BE24-1E00F01855F9}"/>
    <cellStyle name="Normal 4 6 2 4 3" xfId="5182" xr:uid="{00000000-0005-0000-0000-000043160000}"/>
    <cellStyle name="Normal 4 6 2 4 3 2" xfId="30514" xr:uid="{783B6605-AD9F-4902-B81A-F5272AF59491}"/>
    <cellStyle name="Normal 4 6 2 4 3 3" xfId="22073" xr:uid="{74751F55-CFEB-41C4-B596-0E73169DF9FE}"/>
    <cellStyle name="Normal 4 6 2 4 3 4" xfId="13632" xr:uid="{96A11BE7-8A1D-4D14-84A3-3A9F9F1A1681}"/>
    <cellStyle name="Normal 4 6 2 4 4" xfId="26296" xr:uid="{C5E3359E-64FB-4DE7-85F5-4CABF9F4F221}"/>
    <cellStyle name="Normal 4 6 2 4 5" xfId="17855" xr:uid="{2BF23A9F-EDFD-4076-A8ED-95F4F051BC86}"/>
    <cellStyle name="Normal 4 6 2 4 6" xfId="9414" xr:uid="{0F207671-6FC7-4A1E-B09C-8EFE6171487D}"/>
    <cellStyle name="Normal 4 6 2 5" xfId="1288" xr:uid="{00000000-0005-0000-0000-000044160000}"/>
    <cellStyle name="Normal 4 6 2 5 2" xfId="3518" xr:uid="{00000000-0005-0000-0000-000045160000}"/>
    <cellStyle name="Normal 4 6 2 5 2 2" xfId="7740" xr:uid="{00000000-0005-0000-0000-000046160000}"/>
    <cellStyle name="Normal 4 6 2 5 2 2 2" xfId="33072" xr:uid="{45F28C1B-257D-4D23-ACCD-4F99B4C24A80}"/>
    <cellStyle name="Normal 4 6 2 5 2 2 3" xfId="24631" xr:uid="{A77DEE19-1DE2-4251-A8AA-09CBCE8F90E2}"/>
    <cellStyle name="Normal 4 6 2 5 2 2 4" xfId="16190" xr:uid="{DF0283DB-6DF5-4908-8EB5-2629C02F615D}"/>
    <cellStyle name="Normal 4 6 2 5 2 3" xfId="28854" xr:uid="{CC40847E-2317-417C-9789-B2AFB19D4E72}"/>
    <cellStyle name="Normal 4 6 2 5 2 4" xfId="20413" xr:uid="{E116BDD7-E6FE-4CAA-881D-808F295B3235}"/>
    <cellStyle name="Normal 4 6 2 5 2 5" xfId="11972" xr:uid="{3047006F-6589-4B13-A18E-0E45DE061E96}"/>
    <cellStyle name="Normal 4 6 2 5 3" xfId="5595" xr:uid="{00000000-0005-0000-0000-000047160000}"/>
    <cellStyle name="Normal 4 6 2 5 3 2" xfId="30927" xr:uid="{6DBDB5EE-2847-4365-AD5D-6DECAE173084}"/>
    <cellStyle name="Normal 4 6 2 5 3 3" xfId="22486" xr:uid="{1BB959DF-F793-4931-B2CE-D5CF6CB0C5A9}"/>
    <cellStyle name="Normal 4 6 2 5 3 4" xfId="14045" xr:uid="{F3DD1B6B-D86D-4873-940E-F904A460EA10}"/>
    <cellStyle name="Normal 4 6 2 5 4" xfId="26709" xr:uid="{27278D3F-2AF1-48A7-B209-248C2CF212C1}"/>
    <cellStyle name="Normal 4 6 2 5 5" xfId="18268" xr:uid="{59018547-9CD7-499E-AF10-0D0A0DDFBAA4}"/>
    <cellStyle name="Normal 4 6 2 5 6" xfId="9827" xr:uid="{68E6598B-77FD-4FEA-BBEE-1B5F55CF7108}"/>
    <cellStyle name="Normal 4 6 2 6" xfId="1701" xr:uid="{00000000-0005-0000-0000-000048160000}"/>
    <cellStyle name="Normal 4 6 2 6 2" xfId="3931" xr:uid="{00000000-0005-0000-0000-000049160000}"/>
    <cellStyle name="Normal 4 6 2 6 2 2" xfId="8153" xr:uid="{00000000-0005-0000-0000-00004A160000}"/>
    <cellStyle name="Normal 4 6 2 6 2 2 2" xfId="33485" xr:uid="{5C292122-6C78-4EA3-8656-435BBCCE9D96}"/>
    <cellStyle name="Normal 4 6 2 6 2 2 3" xfId="25044" xr:uid="{25D03641-7B61-4434-A1A1-579328A05225}"/>
    <cellStyle name="Normal 4 6 2 6 2 2 4" xfId="16603" xr:uid="{7E9AC4EE-7418-4B62-8F3B-CCD2CDB92C24}"/>
    <cellStyle name="Normal 4 6 2 6 2 3" xfId="29267" xr:uid="{3EDE5EA5-0693-4972-A2D0-9C4FF49FFF1B}"/>
    <cellStyle name="Normal 4 6 2 6 2 4" xfId="20826" xr:uid="{863B25C4-2C03-412F-A92B-055E40E88A1A}"/>
    <cellStyle name="Normal 4 6 2 6 2 5" xfId="12385" xr:uid="{B27F4838-F339-43D8-8ED2-EA9EBAB771CB}"/>
    <cellStyle name="Normal 4 6 2 6 3" xfId="6008" xr:uid="{00000000-0005-0000-0000-00004B160000}"/>
    <cellStyle name="Normal 4 6 2 6 3 2" xfId="31340" xr:uid="{E47442C9-FEE1-417C-8EE5-4130236AA9FA}"/>
    <cellStyle name="Normal 4 6 2 6 3 3" xfId="22899" xr:uid="{502A07FC-2E12-4654-8188-916DC64BD07D}"/>
    <cellStyle name="Normal 4 6 2 6 3 4" xfId="14458" xr:uid="{8865EDC4-9B0C-4EAB-AF83-426A7172D168}"/>
    <cellStyle name="Normal 4 6 2 6 4" xfId="27122" xr:uid="{EDD5D5A3-C344-4E36-A89F-CED78754D266}"/>
    <cellStyle name="Normal 4 6 2 6 5" xfId="18681" xr:uid="{195D1CE8-77E4-40BC-BD08-3AAC322E8D3F}"/>
    <cellStyle name="Normal 4 6 2 6 6" xfId="10240" xr:uid="{1D4B5C02-A932-4DB5-B08D-670C1DAC1F41}"/>
    <cellStyle name="Normal 4 6 2 7" xfId="2115" xr:uid="{00000000-0005-0000-0000-00004C160000}"/>
    <cellStyle name="Normal 4 6 2 7 2" xfId="4344" xr:uid="{00000000-0005-0000-0000-00004D160000}"/>
    <cellStyle name="Normal 4 6 2 7 2 2" xfId="8566" xr:uid="{00000000-0005-0000-0000-00004E160000}"/>
    <cellStyle name="Normal 4 6 2 7 2 2 2" xfId="33898" xr:uid="{1ED0EFBE-2061-4A21-A79E-62B1E09CC770}"/>
    <cellStyle name="Normal 4 6 2 7 2 2 3" xfId="25457" xr:uid="{F6ABEDE6-C4EA-4795-A2D5-1FF8F45A46BB}"/>
    <cellStyle name="Normal 4 6 2 7 2 2 4" xfId="17016" xr:uid="{A1D23ED9-EA45-4AF3-BC51-4AAEE14B375A}"/>
    <cellStyle name="Normal 4 6 2 7 2 3" xfId="29680" xr:uid="{F280E0FE-18DE-4D31-B34B-277A3CDFA76D}"/>
    <cellStyle name="Normal 4 6 2 7 2 4" xfId="21239" xr:uid="{404A8457-8385-4D78-A690-F9B498A8A840}"/>
    <cellStyle name="Normal 4 6 2 7 2 5" xfId="12798" xr:uid="{EF68286C-C18A-4995-832B-8355CF4CEB4C}"/>
    <cellStyle name="Normal 4 6 2 7 3" xfId="6421" xr:uid="{00000000-0005-0000-0000-00004F160000}"/>
    <cellStyle name="Normal 4 6 2 7 3 2" xfId="31753" xr:uid="{6D235BB4-20A9-46E3-BED6-E92BCA0553B9}"/>
    <cellStyle name="Normal 4 6 2 7 3 3" xfId="23312" xr:uid="{FFA3693D-D57B-4248-BB7E-BD0A1BE82584}"/>
    <cellStyle name="Normal 4 6 2 7 3 4" xfId="14871" xr:uid="{30D6A4F3-4983-43EA-9BB6-1E369DF8CBD3}"/>
    <cellStyle name="Normal 4 6 2 7 4" xfId="27535" xr:uid="{5B1C7B98-4DCF-4EA4-90EB-819345D0C87F}"/>
    <cellStyle name="Normal 4 6 2 7 5" xfId="19094" xr:uid="{779467DC-D471-419D-8B92-BF565B9DFF8F}"/>
    <cellStyle name="Normal 4 6 2 7 6" xfId="10653" xr:uid="{B9C91751-7D57-439C-B4EA-AC3954085275}"/>
    <cellStyle name="Normal 4 6 2 8" xfId="2551" xr:uid="{00000000-0005-0000-0000-000050160000}"/>
    <cellStyle name="Normal 4 6 2 8 2" xfId="6834" xr:uid="{00000000-0005-0000-0000-000051160000}"/>
    <cellStyle name="Normal 4 6 2 8 2 2" xfId="32166" xr:uid="{6D7FE66F-2BE7-4CAF-A8A2-54E133F5B951}"/>
    <cellStyle name="Normal 4 6 2 8 2 3" xfId="23725" xr:uid="{DA087193-46D9-4E45-8606-13EA1F47CE3D}"/>
    <cellStyle name="Normal 4 6 2 8 2 4" xfId="15284" xr:uid="{59014A0E-C5A6-450B-9F8A-01CD2CB71B9B}"/>
    <cellStyle name="Normal 4 6 2 8 3" xfId="27948" xr:uid="{50325489-D8D7-460C-98CE-A3DA85E32118}"/>
    <cellStyle name="Normal 4 6 2 8 4" xfId="19507" xr:uid="{3AB5D1D9-9F0F-43EE-A1F6-334C55EF8902}"/>
    <cellStyle name="Normal 4 6 2 8 5" xfId="11066" xr:uid="{FA24090D-6766-41B6-B97A-88794D0B7933}"/>
    <cellStyle name="Normal 4 6 2 9" xfId="4769" xr:uid="{00000000-0005-0000-0000-000052160000}"/>
    <cellStyle name="Normal 4 6 2 9 2" xfId="30101" xr:uid="{B8633CA7-A644-42DC-AA7D-C17D42A75023}"/>
    <cellStyle name="Normal 4 6 2 9 3" xfId="21660" xr:uid="{E3174D2F-41BE-4109-963E-F6F04AA3FF2A}"/>
    <cellStyle name="Normal 4 6 2 9 4" xfId="13219" xr:uid="{62A865B1-0BC7-48B5-BA36-C2A610B505DA}"/>
    <cellStyle name="Normal 4 6 3" xfId="400" xr:uid="{00000000-0005-0000-0000-000053160000}"/>
    <cellStyle name="Normal 4 6 3 10" xfId="17446" xr:uid="{1DAB7E94-01D2-4852-9680-FE804FF9A382}"/>
    <cellStyle name="Normal 4 6 3 11" xfId="9005" xr:uid="{B5952D62-B413-460F-BC4D-9E9E2015560B}"/>
    <cellStyle name="Normal 4 6 3 2" xfId="401" xr:uid="{00000000-0005-0000-0000-000054160000}"/>
    <cellStyle name="Normal 4 6 3 2 10" xfId="9006" xr:uid="{6BB3D013-0F2F-4476-8284-A62109D04B21}"/>
    <cellStyle name="Normal 4 6 3 2 2" xfId="875" xr:uid="{00000000-0005-0000-0000-000055160000}"/>
    <cellStyle name="Normal 4 6 3 2 2 2" xfId="3110" xr:uid="{00000000-0005-0000-0000-000056160000}"/>
    <cellStyle name="Normal 4 6 3 2 2 2 2" xfId="7332" xr:uid="{00000000-0005-0000-0000-000057160000}"/>
    <cellStyle name="Normal 4 6 3 2 2 2 2 2" xfId="32664" xr:uid="{9A8483D2-90C8-4F91-B528-F0A8C0E04768}"/>
    <cellStyle name="Normal 4 6 3 2 2 2 2 3" xfId="24223" xr:uid="{C8515289-4908-4F3D-B1DC-65AF5FDC3336}"/>
    <cellStyle name="Normal 4 6 3 2 2 2 2 4" xfId="15782" xr:uid="{0181BCC2-511D-4D7E-AA0C-6116085FAF50}"/>
    <cellStyle name="Normal 4 6 3 2 2 2 3" xfId="28446" xr:uid="{26289236-AA49-4D22-91F9-90FF2A2BD790}"/>
    <cellStyle name="Normal 4 6 3 2 2 2 4" xfId="20005" xr:uid="{F84E8442-6574-4CFC-A450-297CD71C83BB}"/>
    <cellStyle name="Normal 4 6 3 2 2 2 5" xfId="11564" xr:uid="{5078F3A5-6818-46C3-A746-282091F22D8E}"/>
    <cellStyle name="Normal 4 6 3 2 2 3" xfId="5187" xr:uid="{00000000-0005-0000-0000-000058160000}"/>
    <cellStyle name="Normal 4 6 3 2 2 3 2" xfId="30519" xr:uid="{17B5E1C8-6B7D-47ED-A8EF-2B75706D1DB0}"/>
    <cellStyle name="Normal 4 6 3 2 2 3 3" xfId="22078" xr:uid="{635A7661-8AFB-4968-B80C-05608745FEE1}"/>
    <cellStyle name="Normal 4 6 3 2 2 3 4" xfId="13637" xr:uid="{4E45E614-A873-48C0-BF24-C811759C2E0A}"/>
    <cellStyle name="Normal 4 6 3 2 2 4" xfId="26301" xr:uid="{067BA237-35DA-42E6-BD6C-33A77A289E9A}"/>
    <cellStyle name="Normal 4 6 3 2 2 5" xfId="17860" xr:uid="{B3B6BC89-1706-49C1-A81D-B3704A87FC68}"/>
    <cellStyle name="Normal 4 6 3 2 2 6" xfId="9419" xr:uid="{5646B940-2747-43BF-8AFB-1D42ADE55938}"/>
    <cellStyle name="Normal 4 6 3 2 3" xfId="1293" xr:uid="{00000000-0005-0000-0000-000059160000}"/>
    <cellStyle name="Normal 4 6 3 2 3 2" xfId="3523" xr:uid="{00000000-0005-0000-0000-00005A160000}"/>
    <cellStyle name="Normal 4 6 3 2 3 2 2" xfId="7745" xr:uid="{00000000-0005-0000-0000-00005B160000}"/>
    <cellStyle name="Normal 4 6 3 2 3 2 2 2" xfId="33077" xr:uid="{7F48D4DC-AF4E-406D-B8FA-80B2EA08E2AF}"/>
    <cellStyle name="Normal 4 6 3 2 3 2 2 3" xfId="24636" xr:uid="{8E39290B-C340-4136-9F2C-6AE4144DCDE2}"/>
    <cellStyle name="Normal 4 6 3 2 3 2 2 4" xfId="16195" xr:uid="{7FF9A40D-3915-4899-891C-37BA8D0083B1}"/>
    <cellStyle name="Normal 4 6 3 2 3 2 3" xfId="28859" xr:uid="{1D3F3AF7-4C9B-44B1-98AD-26BB05212B55}"/>
    <cellStyle name="Normal 4 6 3 2 3 2 4" xfId="20418" xr:uid="{1AB925B0-1C54-420F-84AF-072916869DD9}"/>
    <cellStyle name="Normal 4 6 3 2 3 2 5" xfId="11977" xr:uid="{B803BA2F-743B-4DD8-AAB7-BE893445A3A3}"/>
    <cellStyle name="Normal 4 6 3 2 3 3" xfId="5600" xr:uid="{00000000-0005-0000-0000-00005C160000}"/>
    <cellStyle name="Normal 4 6 3 2 3 3 2" xfId="30932" xr:uid="{665A2607-18E5-4E31-A0F2-931FA434064A}"/>
    <cellStyle name="Normal 4 6 3 2 3 3 3" xfId="22491" xr:uid="{CDE9F5AF-9C6D-49CB-B8C9-01203046A94A}"/>
    <cellStyle name="Normal 4 6 3 2 3 3 4" xfId="14050" xr:uid="{1283401C-A654-4A60-8141-ACF132654AF3}"/>
    <cellStyle name="Normal 4 6 3 2 3 4" xfId="26714" xr:uid="{938068A9-FC0A-42FA-89F5-65110F261E64}"/>
    <cellStyle name="Normal 4 6 3 2 3 5" xfId="18273" xr:uid="{4F90A57A-C322-4AC4-807A-750766FB7114}"/>
    <cellStyle name="Normal 4 6 3 2 3 6" xfId="9832" xr:uid="{BA292F8F-57F9-4B58-97C4-EFCE456E2159}"/>
    <cellStyle name="Normal 4 6 3 2 4" xfId="1706" xr:uid="{00000000-0005-0000-0000-00005D160000}"/>
    <cellStyle name="Normal 4 6 3 2 4 2" xfId="3936" xr:uid="{00000000-0005-0000-0000-00005E160000}"/>
    <cellStyle name="Normal 4 6 3 2 4 2 2" xfId="8158" xr:uid="{00000000-0005-0000-0000-00005F160000}"/>
    <cellStyle name="Normal 4 6 3 2 4 2 2 2" xfId="33490" xr:uid="{2DD873F6-B35A-4550-A628-B4D636105C18}"/>
    <cellStyle name="Normal 4 6 3 2 4 2 2 3" xfId="25049" xr:uid="{F0FB2239-2CB1-4E45-8D28-A80223CC4306}"/>
    <cellStyle name="Normal 4 6 3 2 4 2 2 4" xfId="16608" xr:uid="{8530A062-AD83-4840-8FC2-829E0BA04F70}"/>
    <cellStyle name="Normal 4 6 3 2 4 2 3" xfId="29272" xr:uid="{73FF6C63-7FBE-4060-873C-C695686079CF}"/>
    <cellStyle name="Normal 4 6 3 2 4 2 4" xfId="20831" xr:uid="{66790B63-CD05-4288-BE64-E410C33D9FE9}"/>
    <cellStyle name="Normal 4 6 3 2 4 2 5" xfId="12390" xr:uid="{F354BDE7-E6FE-446E-AC54-BFBA147DBD7C}"/>
    <cellStyle name="Normal 4 6 3 2 4 3" xfId="6013" xr:uid="{00000000-0005-0000-0000-000060160000}"/>
    <cellStyle name="Normal 4 6 3 2 4 3 2" xfId="31345" xr:uid="{4B9735E4-372E-4CC2-ACD1-89AD828B5560}"/>
    <cellStyle name="Normal 4 6 3 2 4 3 3" xfId="22904" xr:uid="{0CC76380-BAD9-4C1F-8A1A-568F7BBE8BA0}"/>
    <cellStyle name="Normal 4 6 3 2 4 3 4" xfId="14463" xr:uid="{A901193F-A0B2-4592-A8FC-C6BF9BBEF977}"/>
    <cellStyle name="Normal 4 6 3 2 4 4" xfId="27127" xr:uid="{A12BDD82-3121-4A53-B027-77EA48B61E54}"/>
    <cellStyle name="Normal 4 6 3 2 4 5" xfId="18686" xr:uid="{709F9436-631B-420E-A86D-0F17BF9C7246}"/>
    <cellStyle name="Normal 4 6 3 2 4 6" xfId="10245" xr:uid="{0C2AA492-1C00-43DE-8835-AC96AD22913E}"/>
    <cellStyle name="Normal 4 6 3 2 5" xfId="2120" xr:uid="{00000000-0005-0000-0000-000061160000}"/>
    <cellStyle name="Normal 4 6 3 2 5 2" xfId="4349" xr:uid="{00000000-0005-0000-0000-000062160000}"/>
    <cellStyle name="Normal 4 6 3 2 5 2 2" xfId="8571" xr:uid="{00000000-0005-0000-0000-000063160000}"/>
    <cellStyle name="Normal 4 6 3 2 5 2 2 2" xfId="33903" xr:uid="{971A2738-1B03-4525-A176-90BE01AB540B}"/>
    <cellStyle name="Normal 4 6 3 2 5 2 2 3" xfId="25462" xr:uid="{1071D58A-48C3-452E-9B68-703D77354B98}"/>
    <cellStyle name="Normal 4 6 3 2 5 2 2 4" xfId="17021" xr:uid="{D3DA5BFD-57D1-48D0-8FE0-7C17B83C7991}"/>
    <cellStyle name="Normal 4 6 3 2 5 2 3" xfId="29685" xr:uid="{7CC4C4F5-D709-4F69-B608-0436C0DFE9C0}"/>
    <cellStyle name="Normal 4 6 3 2 5 2 4" xfId="21244" xr:uid="{F5B0372D-C3ED-4793-9858-AD85DB1E823D}"/>
    <cellStyle name="Normal 4 6 3 2 5 2 5" xfId="12803" xr:uid="{6A2773A3-2B18-49E8-B528-E8E1FCE3A386}"/>
    <cellStyle name="Normal 4 6 3 2 5 3" xfId="6426" xr:uid="{00000000-0005-0000-0000-000064160000}"/>
    <cellStyle name="Normal 4 6 3 2 5 3 2" xfId="31758" xr:uid="{7D97BBEB-D07C-43C2-808C-3B4D9C9CC042}"/>
    <cellStyle name="Normal 4 6 3 2 5 3 3" xfId="23317" xr:uid="{E55EF4B7-1CAB-4BEA-824A-CB337114F9B0}"/>
    <cellStyle name="Normal 4 6 3 2 5 3 4" xfId="14876" xr:uid="{C976CB00-E6D1-4E38-BFAE-7D0DCDE895A8}"/>
    <cellStyle name="Normal 4 6 3 2 5 4" xfId="27540" xr:uid="{3FEE85C9-1082-4A86-A599-7F7AE6F1F2D2}"/>
    <cellStyle name="Normal 4 6 3 2 5 5" xfId="19099" xr:uid="{2D9E2249-DF2A-4FC7-8CAB-76F0758A21AA}"/>
    <cellStyle name="Normal 4 6 3 2 5 6" xfId="10658" xr:uid="{A1E6FA51-79C8-425C-9EB1-35245275C993}"/>
    <cellStyle name="Normal 4 6 3 2 6" xfId="2556" xr:uid="{00000000-0005-0000-0000-000065160000}"/>
    <cellStyle name="Normal 4 6 3 2 6 2" xfId="6839" xr:uid="{00000000-0005-0000-0000-000066160000}"/>
    <cellStyle name="Normal 4 6 3 2 6 2 2" xfId="32171" xr:uid="{F7535F3F-F873-4372-B43E-6B77DFD64569}"/>
    <cellStyle name="Normal 4 6 3 2 6 2 3" xfId="23730" xr:uid="{6DA82F12-2C67-40C2-B6C7-623E05247988}"/>
    <cellStyle name="Normal 4 6 3 2 6 2 4" xfId="15289" xr:uid="{302DE9F8-7CE6-4A90-9845-C04290F00943}"/>
    <cellStyle name="Normal 4 6 3 2 6 3" xfId="27953" xr:uid="{74470132-ED58-4064-B053-0529102A7459}"/>
    <cellStyle name="Normal 4 6 3 2 6 4" xfId="19512" xr:uid="{E1FCFE43-9D72-4C60-B597-ED6A474726E2}"/>
    <cellStyle name="Normal 4 6 3 2 6 5" xfId="11071" xr:uid="{ACCF9468-DDB6-4C72-9B0F-45356AFD24C2}"/>
    <cellStyle name="Normal 4 6 3 2 7" xfId="4774" xr:uid="{00000000-0005-0000-0000-000067160000}"/>
    <cellStyle name="Normal 4 6 3 2 7 2" xfId="30106" xr:uid="{3FD8A816-53BA-4B15-854C-33B2CB1429C0}"/>
    <cellStyle name="Normal 4 6 3 2 7 3" xfId="21665" xr:uid="{6B6649C1-2E9B-4EFB-8C70-CFA9802CDA7C}"/>
    <cellStyle name="Normal 4 6 3 2 7 4" xfId="13224" xr:uid="{2A5E098F-C6AC-4446-ACC6-F5538E05D571}"/>
    <cellStyle name="Normal 4 6 3 2 8" xfId="25888" xr:uid="{730237E7-E04D-455A-B78F-917148DBF760}"/>
    <cellStyle name="Normal 4 6 3 2 9" xfId="17447" xr:uid="{6A1363EF-66D1-4BD9-9A1B-C11012B95584}"/>
    <cellStyle name="Normal 4 6 3 3" xfId="874" xr:uid="{00000000-0005-0000-0000-000068160000}"/>
    <cellStyle name="Normal 4 6 3 3 2" xfId="3109" xr:uid="{00000000-0005-0000-0000-000069160000}"/>
    <cellStyle name="Normal 4 6 3 3 2 2" xfId="7331" xr:uid="{00000000-0005-0000-0000-00006A160000}"/>
    <cellStyle name="Normal 4 6 3 3 2 2 2" xfId="32663" xr:uid="{0B8A7193-C9A8-4A9C-85C0-CCE98DBEBE02}"/>
    <cellStyle name="Normal 4 6 3 3 2 2 3" xfId="24222" xr:uid="{77FA77F4-90BA-401F-B29E-640238B23D1B}"/>
    <cellStyle name="Normal 4 6 3 3 2 2 4" xfId="15781" xr:uid="{53469A48-F28F-4A45-B58B-19B50254631B}"/>
    <cellStyle name="Normal 4 6 3 3 2 3" xfId="28445" xr:uid="{8832D25D-2987-471E-B7A5-E541F4A4E0E7}"/>
    <cellStyle name="Normal 4 6 3 3 2 4" xfId="20004" xr:uid="{A0B32E72-E7A8-40BD-8BE5-5A2D515666F6}"/>
    <cellStyle name="Normal 4 6 3 3 2 5" xfId="11563" xr:uid="{1076832F-81C2-48EA-B79A-992CA63F1D33}"/>
    <cellStyle name="Normal 4 6 3 3 3" xfId="5186" xr:uid="{00000000-0005-0000-0000-00006B160000}"/>
    <cellStyle name="Normal 4 6 3 3 3 2" xfId="30518" xr:uid="{F276A642-8223-4AAA-8596-F0B81DEF59DB}"/>
    <cellStyle name="Normal 4 6 3 3 3 3" xfId="22077" xr:uid="{7441DF83-FF30-4E13-9808-A18C7BEB5231}"/>
    <cellStyle name="Normal 4 6 3 3 3 4" xfId="13636" xr:uid="{18383BAD-B41B-4A2E-8FB2-1F47ABADC769}"/>
    <cellStyle name="Normal 4 6 3 3 4" xfId="26300" xr:uid="{409855C5-1684-4FE6-93A0-0E5CE10ED9C5}"/>
    <cellStyle name="Normal 4 6 3 3 5" xfId="17859" xr:uid="{891CFB0E-3564-4073-B315-7B49ED705AC5}"/>
    <cellStyle name="Normal 4 6 3 3 6" xfId="9418" xr:uid="{B58935BB-6324-44B9-9789-FD9FF03793AF}"/>
    <cellStyle name="Normal 4 6 3 4" xfId="1292" xr:uid="{00000000-0005-0000-0000-00006C160000}"/>
    <cellStyle name="Normal 4 6 3 4 2" xfId="3522" xr:uid="{00000000-0005-0000-0000-00006D160000}"/>
    <cellStyle name="Normal 4 6 3 4 2 2" xfId="7744" xr:uid="{00000000-0005-0000-0000-00006E160000}"/>
    <cellStyle name="Normal 4 6 3 4 2 2 2" xfId="33076" xr:uid="{344E1DA9-A40C-4D9A-A39A-B42599896D57}"/>
    <cellStyle name="Normal 4 6 3 4 2 2 3" xfId="24635" xr:uid="{0F57F1FB-E2A5-4F38-BB2A-B9CAD86A1A4E}"/>
    <cellStyle name="Normal 4 6 3 4 2 2 4" xfId="16194" xr:uid="{7C31CD68-3E5F-4CB7-BEC6-D5819B93459E}"/>
    <cellStyle name="Normal 4 6 3 4 2 3" xfId="28858" xr:uid="{2791E8C8-607C-46D0-8105-91FA5EB22B29}"/>
    <cellStyle name="Normal 4 6 3 4 2 4" xfId="20417" xr:uid="{13E2A3E3-4632-46CD-94AE-8EA007D29BDA}"/>
    <cellStyle name="Normal 4 6 3 4 2 5" xfId="11976" xr:uid="{6CDA0445-6E8C-4952-9149-DDE657FC23CE}"/>
    <cellStyle name="Normal 4 6 3 4 3" xfId="5599" xr:uid="{00000000-0005-0000-0000-00006F160000}"/>
    <cellStyle name="Normal 4 6 3 4 3 2" xfId="30931" xr:uid="{5CD67980-86E0-4C9C-8434-9C759677A245}"/>
    <cellStyle name="Normal 4 6 3 4 3 3" xfId="22490" xr:uid="{1C7FC868-CABD-4D34-90F3-281C06BF7144}"/>
    <cellStyle name="Normal 4 6 3 4 3 4" xfId="14049" xr:uid="{9D5F8DEC-D1D8-4E16-818A-80BDF0BCC3F0}"/>
    <cellStyle name="Normal 4 6 3 4 4" xfId="26713" xr:uid="{3FE00340-81DD-4582-B5F9-814F30DC31B8}"/>
    <cellStyle name="Normal 4 6 3 4 5" xfId="18272" xr:uid="{511DFC54-9AD3-4957-9302-9B9BD36E4786}"/>
    <cellStyle name="Normal 4 6 3 4 6" xfId="9831" xr:uid="{950118DC-A42D-4B86-94B9-75C0EEC57CF9}"/>
    <cellStyle name="Normal 4 6 3 5" xfId="1705" xr:uid="{00000000-0005-0000-0000-000070160000}"/>
    <cellStyle name="Normal 4 6 3 5 2" xfId="3935" xr:uid="{00000000-0005-0000-0000-000071160000}"/>
    <cellStyle name="Normal 4 6 3 5 2 2" xfId="8157" xr:uid="{00000000-0005-0000-0000-000072160000}"/>
    <cellStyle name="Normal 4 6 3 5 2 2 2" xfId="33489" xr:uid="{43FA5A6C-E280-4176-9ED3-3DC89D8BB8EC}"/>
    <cellStyle name="Normal 4 6 3 5 2 2 3" xfId="25048" xr:uid="{C0C8214D-F3B9-4518-B84E-36108CC5D841}"/>
    <cellStyle name="Normal 4 6 3 5 2 2 4" xfId="16607" xr:uid="{0F99EC40-F1C1-4FF6-BCD6-CDABFA506478}"/>
    <cellStyle name="Normal 4 6 3 5 2 3" xfId="29271" xr:uid="{FA8E2835-2F6C-45A7-9EB9-844EF06AC554}"/>
    <cellStyle name="Normal 4 6 3 5 2 4" xfId="20830" xr:uid="{4BD14F77-2A18-4FE8-AC80-AA22D605C4FA}"/>
    <cellStyle name="Normal 4 6 3 5 2 5" xfId="12389" xr:uid="{76EC5632-1D30-4DB3-9146-EB5E660C89CF}"/>
    <cellStyle name="Normal 4 6 3 5 3" xfId="6012" xr:uid="{00000000-0005-0000-0000-000073160000}"/>
    <cellStyle name="Normal 4 6 3 5 3 2" xfId="31344" xr:uid="{7D26195C-B5AC-495F-8317-1A8C68AC3C54}"/>
    <cellStyle name="Normal 4 6 3 5 3 3" xfId="22903" xr:uid="{4B92B506-F5E5-4E9B-A9A3-582DE1897D04}"/>
    <cellStyle name="Normal 4 6 3 5 3 4" xfId="14462" xr:uid="{B0DECD85-F615-4F77-B480-FB23CAF55691}"/>
    <cellStyle name="Normal 4 6 3 5 4" xfId="27126" xr:uid="{E91C101E-4CE6-4971-9244-D2BDDF0E3D50}"/>
    <cellStyle name="Normal 4 6 3 5 5" xfId="18685" xr:uid="{00EC6087-4B60-441E-9185-5AA3B13764C9}"/>
    <cellStyle name="Normal 4 6 3 5 6" xfId="10244" xr:uid="{74B1813D-0F61-4501-96CB-66BF8E6E86B5}"/>
    <cellStyle name="Normal 4 6 3 6" xfId="2119" xr:uid="{00000000-0005-0000-0000-000074160000}"/>
    <cellStyle name="Normal 4 6 3 6 2" xfId="4348" xr:uid="{00000000-0005-0000-0000-000075160000}"/>
    <cellStyle name="Normal 4 6 3 6 2 2" xfId="8570" xr:uid="{00000000-0005-0000-0000-000076160000}"/>
    <cellStyle name="Normal 4 6 3 6 2 2 2" xfId="33902" xr:uid="{23A85FAE-A060-47A6-99BC-06065E926A41}"/>
    <cellStyle name="Normal 4 6 3 6 2 2 3" xfId="25461" xr:uid="{2DB368E6-DB79-489F-8B3E-3F1F75043B26}"/>
    <cellStyle name="Normal 4 6 3 6 2 2 4" xfId="17020" xr:uid="{F3A1C563-1828-4CEC-B149-233A64CF7619}"/>
    <cellStyle name="Normal 4 6 3 6 2 3" xfId="29684" xr:uid="{922AD2CF-3839-43F2-9F89-A10E54FAF338}"/>
    <cellStyle name="Normal 4 6 3 6 2 4" xfId="21243" xr:uid="{4557D18F-0881-4466-9434-67C383790F34}"/>
    <cellStyle name="Normal 4 6 3 6 2 5" xfId="12802" xr:uid="{B877B40C-3D98-4A68-9DAC-34075F874678}"/>
    <cellStyle name="Normal 4 6 3 6 3" xfId="6425" xr:uid="{00000000-0005-0000-0000-000077160000}"/>
    <cellStyle name="Normal 4 6 3 6 3 2" xfId="31757" xr:uid="{C37CA05D-376D-40D5-98AB-447DAF39034E}"/>
    <cellStyle name="Normal 4 6 3 6 3 3" xfId="23316" xr:uid="{85BBB7E3-79F3-4F42-A367-32E2FBAA8242}"/>
    <cellStyle name="Normal 4 6 3 6 3 4" xfId="14875" xr:uid="{EB905349-9A8D-40C0-A65A-9EC3C2E89791}"/>
    <cellStyle name="Normal 4 6 3 6 4" xfId="27539" xr:uid="{C9978EAD-896C-480F-B6EF-0CEE60D4FB22}"/>
    <cellStyle name="Normal 4 6 3 6 5" xfId="19098" xr:uid="{68A04A34-4504-4DE2-BF99-1203A8F77AC9}"/>
    <cellStyle name="Normal 4 6 3 6 6" xfId="10657" xr:uid="{53DED2CF-2E83-4D77-B979-F546B39474A2}"/>
    <cellStyle name="Normal 4 6 3 7" xfId="2555" xr:uid="{00000000-0005-0000-0000-000078160000}"/>
    <cellStyle name="Normal 4 6 3 7 2" xfId="6838" xr:uid="{00000000-0005-0000-0000-000079160000}"/>
    <cellStyle name="Normal 4 6 3 7 2 2" xfId="32170" xr:uid="{DECB11F1-A5DB-4397-8194-214375BB73B1}"/>
    <cellStyle name="Normal 4 6 3 7 2 3" xfId="23729" xr:uid="{05FB7302-A323-459A-9261-2A66911CAA5F}"/>
    <cellStyle name="Normal 4 6 3 7 2 4" xfId="15288" xr:uid="{FE14395F-35AB-474E-A59E-21903813E700}"/>
    <cellStyle name="Normal 4 6 3 7 3" xfId="27952" xr:uid="{77C0AFF4-CDDC-43DC-B3AE-772F50ECC08E}"/>
    <cellStyle name="Normal 4 6 3 7 4" xfId="19511" xr:uid="{D5B1C479-7E55-43A0-B91E-E7717934EE60}"/>
    <cellStyle name="Normal 4 6 3 7 5" xfId="11070" xr:uid="{683A8A94-F088-4992-BE24-33C46899D56C}"/>
    <cellStyle name="Normal 4 6 3 8" xfId="4773" xr:uid="{00000000-0005-0000-0000-00007A160000}"/>
    <cellStyle name="Normal 4 6 3 8 2" xfId="30105" xr:uid="{46BB189D-6007-40D2-A407-57EB633A84B4}"/>
    <cellStyle name="Normal 4 6 3 8 3" xfId="21664" xr:uid="{D49909A1-F240-4C29-8269-7CEC90914822}"/>
    <cellStyle name="Normal 4 6 3 8 4" xfId="13223" xr:uid="{9DB123E1-AD0D-41CB-8C4C-29EFCF648C65}"/>
    <cellStyle name="Normal 4 6 3 9" xfId="25887" xr:uid="{1824EBC7-5B54-46B4-A4E5-4E67DED611CF}"/>
    <cellStyle name="Normal 4 6 4" xfId="402" xr:uid="{00000000-0005-0000-0000-00007B160000}"/>
    <cellStyle name="Normal 4 6 4 10" xfId="9007" xr:uid="{9ECA8A47-1DCB-4A94-8559-45890540AB03}"/>
    <cellStyle name="Normal 4 6 4 2" xfId="876" xr:uid="{00000000-0005-0000-0000-00007C160000}"/>
    <cellStyle name="Normal 4 6 4 2 2" xfId="3111" xr:uid="{00000000-0005-0000-0000-00007D160000}"/>
    <cellStyle name="Normal 4 6 4 2 2 2" xfId="7333" xr:uid="{00000000-0005-0000-0000-00007E160000}"/>
    <cellStyle name="Normal 4 6 4 2 2 2 2" xfId="32665" xr:uid="{D6506499-D992-4573-B53F-7C30B410CDE3}"/>
    <cellStyle name="Normal 4 6 4 2 2 2 3" xfId="24224" xr:uid="{CB13180E-25B3-42A3-9395-B80C17490964}"/>
    <cellStyle name="Normal 4 6 4 2 2 2 4" xfId="15783" xr:uid="{172D10C6-93EA-4ED1-B9C5-27C06D2B6AA5}"/>
    <cellStyle name="Normal 4 6 4 2 2 3" xfId="28447" xr:uid="{DE71DE24-0DA1-4D52-9A80-13761B2E1845}"/>
    <cellStyle name="Normal 4 6 4 2 2 4" xfId="20006" xr:uid="{8450A756-F31B-4EDD-9ACF-4FD2CA42E499}"/>
    <cellStyle name="Normal 4 6 4 2 2 5" xfId="11565" xr:uid="{CBFD6B84-0124-4178-B4BA-C929BDE891DD}"/>
    <cellStyle name="Normal 4 6 4 2 3" xfId="5188" xr:uid="{00000000-0005-0000-0000-00007F160000}"/>
    <cellStyle name="Normal 4 6 4 2 3 2" xfId="30520" xr:uid="{F4F9F1DD-CFAD-4447-97E2-AFBDD57DEE06}"/>
    <cellStyle name="Normal 4 6 4 2 3 3" xfId="22079" xr:uid="{203B182D-A9EA-4904-945A-E215EFA20FC3}"/>
    <cellStyle name="Normal 4 6 4 2 3 4" xfId="13638" xr:uid="{E241D45F-3B97-43DE-BD4B-6521209C4DD7}"/>
    <cellStyle name="Normal 4 6 4 2 4" xfId="26302" xr:uid="{0402CF64-FAA2-426B-BF5D-304900421411}"/>
    <cellStyle name="Normal 4 6 4 2 5" xfId="17861" xr:uid="{89694700-A804-4594-BA46-B16E2E17D24F}"/>
    <cellStyle name="Normal 4 6 4 2 6" xfId="9420" xr:uid="{39872A62-E1EB-429C-8910-254B586E3D85}"/>
    <cellStyle name="Normal 4 6 4 3" xfId="1294" xr:uid="{00000000-0005-0000-0000-000080160000}"/>
    <cellStyle name="Normal 4 6 4 3 2" xfId="3524" xr:uid="{00000000-0005-0000-0000-000081160000}"/>
    <cellStyle name="Normal 4 6 4 3 2 2" xfId="7746" xr:uid="{00000000-0005-0000-0000-000082160000}"/>
    <cellStyle name="Normal 4 6 4 3 2 2 2" xfId="33078" xr:uid="{3DA041F3-A6DB-4701-9E0D-57A38885AEE8}"/>
    <cellStyle name="Normal 4 6 4 3 2 2 3" xfId="24637" xr:uid="{528EEFB2-05CF-4081-B138-B5618219AD4A}"/>
    <cellStyle name="Normal 4 6 4 3 2 2 4" xfId="16196" xr:uid="{6B8E72DB-C3DB-4A72-A9E8-44B0717376C3}"/>
    <cellStyle name="Normal 4 6 4 3 2 3" xfId="28860" xr:uid="{8240F04E-94F3-4871-8C9A-619D9FF6CBC1}"/>
    <cellStyle name="Normal 4 6 4 3 2 4" xfId="20419" xr:uid="{2D627315-6CA6-4134-B659-696422574485}"/>
    <cellStyle name="Normal 4 6 4 3 2 5" xfId="11978" xr:uid="{7C730074-187F-467F-BA61-FA8B81404EA0}"/>
    <cellStyle name="Normal 4 6 4 3 3" xfId="5601" xr:uid="{00000000-0005-0000-0000-000083160000}"/>
    <cellStyle name="Normal 4 6 4 3 3 2" xfId="30933" xr:uid="{382988F1-7F15-428E-9AF8-1E4A0961DD7D}"/>
    <cellStyle name="Normal 4 6 4 3 3 3" xfId="22492" xr:uid="{2E07F706-5FF8-4B10-A5A1-12267579C864}"/>
    <cellStyle name="Normal 4 6 4 3 3 4" xfId="14051" xr:uid="{4A00A6C3-6ED5-4BBD-A5CE-58779BC8C24D}"/>
    <cellStyle name="Normal 4 6 4 3 4" xfId="26715" xr:uid="{0538B285-27EF-44B3-A5A2-655850A25E91}"/>
    <cellStyle name="Normal 4 6 4 3 5" xfId="18274" xr:uid="{D80B0267-052C-4B38-B914-0CA724E9CEBF}"/>
    <cellStyle name="Normal 4 6 4 3 6" xfId="9833" xr:uid="{6A400110-786E-4375-97C4-8516632D19C4}"/>
    <cellStyle name="Normal 4 6 4 4" xfId="1707" xr:uid="{00000000-0005-0000-0000-000084160000}"/>
    <cellStyle name="Normal 4 6 4 4 2" xfId="3937" xr:uid="{00000000-0005-0000-0000-000085160000}"/>
    <cellStyle name="Normal 4 6 4 4 2 2" xfId="8159" xr:uid="{00000000-0005-0000-0000-000086160000}"/>
    <cellStyle name="Normal 4 6 4 4 2 2 2" xfId="33491" xr:uid="{C5B47BC3-3C3C-48D3-A506-4B3B9F066361}"/>
    <cellStyle name="Normal 4 6 4 4 2 2 3" xfId="25050" xr:uid="{220FA4DC-F6ED-428B-A8E6-AEFCDDB9B419}"/>
    <cellStyle name="Normal 4 6 4 4 2 2 4" xfId="16609" xr:uid="{B42BE2AE-D28F-45AE-A9B3-484A5631D68F}"/>
    <cellStyle name="Normal 4 6 4 4 2 3" xfId="29273" xr:uid="{2CCDE289-E728-45D1-A55F-EBBC139C627A}"/>
    <cellStyle name="Normal 4 6 4 4 2 4" xfId="20832" xr:uid="{61D330D0-DC3A-45AA-8CF7-97C423FDBDF5}"/>
    <cellStyle name="Normal 4 6 4 4 2 5" xfId="12391" xr:uid="{E67B0F75-3281-47B0-AFA2-1019AC9041C0}"/>
    <cellStyle name="Normal 4 6 4 4 3" xfId="6014" xr:uid="{00000000-0005-0000-0000-000087160000}"/>
    <cellStyle name="Normal 4 6 4 4 3 2" xfId="31346" xr:uid="{6BEBFD56-29F3-443C-8C89-4786F83CEA2A}"/>
    <cellStyle name="Normal 4 6 4 4 3 3" xfId="22905" xr:uid="{440668D7-2351-41AA-B395-95C420AB803C}"/>
    <cellStyle name="Normal 4 6 4 4 3 4" xfId="14464" xr:uid="{5556440B-6E90-4E3E-B34C-C4EDD3D9DE83}"/>
    <cellStyle name="Normal 4 6 4 4 4" xfId="27128" xr:uid="{EB0AF424-E647-4D8D-8705-59B1FF53CF1F}"/>
    <cellStyle name="Normal 4 6 4 4 5" xfId="18687" xr:uid="{971A9030-8493-4F14-8C84-741A0AAAC53E}"/>
    <cellStyle name="Normal 4 6 4 4 6" xfId="10246" xr:uid="{88DFA77F-0D5F-4FE2-8FDE-AF17CF074253}"/>
    <cellStyle name="Normal 4 6 4 5" xfId="2121" xr:uid="{00000000-0005-0000-0000-000088160000}"/>
    <cellStyle name="Normal 4 6 4 5 2" xfId="4350" xr:uid="{00000000-0005-0000-0000-000089160000}"/>
    <cellStyle name="Normal 4 6 4 5 2 2" xfId="8572" xr:uid="{00000000-0005-0000-0000-00008A160000}"/>
    <cellStyle name="Normal 4 6 4 5 2 2 2" xfId="33904" xr:uid="{BE15B71A-B168-4A34-99B3-6A9698BA0B72}"/>
    <cellStyle name="Normal 4 6 4 5 2 2 3" xfId="25463" xr:uid="{EFB32656-3B4B-46F5-A723-CDFD96A8838C}"/>
    <cellStyle name="Normal 4 6 4 5 2 2 4" xfId="17022" xr:uid="{E01E451E-0169-46BB-90AF-607A53521EB7}"/>
    <cellStyle name="Normal 4 6 4 5 2 3" xfId="29686" xr:uid="{031661D2-0490-443A-8208-48D28DC18F8C}"/>
    <cellStyle name="Normal 4 6 4 5 2 4" xfId="21245" xr:uid="{4194DB3C-1DDB-442B-9699-DC8521586A9B}"/>
    <cellStyle name="Normal 4 6 4 5 2 5" xfId="12804" xr:uid="{2582B690-E84E-44F7-8C68-D6A1EAF23269}"/>
    <cellStyle name="Normal 4 6 4 5 3" xfId="6427" xr:uid="{00000000-0005-0000-0000-00008B160000}"/>
    <cellStyle name="Normal 4 6 4 5 3 2" xfId="31759" xr:uid="{D4C550B9-1AC0-4065-9298-ED6E2BDD4AEE}"/>
    <cellStyle name="Normal 4 6 4 5 3 3" xfId="23318" xr:uid="{1075BE33-0CA6-47FA-9D81-2DC7E6D369A2}"/>
    <cellStyle name="Normal 4 6 4 5 3 4" xfId="14877" xr:uid="{43886AE3-8D5D-40C6-BDEC-D1AF4FB1731A}"/>
    <cellStyle name="Normal 4 6 4 5 4" xfId="27541" xr:uid="{1C5DCB18-B21A-4715-B7C6-4795AA508ED0}"/>
    <cellStyle name="Normal 4 6 4 5 5" xfId="19100" xr:uid="{C1A764AA-6917-43C0-9426-E6D4487ACCD8}"/>
    <cellStyle name="Normal 4 6 4 5 6" xfId="10659" xr:uid="{DF10AFF1-64C9-4046-931F-77A6388AB0B3}"/>
    <cellStyle name="Normal 4 6 4 6" xfId="2557" xr:uid="{00000000-0005-0000-0000-00008C160000}"/>
    <cellStyle name="Normal 4 6 4 6 2" xfId="6840" xr:uid="{00000000-0005-0000-0000-00008D160000}"/>
    <cellStyle name="Normal 4 6 4 6 2 2" xfId="32172" xr:uid="{EDE9699F-E210-451D-A24D-4E3E17ED3D42}"/>
    <cellStyle name="Normal 4 6 4 6 2 3" xfId="23731" xr:uid="{0BCC49CC-02D5-41B4-8BEC-8A49E7808D73}"/>
    <cellStyle name="Normal 4 6 4 6 2 4" xfId="15290" xr:uid="{E7412FB9-1755-48E6-AAFF-D01A051E1AC3}"/>
    <cellStyle name="Normal 4 6 4 6 3" xfId="27954" xr:uid="{362EFB2B-36FE-4CB8-8E8C-F8F94C050C16}"/>
    <cellStyle name="Normal 4 6 4 6 4" xfId="19513" xr:uid="{31B05D62-1C38-4F44-8D9E-5F59DF76876B}"/>
    <cellStyle name="Normal 4 6 4 6 5" xfId="11072" xr:uid="{59849A53-858F-489D-B648-B353309F214C}"/>
    <cellStyle name="Normal 4 6 4 7" xfId="4775" xr:uid="{00000000-0005-0000-0000-00008E160000}"/>
    <cellStyle name="Normal 4 6 4 7 2" xfId="30107" xr:uid="{BEDC82EA-D323-4426-9EF7-63010B86472A}"/>
    <cellStyle name="Normal 4 6 4 7 3" xfId="21666" xr:uid="{AE3ABEC6-4DDA-4977-8307-1640A6655217}"/>
    <cellStyle name="Normal 4 6 4 7 4" xfId="13225" xr:uid="{9614B9AB-AAEE-4A14-9833-AB2A2BBDA008}"/>
    <cellStyle name="Normal 4 6 4 8" xfId="25889" xr:uid="{DEAA3FD0-60B8-40CB-B9B9-33CFDEBF7856}"/>
    <cellStyle name="Normal 4 6 4 9" xfId="17448" xr:uid="{8DDFFE3F-D961-4BF2-92F1-D94B80705CC1}"/>
    <cellStyle name="Normal 4 6 5" xfId="869" xr:uid="{00000000-0005-0000-0000-00008F160000}"/>
    <cellStyle name="Normal 4 6 5 2" xfId="3104" xr:uid="{00000000-0005-0000-0000-000090160000}"/>
    <cellStyle name="Normal 4 6 5 2 2" xfId="7326" xr:uid="{00000000-0005-0000-0000-000091160000}"/>
    <cellStyle name="Normal 4 6 5 2 2 2" xfId="32658" xr:uid="{E02619DB-5A1E-4083-BD39-FF8F488C4331}"/>
    <cellStyle name="Normal 4 6 5 2 2 3" xfId="24217" xr:uid="{D26ACFE5-E760-4CD2-AAB6-22327B7B0A3C}"/>
    <cellStyle name="Normal 4 6 5 2 2 4" xfId="15776" xr:uid="{2A6B76EF-83AA-4870-979C-372144FBEA95}"/>
    <cellStyle name="Normal 4 6 5 2 3" xfId="28440" xr:uid="{E0FE5727-425D-4DBB-A338-91BC15372246}"/>
    <cellStyle name="Normal 4 6 5 2 4" xfId="19999" xr:uid="{6692ECCD-B876-4CF5-9332-E3AE3AB7042F}"/>
    <cellStyle name="Normal 4 6 5 2 5" xfId="11558" xr:uid="{E9185008-F3AD-41CE-88B6-136BCB43F0F5}"/>
    <cellStyle name="Normal 4 6 5 3" xfId="5181" xr:uid="{00000000-0005-0000-0000-000092160000}"/>
    <cellStyle name="Normal 4 6 5 3 2" xfId="30513" xr:uid="{7448B7C9-3309-4A1C-86D7-99C8A2421C36}"/>
    <cellStyle name="Normal 4 6 5 3 3" xfId="22072" xr:uid="{62C897E7-35AE-4A81-A58C-4B231E57305F}"/>
    <cellStyle name="Normal 4 6 5 3 4" xfId="13631" xr:uid="{B851AF30-A29B-4200-A584-A9513AEA0FF8}"/>
    <cellStyle name="Normal 4 6 5 4" xfId="26295" xr:uid="{8B5F171B-5D5B-4CC8-A495-367DAE49F537}"/>
    <cellStyle name="Normal 4 6 5 5" xfId="17854" xr:uid="{B00ECCE8-97CE-4C61-8DAF-B3BC92CB739F}"/>
    <cellStyle name="Normal 4 6 5 6" xfId="9413" xr:uid="{44D3FD3D-23F4-4E10-BD05-BD2C16E845A6}"/>
    <cellStyle name="Normal 4 6 6" xfId="1287" xr:uid="{00000000-0005-0000-0000-000093160000}"/>
    <cellStyle name="Normal 4 6 6 2" xfId="3517" xr:uid="{00000000-0005-0000-0000-000094160000}"/>
    <cellStyle name="Normal 4 6 6 2 2" xfId="7739" xr:uid="{00000000-0005-0000-0000-000095160000}"/>
    <cellStyle name="Normal 4 6 6 2 2 2" xfId="33071" xr:uid="{7F5A6A2E-B75F-4CF7-B808-F1EDADE6FA47}"/>
    <cellStyle name="Normal 4 6 6 2 2 3" xfId="24630" xr:uid="{0EF04572-822C-4421-972D-112873C59764}"/>
    <cellStyle name="Normal 4 6 6 2 2 4" xfId="16189" xr:uid="{3BBCEF0F-6C68-4162-A273-2B6BE50BA072}"/>
    <cellStyle name="Normal 4 6 6 2 3" xfId="28853" xr:uid="{78FE5270-B9A4-4DEA-94D4-CEB42EB1D79E}"/>
    <cellStyle name="Normal 4 6 6 2 4" xfId="20412" xr:uid="{98087713-A583-4C6E-A4AB-DC8A35A619E5}"/>
    <cellStyle name="Normal 4 6 6 2 5" xfId="11971" xr:uid="{4402A88F-3C3C-4CC6-AD54-B208F5D85064}"/>
    <cellStyle name="Normal 4 6 6 3" xfId="5594" xr:uid="{00000000-0005-0000-0000-000096160000}"/>
    <cellStyle name="Normal 4 6 6 3 2" xfId="30926" xr:uid="{511ECB7A-5607-43DB-A2DE-EA18B2CACF54}"/>
    <cellStyle name="Normal 4 6 6 3 3" xfId="22485" xr:uid="{6BFB7041-F8C7-4888-B24E-DE809D29E01F}"/>
    <cellStyle name="Normal 4 6 6 3 4" xfId="14044" xr:uid="{6F91F0B0-4FCA-4EC3-AAFD-3B0B3D28BD17}"/>
    <cellStyle name="Normal 4 6 6 4" xfId="26708" xr:uid="{AAD63103-7E54-44DC-9534-701CBA922A29}"/>
    <cellStyle name="Normal 4 6 6 5" xfId="18267" xr:uid="{4B9C3A20-7186-4365-B81E-1E2A78EC6B01}"/>
    <cellStyle name="Normal 4 6 6 6" xfId="9826" xr:uid="{8D9A0CA7-3C1D-4AC3-9B28-F027ADB60A7E}"/>
    <cellStyle name="Normal 4 6 7" xfId="1700" xr:uid="{00000000-0005-0000-0000-000097160000}"/>
    <cellStyle name="Normal 4 6 7 2" xfId="3930" xr:uid="{00000000-0005-0000-0000-000098160000}"/>
    <cellStyle name="Normal 4 6 7 2 2" xfId="8152" xr:uid="{00000000-0005-0000-0000-000099160000}"/>
    <cellStyle name="Normal 4 6 7 2 2 2" xfId="33484" xr:uid="{0436D7B6-8C39-4A73-A7F4-98DD5E36E508}"/>
    <cellStyle name="Normal 4 6 7 2 2 3" xfId="25043" xr:uid="{3D40D5C7-8768-4837-96D6-0BF1B5D5E3F3}"/>
    <cellStyle name="Normal 4 6 7 2 2 4" xfId="16602" xr:uid="{2DA39725-E840-4B66-A1D2-971AB9893AA4}"/>
    <cellStyle name="Normal 4 6 7 2 3" xfId="29266" xr:uid="{F5AA50E7-9BC5-47AF-A7BA-30DFC5ACFE09}"/>
    <cellStyle name="Normal 4 6 7 2 4" xfId="20825" xr:uid="{72E27430-C5FD-482A-922E-29D635BA3EEA}"/>
    <cellStyle name="Normal 4 6 7 2 5" xfId="12384" xr:uid="{34DDFBD4-667E-4175-B47A-88CCFC31D54E}"/>
    <cellStyle name="Normal 4 6 7 3" xfId="6007" xr:uid="{00000000-0005-0000-0000-00009A160000}"/>
    <cellStyle name="Normal 4 6 7 3 2" xfId="31339" xr:uid="{6908A63B-98DF-462C-91AE-4CEB169CA5D2}"/>
    <cellStyle name="Normal 4 6 7 3 3" xfId="22898" xr:uid="{7D7142F4-BB5B-446E-A21A-369985B72B3D}"/>
    <cellStyle name="Normal 4 6 7 3 4" xfId="14457" xr:uid="{EDE7CFAB-0F90-42A4-8B0C-C5A896CC5A33}"/>
    <cellStyle name="Normal 4 6 7 4" xfId="27121" xr:uid="{64921687-8700-4451-8DF7-298AE493016B}"/>
    <cellStyle name="Normal 4 6 7 5" xfId="18680" xr:uid="{9324DEA1-095B-4ABF-AB1B-2D67ED6685DB}"/>
    <cellStyle name="Normal 4 6 7 6" xfId="10239" xr:uid="{57BC6EE6-BA08-4E03-9552-4C3FE16499E6}"/>
    <cellStyle name="Normal 4 6 8" xfId="2114" xr:uid="{00000000-0005-0000-0000-00009B160000}"/>
    <cellStyle name="Normal 4 6 8 2" xfId="4343" xr:uid="{00000000-0005-0000-0000-00009C160000}"/>
    <cellStyle name="Normal 4 6 8 2 2" xfId="8565" xr:uid="{00000000-0005-0000-0000-00009D160000}"/>
    <cellStyle name="Normal 4 6 8 2 2 2" xfId="33897" xr:uid="{D453464C-6854-4B15-8309-0664CC89832A}"/>
    <cellStyle name="Normal 4 6 8 2 2 3" xfId="25456" xr:uid="{FFAD1E93-722D-4199-B26F-4196F62448E2}"/>
    <cellStyle name="Normal 4 6 8 2 2 4" xfId="17015" xr:uid="{AE0D5FAD-4A56-43EC-BE66-358F6FE03D10}"/>
    <cellStyle name="Normal 4 6 8 2 3" xfId="29679" xr:uid="{369A6479-D1FA-4279-B514-68188E506B12}"/>
    <cellStyle name="Normal 4 6 8 2 4" xfId="21238" xr:uid="{FEDF0D1A-8815-487B-B2D6-4241EF8F6584}"/>
    <cellStyle name="Normal 4 6 8 2 5" xfId="12797" xr:uid="{928F2DA0-1657-4260-A92E-5A50BDA015F3}"/>
    <cellStyle name="Normal 4 6 8 3" xfId="6420" xr:uid="{00000000-0005-0000-0000-00009E160000}"/>
    <cellStyle name="Normal 4 6 8 3 2" xfId="31752" xr:uid="{BCBFF7EE-2677-4D03-A639-632639CB67F7}"/>
    <cellStyle name="Normal 4 6 8 3 3" xfId="23311" xr:uid="{5B17618D-435D-4E9B-9845-51CAD36C9A05}"/>
    <cellStyle name="Normal 4 6 8 3 4" xfId="14870" xr:uid="{11245662-5442-47F2-A71D-A80CC22FEB2F}"/>
    <cellStyle name="Normal 4 6 8 4" xfId="27534" xr:uid="{BAFA61FC-E121-4156-89C5-B431E6B0DC02}"/>
    <cellStyle name="Normal 4 6 8 5" xfId="19093" xr:uid="{BF47F6AA-AE43-45C5-8028-E76FD627976D}"/>
    <cellStyle name="Normal 4 6 8 6" xfId="10652" xr:uid="{8C41579A-39E5-4371-BBED-C679ED0B4CE4}"/>
    <cellStyle name="Normal 4 6 9" xfId="2550" xr:uid="{00000000-0005-0000-0000-00009F160000}"/>
    <cellStyle name="Normal 4 6 9 2" xfId="6833" xr:uid="{00000000-0005-0000-0000-0000A0160000}"/>
    <cellStyle name="Normal 4 6 9 2 2" xfId="32165" xr:uid="{52034EBB-A0CD-4052-9192-E34D9EAB6189}"/>
    <cellStyle name="Normal 4 6 9 2 3" xfId="23724" xr:uid="{5DA0D95D-314C-4D70-88A2-1D705C584964}"/>
    <cellStyle name="Normal 4 6 9 2 4" xfId="15283" xr:uid="{EC86BBC5-2B93-42B7-B29F-D2E7E84EAF4A}"/>
    <cellStyle name="Normal 4 6 9 3" xfId="27947" xr:uid="{1CA2964C-5A39-4871-A908-A352B12701B0}"/>
    <cellStyle name="Normal 4 6 9 4" xfId="19506" xr:uid="{07D4D5EF-03C1-4A2E-8ABF-B69ED6644E1C}"/>
    <cellStyle name="Normal 4 6 9 5" xfId="11065" xr:uid="{918C6730-6FC0-4FE7-8B13-F1A77C0F2753}"/>
    <cellStyle name="Normal 4 7" xfId="403" xr:uid="{00000000-0005-0000-0000-0000A1160000}"/>
    <cellStyle name="Normal 4 7 10" xfId="17449" xr:uid="{38EA532C-5F9B-424F-9B1A-EFDA84E3945C}"/>
    <cellStyle name="Normal 4 7 11" xfId="9008" xr:uid="{89B2DAC1-BA32-4DE4-883C-8FCA03030954}"/>
    <cellStyle name="Normal 4 7 2" xfId="404" xr:uid="{00000000-0005-0000-0000-0000A2160000}"/>
    <cellStyle name="Normal 4 7 2 10" xfId="9009" xr:uid="{268BB434-46DB-4A0B-AE79-53DC2034C10C}"/>
    <cellStyle name="Normal 4 7 2 2" xfId="878" xr:uid="{00000000-0005-0000-0000-0000A3160000}"/>
    <cellStyle name="Normal 4 7 2 2 2" xfId="3113" xr:uid="{00000000-0005-0000-0000-0000A4160000}"/>
    <cellStyle name="Normal 4 7 2 2 2 2" xfId="7335" xr:uid="{00000000-0005-0000-0000-0000A5160000}"/>
    <cellStyle name="Normal 4 7 2 2 2 2 2" xfId="32667" xr:uid="{5532729A-8C5B-4914-BBFE-5BC6F6825D2E}"/>
    <cellStyle name="Normal 4 7 2 2 2 2 3" xfId="24226" xr:uid="{D0799EAB-BAB1-4B51-B979-9B1221B51705}"/>
    <cellStyle name="Normal 4 7 2 2 2 2 4" xfId="15785" xr:uid="{29EB5AED-5C03-443F-BD2F-9530D0AE4CE5}"/>
    <cellStyle name="Normal 4 7 2 2 2 3" xfId="28449" xr:uid="{4D206C06-E160-4120-8067-FCB50A00AFDA}"/>
    <cellStyle name="Normal 4 7 2 2 2 4" xfId="20008" xr:uid="{266C567E-9379-4769-A1E3-6967B0ECBEF8}"/>
    <cellStyle name="Normal 4 7 2 2 2 5" xfId="11567" xr:uid="{C281A221-D4EF-450A-884B-B8A6B7A265FF}"/>
    <cellStyle name="Normal 4 7 2 2 3" xfId="5190" xr:uid="{00000000-0005-0000-0000-0000A6160000}"/>
    <cellStyle name="Normal 4 7 2 2 3 2" xfId="30522" xr:uid="{4502596F-253F-4362-A991-714CA067EB67}"/>
    <cellStyle name="Normal 4 7 2 2 3 3" xfId="22081" xr:uid="{1D093679-C48C-475D-82E7-470088277008}"/>
    <cellStyle name="Normal 4 7 2 2 3 4" xfId="13640" xr:uid="{639D9F1D-B7BC-48EB-AE58-D6C57A602A40}"/>
    <cellStyle name="Normal 4 7 2 2 4" xfId="26304" xr:uid="{FBE1FA5F-11FB-4964-89B0-AA1E6577BCAE}"/>
    <cellStyle name="Normal 4 7 2 2 5" xfId="17863" xr:uid="{0E6B717A-0310-4220-A8A5-394831FAE2C0}"/>
    <cellStyle name="Normal 4 7 2 2 6" xfId="9422" xr:uid="{1592CD1F-B775-4AFE-826F-C6A955D6317F}"/>
    <cellStyle name="Normal 4 7 2 3" xfId="1296" xr:uid="{00000000-0005-0000-0000-0000A7160000}"/>
    <cellStyle name="Normal 4 7 2 3 2" xfId="3526" xr:uid="{00000000-0005-0000-0000-0000A8160000}"/>
    <cellStyle name="Normal 4 7 2 3 2 2" xfId="7748" xr:uid="{00000000-0005-0000-0000-0000A9160000}"/>
    <cellStyle name="Normal 4 7 2 3 2 2 2" xfId="33080" xr:uid="{14EB77B3-4BB4-4988-9297-CBC9AE368BDE}"/>
    <cellStyle name="Normal 4 7 2 3 2 2 3" xfId="24639" xr:uid="{D2731C3E-12A6-4990-B24E-26D8DB9316CE}"/>
    <cellStyle name="Normal 4 7 2 3 2 2 4" xfId="16198" xr:uid="{F3608E4C-EE42-4CA0-B67A-9788F3F448CB}"/>
    <cellStyle name="Normal 4 7 2 3 2 3" xfId="28862" xr:uid="{FC4B6138-C573-4FE1-8096-ABE62EDE0EA9}"/>
    <cellStyle name="Normal 4 7 2 3 2 4" xfId="20421" xr:uid="{E663DDE2-4C0E-4B2F-8F13-BA79AE771C67}"/>
    <cellStyle name="Normal 4 7 2 3 2 5" xfId="11980" xr:uid="{5F3AA607-280B-447D-A31B-266A04F72506}"/>
    <cellStyle name="Normal 4 7 2 3 3" xfId="5603" xr:uid="{00000000-0005-0000-0000-0000AA160000}"/>
    <cellStyle name="Normal 4 7 2 3 3 2" xfId="30935" xr:uid="{E4D411FE-361C-4CEA-ADDE-A70B4AB8BC0A}"/>
    <cellStyle name="Normal 4 7 2 3 3 3" xfId="22494" xr:uid="{E750C0B5-C118-4B47-B7C3-D243196C0FA9}"/>
    <cellStyle name="Normal 4 7 2 3 3 4" xfId="14053" xr:uid="{14DDEBFA-75F1-428C-8CB4-3FA1BA85A4B2}"/>
    <cellStyle name="Normal 4 7 2 3 4" xfId="26717" xr:uid="{434BAFC6-0A66-46F1-863D-9328859C8ED9}"/>
    <cellStyle name="Normal 4 7 2 3 5" xfId="18276" xr:uid="{0E2F7134-1F4F-4444-85ED-E5D91BA185DD}"/>
    <cellStyle name="Normal 4 7 2 3 6" xfId="9835" xr:uid="{3FE81049-1A91-4460-86F1-0391281E2AFB}"/>
    <cellStyle name="Normal 4 7 2 4" xfId="1709" xr:uid="{00000000-0005-0000-0000-0000AB160000}"/>
    <cellStyle name="Normal 4 7 2 4 2" xfId="3939" xr:uid="{00000000-0005-0000-0000-0000AC160000}"/>
    <cellStyle name="Normal 4 7 2 4 2 2" xfId="8161" xr:uid="{00000000-0005-0000-0000-0000AD160000}"/>
    <cellStyle name="Normal 4 7 2 4 2 2 2" xfId="33493" xr:uid="{58DF40BD-6427-49C2-9CA4-091F6A34C0E3}"/>
    <cellStyle name="Normal 4 7 2 4 2 2 3" xfId="25052" xr:uid="{6D6B7EFA-4680-4975-BB50-2FAF71514ABA}"/>
    <cellStyle name="Normal 4 7 2 4 2 2 4" xfId="16611" xr:uid="{92DB614F-5ECE-4979-B1B9-F2A25E2CAD0E}"/>
    <cellStyle name="Normal 4 7 2 4 2 3" xfId="29275" xr:uid="{C264892E-E042-44B5-9FC6-BF9E7B95825C}"/>
    <cellStyle name="Normal 4 7 2 4 2 4" xfId="20834" xr:uid="{D780A31F-59A8-499A-B0B7-E27A8B4ADE90}"/>
    <cellStyle name="Normal 4 7 2 4 2 5" xfId="12393" xr:uid="{AF986053-8FC8-4044-97B5-612A2C9ED967}"/>
    <cellStyle name="Normal 4 7 2 4 3" xfId="6016" xr:uid="{00000000-0005-0000-0000-0000AE160000}"/>
    <cellStyle name="Normal 4 7 2 4 3 2" xfId="31348" xr:uid="{5225412E-925D-4CD5-BF1D-2E316A9160C3}"/>
    <cellStyle name="Normal 4 7 2 4 3 3" xfId="22907" xr:uid="{B248DF40-38CE-4CFB-8153-BA8A718B9A22}"/>
    <cellStyle name="Normal 4 7 2 4 3 4" xfId="14466" xr:uid="{2538292C-DFDA-4B8D-8A3B-F6104F7EDE8E}"/>
    <cellStyle name="Normal 4 7 2 4 4" xfId="27130" xr:uid="{14931255-45BC-4991-8614-F0CD0CD49D91}"/>
    <cellStyle name="Normal 4 7 2 4 5" xfId="18689" xr:uid="{DB6865AD-22AD-4789-A426-BFAA70F0C230}"/>
    <cellStyle name="Normal 4 7 2 4 6" xfId="10248" xr:uid="{77765FF0-6508-4BBA-894E-03FA7F52861B}"/>
    <cellStyle name="Normal 4 7 2 5" xfId="2123" xr:uid="{00000000-0005-0000-0000-0000AF160000}"/>
    <cellStyle name="Normal 4 7 2 5 2" xfId="4352" xr:uid="{00000000-0005-0000-0000-0000B0160000}"/>
    <cellStyle name="Normal 4 7 2 5 2 2" xfId="8574" xr:uid="{00000000-0005-0000-0000-0000B1160000}"/>
    <cellStyle name="Normal 4 7 2 5 2 2 2" xfId="33906" xr:uid="{95398E9E-A9E3-4DFD-9E8B-D686FA97A391}"/>
    <cellStyle name="Normal 4 7 2 5 2 2 3" xfId="25465" xr:uid="{C26199DF-CB16-4782-84B0-8D2444386F1E}"/>
    <cellStyle name="Normal 4 7 2 5 2 2 4" xfId="17024" xr:uid="{55AFA8B1-9E74-493D-921C-68389FE22329}"/>
    <cellStyle name="Normal 4 7 2 5 2 3" xfId="29688" xr:uid="{D9B71DB6-6E44-44EC-A25D-CC167686E622}"/>
    <cellStyle name="Normal 4 7 2 5 2 4" xfId="21247" xr:uid="{A342AF67-A067-4243-A974-86C6B5833301}"/>
    <cellStyle name="Normal 4 7 2 5 2 5" xfId="12806" xr:uid="{4F75949A-EBEC-40EC-B972-C56ECFD247FC}"/>
    <cellStyle name="Normal 4 7 2 5 3" xfId="6429" xr:uid="{00000000-0005-0000-0000-0000B2160000}"/>
    <cellStyle name="Normal 4 7 2 5 3 2" xfId="31761" xr:uid="{E484F5C2-E0B7-4258-B5DE-A644A609EF57}"/>
    <cellStyle name="Normal 4 7 2 5 3 3" xfId="23320" xr:uid="{F648245B-13E2-4019-8669-536C1ECDE81F}"/>
    <cellStyle name="Normal 4 7 2 5 3 4" xfId="14879" xr:uid="{BD063E76-58C3-4B34-A3C8-1222F01FDA9F}"/>
    <cellStyle name="Normal 4 7 2 5 4" xfId="27543" xr:uid="{C199ED35-83FA-495E-95A8-18A18555D7C8}"/>
    <cellStyle name="Normal 4 7 2 5 5" xfId="19102" xr:uid="{80D067BF-FEFB-408B-A44E-7C1341820A8E}"/>
    <cellStyle name="Normal 4 7 2 5 6" xfId="10661" xr:uid="{A73BBD80-0135-4E4D-A0A1-8A43756A10DB}"/>
    <cellStyle name="Normal 4 7 2 6" xfId="2559" xr:uid="{00000000-0005-0000-0000-0000B3160000}"/>
    <cellStyle name="Normal 4 7 2 6 2" xfId="6842" xr:uid="{00000000-0005-0000-0000-0000B4160000}"/>
    <cellStyle name="Normal 4 7 2 6 2 2" xfId="32174" xr:uid="{86108900-D18F-4B14-AEEA-698059DC91DA}"/>
    <cellStyle name="Normal 4 7 2 6 2 3" xfId="23733" xr:uid="{099B8448-8745-45D4-B67E-E0D5A0DC938F}"/>
    <cellStyle name="Normal 4 7 2 6 2 4" xfId="15292" xr:uid="{9A0BDAC0-243D-4064-8B52-6A0F44F4D8FC}"/>
    <cellStyle name="Normal 4 7 2 6 3" xfId="27956" xr:uid="{4614402B-D82F-4E66-ADEE-F418BF177CBB}"/>
    <cellStyle name="Normal 4 7 2 6 4" xfId="19515" xr:uid="{9FE8F161-CE3C-4432-B9AE-FD050CF42A6D}"/>
    <cellStyle name="Normal 4 7 2 6 5" xfId="11074" xr:uid="{432010EE-8BB3-46C9-9EDB-1B864AD7B286}"/>
    <cellStyle name="Normal 4 7 2 7" xfId="4777" xr:uid="{00000000-0005-0000-0000-0000B5160000}"/>
    <cellStyle name="Normal 4 7 2 7 2" xfId="30109" xr:uid="{DFE2E392-C372-447F-B64C-E0527C0EE8FA}"/>
    <cellStyle name="Normal 4 7 2 7 3" xfId="21668" xr:uid="{99B4E5F3-A9D2-4663-8934-BCF4D635A790}"/>
    <cellStyle name="Normal 4 7 2 7 4" xfId="13227" xr:uid="{14782768-50C0-4B03-AFAA-7A0DE4DD5DF0}"/>
    <cellStyle name="Normal 4 7 2 8" xfId="25891" xr:uid="{B7D6D236-3599-49F7-9E88-13E36A0822CE}"/>
    <cellStyle name="Normal 4 7 2 9" xfId="17450" xr:uid="{FADD7373-A453-4BA4-988D-AB52E48F2293}"/>
    <cellStyle name="Normal 4 7 3" xfId="877" xr:uid="{00000000-0005-0000-0000-0000B6160000}"/>
    <cellStyle name="Normal 4 7 3 2" xfId="3112" xr:uid="{00000000-0005-0000-0000-0000B7160000}"/>
    <cellStyle name="Normal 4 7 3 2 2" xfId="7334" xr:uid="{00000000-0005-0000-0000-0000B8160000}"/>
    <cellStyle name="Normal 4 7 3 2 2 2" xfId="32666" xr:uid="{012977A1-9E49-4590-BA68-06A34A50B94C}"/>
    <cellStyle name="Normal 4 7 3 2 2 3" xfId="24225" xr:uid="{F966FD6F-1C86-4CFA-9CF6-16402E845A69}"/>
    <cellStyle name="Normal 4 7 3 2 2 4" xfId="15784" xr:uid="{655715D3-C7FB-4A4C-9EE3-B50E54A5E39A}"/>
    <cellStyle name="Normal 4 7 3 2 3" xfId="28448" xr:uid="{F56E0DC2-1C5A-4EF4-83F9-2113305E0091}"/>
    <cellStyle name="Normal 4 7 3 2 4" xfId="20007" xr:uid="{13496405-A757-4F2A-B1E2-0933C94D9D5C}"/>
    <cellStyle name="Normal 4 7 3 2 5" xfId="11566" xr:uid="{DD8FDE24-280A-4FE7-BECA-F363F33F5796}"/>
    <cellStyle name="Normal 4 7 3 3" xfId="5189" xr:uid="{00000000-0005-0000-0000-0000B9160000}"/>
    <cellStyle name="Normal 4 7 3 3 2" xfId="30521" xr:uid="{E9563FF8-054D-4DD3-B01F-BCAD5FC05A39}"/>
    <cellStyle name="Normal 4 7 3 3 3" xfId="22080" xr:uid="{2447562A-DA23-440E-AB4B-CB1CB3DC22DB}"/>
    <cellStyle name="Normal 4 7 3 3 4" xfId="13639" xr:uid="{D94806F5-0E63-4EE8-ABD6-897FDB0D5D0D}"/>
    <cellStyle name="Normal 4 7 3 4" xfId="26303" xr:uid="{C623C46F-36D0-47E5-8B05-EF7040CBBE43}"/>
    <cellStyle name="Normal 4 7 3 5" xfId="17862" xr:uid="{C7262888-4230-4A0B-AF9D-C3F29B6166D4}"/>
    <cellStyle name="Normal 4 7 3 6" xfId="9421" xr:uid="{EF08C287-C79E-44F0-8239-766224AD9CD0}"/>
    <cellStyle name="Normal 4 7 4" xfId="1295" xr:uid="{00000000-0005-0000-0000-0000BA160000}"/>
    <cellStyle name="Normal 4 7 4 2" xfId="3525" xr:uid="{00000000-0005-0000-0000-0000BB160000}"/>
    <cellStyle name="Normal 4 7 4 2 2" xfId="7747" xr:uid="{00000000-0005-0000-0000-0000BC160000}"/>
    <cellStyle name="Normal 4 7 4 2 2 2" xfId="33079" xr:uid="{A3646A88-58DC-41CD-B100-3ED2E419B880}"/>
    <cellStyle name="Normal 4 7 4 2 2 3" xfId="24638" xr:uid="{AB7B5D91-DDDF-4ECE-B2D6-16D34B2C2C05}"/>
    <cellStyle name="Normal 4 7 4 2 2 4" xfId="16197" xr:uid="{BDE9FAAF-CAF9-456E-A79E-A20A5221387F}"/>
    <cellStyle name="Normal 4 7 4 2 3" xfId="28861" xr:uid="{0F1A820F-3B00-4C61-A380-A576B19F9E80}"/>
    <cellStyle name="Normal 4 7 4 2 4" xfId="20420" xr:uid="{D34E8FB3-0BEE-40F2-9F57-B781F0AE9E4A}"/>
    <cellStyle name="Normal 4 7 4 2 5" xfId="11979" xr:uid="{17859F79-1C48-4481-B5B9-4568E586D5C7}"/>
    <cellStyle name="Normal 4 7 4 3" xfId="5602" xr:uid="{00000000-0005-0000-0000-0000BD160000}"/>
    <cellStyle name="Normal 4 7 4 3 2" xfId="30934" xr:uid="{37F8226D-3D9E-4842-99D8-8113BCE19B0E}"/>
    <cellStyle name="Normal 4 7 4 3 3" xfId="22493" xr:uid="{AA8ABF02-D344-4C7F-9ADA-FF44A95B26B8}"/>
    <cellStyle name="Normal 4 7 4 3 4" xfId="14052" xr:uid="{F6CCDED0-281A-4EB0-8A2B-AC8830CD390B}"/>
    <cellStyle name="Normal 4 7 4 4" xfId="26716" xr:uid="{E2472B61-1D54-41CC-BA46-795C1B14A873}"/>
    <cellStyle name="Normal 4 7 4 5" xfId="18275" xr:uid="{2BD4908B-4149-4A35-BEB3-DCD514F8C3D5}"/>
    <cellStyle name="Normal 4 7 4 6" xfId="9834" xr:uid="{2335EB61-BE1A-45F0-B2CF-C2C99FE45904}"/>
    <cellStyle name="Normal 4 7 5" xfId="1708" xr:uid="{00000000-0005-0000-0000-0000BE160000}"/>
    <cellStyle name="Normal 4 7 5 2" xfId="3938" xr:uid="{00000000-0005-0000-0000-0000BF160000}"/>
    <cellStyle name="Normal 4 7 5 2 2" xfId="8160" xr:uid="{00000000-0005-0000-0000-0000C0160000}"/>
    <cellStyle name="Normal 4 7 5 2 2 2" xfId="33492" xr:uid="{10572DE8-3521-4E05-A570-E01CE3A0EE3C}"/>
    <cellStyle name="Normal 4 7 5 2 2 3" xfId="25051" xr:uid="{F3C3B58A-02BC-4E1E-926F-2A3B257E61C2}"/>
    <cellStyle name="Normal 4 7 5 2 2 4" xfId="16610" xr:uid="{859ED860-A5FD-4B6D-B33E-5E85323A50FE}"/>
    <cellStyle name="Normal 4 7 5 2 3" xfId="29274" xr:uid="{F4D1605B-D44B-4E64-B7B3-4CD60FC91824}"/>
    <cellStyle name="Normal 4 7 5 2 4" xfId="20833" xr:uid="{B605EC6D-00F2-4B8E-89EA-18E0E862678F}"/>
    <cellStyle name="Normal 4 7 5 2 5" xfId="12392" xr:uid="{C9F7550E-B6A1-4367-B798-FB2F6FEDF439}"/>
    <cellStyle name="Normal 4 7 5 3" xfId="6015" xr:uid="{00000000-0005-0000-0000-0000C1160000}"/>
    <cellStyle name="Normal 4 7 5 3 2" xfId="31347" xr:uid="{3D096541-0262-49EF-A631-CCE86E310252}"/>
    <cellStyle name="Normal 4 7 5 3 3" xfId="22906" xr:uid="{A2CA3B1C-BECF-4025-B04E-E0A11078FF35}"/>
    <cellStyle name="Normal 4 7 5 3 4" xfId="14465" xr:uid="{83B8FC61-BB8E-468C-A36C-4B660D8B7A60}"/>
    <cellStyle name="Normal 4 7 5 4" xfId="27129" xr:uid="{DB4F76E4-7230-4F3A-B0F3-38189EAEAA16}"/>
    <cellStyle name="Normal 4 7 5 5" xfId="18688" xr:uid="{657D051E-1707-4425-902A-2503A6426EAE}"/>
    <cellStyle name="Normal 4 7 5 6" xfId="10247" xr:uid="{619F95B3-50C3-436F-A25C-42320EDFB049}"/>
    <cellStyle name="Normal 4 7 6" xfId="2122" xr:uid="{00000000-0005-0000-0000-0000C2160000}"/>
    <cellStyle name="Normal 4 7 6 2" xfId="4351" xr:uid="{00000000-0005-0000-0000-0000C3160000}"/>
    <cellStyle name="Normal 4 7 6 2 2" xfId="8573" xr:uid="{00000000-0005-0000-0000-0000C4160000}"/>
    <cellStyle name="Normal 4 7 6 2 2 2" xfId="33905" xr:uid="{D57D06B9-7009-4E7D-8481-E00A4EBF9148}"/>
    <cellStyle name="Normal 4 7 6 2 2 3" xfId="25464" xr:uid="{BF2D8A16-A1BE-4F84-995A-7A1EF9BCBDDE}"/>
    <cellStyle name="Normal 4 7 6 2 2 4" xfId="17023" xr:uid="{81BFB094-A910-458A-B1C2-EF7AE484E74D}"/>
    <cellStyle name="Normal 4 7 6 2 3" xfId="29687" xr:uid="{5D7CBC93-123A-402B-BDD4-F089758B23DA}"/>
    <cellStyle name="Normal 4 7 6 2 4" xfId="21246" xr:uid="{C991B869-6AA4-43CE-8272-038465ACD128}"/>
    <cellStyle name="Normal 4 7 6 2 5" xfId="12805" xr:uid="{BBCE8283-D987-4053-A6CF-CD751C110E4A}"/>
    <cellStyle name="Normal 4 7 6 3" xfId="6428" xr:uid="{00000000-0005-0000-0000-0000C5160000}"/>
    <cellStyle name="Normal 4 7 6 3 2" xfId="31760" xr:uid="{0C75D221-0DB5-45EF-979F-D3F793A31FBD}"/>
    <cellStyle name="Normal 4 7 6 3 3" xfId="23319" xr:uid="{66EDE2B9-0F22-465F-B455-93FBE0F181F8}"/>
    <cellStyle name="Normal 4 7 6 3 4" xfId="14878" xr:uid="{9665035B-08E3-4C2F-8979-47F7F779848E}"/>
    <cellStyle name="Normal 4 7 6 4" xfId="27542" xr:uid="{C501AAF0-B87A-4ABF-B1E0-B4C94161ACDF}"/>
    <cellStyle name="Normal 4 7 6 5" xfId="19101" xr:uid="{3B7221B0-4788-41B0-BC02-FECB559EE814}"/>
    <cellStyle name="Normal 4 7 6 6" xfId="10660" xr:uid="{7DCF5597-9903-44BD-8E7F-63E68B8C8449}"/>
    <cellStyle name="Normal 4 7 7" xfId="2558" xr:uid="{00000000-0005-0000-0000-0000C6160000}"/>
    <cellStyle name="Normal 4 7 7 2" xfId="6841" xr:uid="{00000000-0005-0000-0000-0000C7160000}"/>
    <cellStyle name="Normal 4 7 7 2 2" xfId="32173" xr:uid="{32FCC36B-DDB8-49E6-99B9-19AA2CFE8C65}"/>
    <cellStyle name="Normal 4 7 7 2 3" xfId="23732" xr:uid="{3E234549-E4C1-4440-B9B5-3E53FF4A8068}"/>
    <cellStyle name="Normal 4 7 7 2 4" xfId="15291" xr:uid="{72CAC312-F18B-4E7C-8A85-4E4EECFC43FC}"/>
    <cellStyle name="Normal 4 7 7 3" xfId="27955" xr:uid="{24DC242D-57E4-4313-AADB-376DDEBD2AAD}"/>
    <cellStyle name="Normal 4 7 7 4" xfId="19514" xr:uid="{4B8266EF-4641-4109-96AF-3BEA2C5A31FC}"/>
    <cellStyle name="Normal 4 7 7 5" xfId="11073" xr:uid="{2A26374F-C005-41EF-BBB8-19F9E2247A7E}"/>
    <cellStyle name="Normal 4 7 8" xfId="4776" xr:uid="{00000000-0005-0000-0000-0000C8160000}"/>
    <cellStyle name="Normal 4 7 8 2" xfId="30108" xr:uid="{B830FD7A-B100-47FD-A6ED-3C4C3C6B6942}"/>
    <cellStyle name="Normal 4 7 8 3" xfId="21667" xr:uid="{A9B1BD3E-EB71-4A56-A832-7264DBBA17B3}"/>
    <cellStyle name="Normal 4 7 8 4" xfId="13226" xr:uid="{00E99255-56DF-46A5-B891-F3DE7B8D8EB5}"/>
    <cellStyle name="Normal 4 7 9" xfId="25890" xr:uid="{EDB39CCB-4F8C-4612-8D44-823C42655284}"/>
    <cellStyle name="Normal 4 8" xfId="405" xr:uid="{00000000-0005-0000-0000-0000C9160000}"/>
    <cellStyle name="Normal 4 8 10" xfId="9010" xr:uid="{DD56E18A-094E-4EA0-A880-CE8714E12A64}"/>
    <cellStyle name="Normal 4 8 2" xfId="879" xr:uid="{00000000-0005-0000-0000-0000CA160000}"/>
    <cellStyle name="Normal 4 8 2 2" xfId="3114" xr:uid="{00000000-0005-0000-0000-0000CB160000}"/>
    <cellStyle name="Normal 4 8 2 2 2" xfId="7336" xr:uid="{00000000-0005-0000-0000-0000CC160000}"/>
    <cellStyle name="Normal 4 8 2 2 2 2" xfId="32668" xr:uid="{C77ECB4B-07A1-45FE-950E-AA78644A748E}"/>
    <cellStyle name="Normal 4 8 2 2 2 3" xfId="24227" xr:uid="{15F5E6E7-D8EC-48EA-9C21-2BF226199A8A}"/>
    <cellStyle name="Normal 4 8 2 2 2 4" xfId="15786" xr:uid="{1B3AF8C9-BE47-4829-817B-BA29B4072214}"/>
    <cellStyle name="Normal 4 8 2 2 3" xfId="28450" xr:uid="{8B322A6E-7620-488D-BE2F-4D85DE10A8D0}"/>
    <cellStyle name="Normal 4 8 2 2 4" xfId="20009" xr:uid="{3994F63A-14FA-4F90-8FBC-34DF246777EB}"/>
    <cellStyle name="Normal 4 8 2 2 5" xfId="11568" xr:uid="{1BFABC72-7C74-4CC2-9D16-CD505FDD8072}"/>
    <cellStyle name="Normal 4 8 2 3" xfId="5191" xr:uid="{00000000-0005-0000-0000-0000CD160000}"/>
    <cellStyle name="Normal 4 8 2 3 2" xfId="30523" xr:uid="{2224947C-0A88-4EE0-8E98-3A96B850EE94}"/>
    <cellStyle name="Normal 4 8 2 3 3" xfId="22082" xr:uid="{28978FB8-6B7E-4D08-AE6A-85F5D0F35739}"/>
    <cellStyle name="Normal 4 8 2 3 4" xfId="13641" xr:uid="{6EDAB149-4327-450F-9487-D03567EABADD}"/>
    <cellStyle name="Normal 4 8 2 4" xfId="26305" xr:uid="{FBAE46AC-2D60-4A87-87BE-64E14CF2E949}"/>
    <cellStyle name="Normal 4 8 2 5" xfId="17864" xr:uid="{A6B31E83-5F01-4982-98DE-8B5AC481E0B3}"/>
    <cellStyle name="Normal 4 8 2 6" xfId="9423" xr:uid="{4176239F-B5E8-4743-9C07-F3980A10A3AF}"/>
    <cellStyle name="Normal 4 8 3" xfId="1297" xr:uid="{00000000-0005-0000-0000-0000CE160000}"/>
    <cellStyle name="Normal 4 8 3 2" xfId="3527" xr:uid="{00000000-0005-0000-0000-0000CF160000}"/>
    <cellStyle name="Normal 4 8 3 2 2" xfId="7749" xr:uid="{00000000-0005-0000-0000-0000D0160000}"/>
    <cellStyle name="Normal 4 8 3 2 2 2" xfId="33081" xr:uid="{6CB4F01D-E1FD-4291-A6F8-D1A44AA74EF0}"/>
    <cellStyle name="Normal 4 8 3 2 2 3" xfId="24640" xr:uid="{5B8E4C43-8F8E-4AC9-B7A3-C5564E46922E}"/>
    <cellStyle name="Normal 4 8 3 2 2 4" xfId="16199" xr:uid="{BE846DB9-5B7E-4042-AD00-2DD3DC753FF4}"/>
    <cellStyle name="Normal 4 8 3 2 3" xfId="28863" xr:uid="{1E13123C-7396-4B56-98FA-3F0450CE7499}"/>
    <cellStyle name="Normal 4 8 3 2 4" xfId="20422" xr:uid="{3B6E3DBC-49C5-4EFA-8591-90193CEDCDF4}"/>
    <cellStyle name="Normal 4 8 3 2 5" xfId="11981" xr:uid="{E7F28855-57BB-4541-A3BC-D91E0CC8818E}"/>
    <cellStyle name="Normal 4 8 3 3" xfId="5604" xr:uid="{00000000-0005-0000-0000-0000D1160000}"/>
    <cellStyle name="Normal 4 8 3 3 2" xfId="30936" xr:uid="{D01188D9-E623-4896-924A-005287A5FCD4}"/>
    <cellStyle name="Normal 4 8 3 3 3" xfId="22495" xr:uid="{053DCE42-6F82-4093-887F-09F5012C58A4}"/>
    <cellStyle name="Normal 4 8 3 3 4" xfId="14054" xr:uid="{572C480E-36F4-43E9-8615-8AE37DA22A33}"/>
    <cellStyle name="Normal 4 8 3 4" xfId="26718" xr:uid="{EDE47535-CFF3-42E1-BE22-74024BB0324C}"/>
    <cellStyle name="Normal 4 8 3 5" xfId="18277" xr:uid="{DB3E4769-3AD7-4377-A514-0C0DA63490BF}"/>
    <cellStyle name="Normal 4 8 3 6" xfId="9836" xr:uid="{E91007C8-8B37-4F01-A3BF-F41B5C31BAC6}"/>
    <cellStyle name="Normal 4 8 4" xfId="1710" xr:uid="{00000000-0005-0000-0000-0000D2160000}"/>
    <cellStyle name="Normal 4 8 4 2" xfId="3940" xr:uid="{00000000-0005-0000-0000-0000D3160000}"/>
    <cellStyle name="Normal 4 8 4 2 2" xfId="8162" xr:uid="{00000000-0005-0000-0000-0000D4160000}"/>
    <cellStyle name="Normal 4 8 4 2 2 2" xfId="33494" xr:uid="{E0F8396F-C4DB-46E9-9479-B79DDBED3DF9}"/>
    <cellStyle name="Normal 4 8 4 2 2 3" xfId="25053" xr:uid="{CC240009-FE8F-4CDD-B6C2-830F64A8656D}"/>
    <cellStyle name="Normal 4 8 4 2 2 4" xfId="16612" xr:uid="{457531C0-D70F-437A-831C-3B30A2E1231D}"/>
    <cellStyle name="Normal 4 8 4 2 3" xfId="29276" xr:uid="{43444E03-16C1-4125-8A9D-8AA4A80D93D1}"/>
    <cellStyle name="Normal 4 8 4 2 4" xfId="20835" xr:uid="{F76B1D5D-29D5-4ADF-8BC4-8A79DC0A0FFB}"/>
    <cellStyle name="Normal 4 8 4 2 5" xfId="12394" xr:uid="{FC664B34-D7BF-4DA6-BB25-405414093276}"/>
    <cellStyle name="Normal 4 8 4 3" xfId="6017" xr:uid="{00000000-0005-0000-0000-0000D5160000}"/>
    <cellStyle name="Normal 4 8 4 3 2" xfId="31349" xr:uid="{8250DE43-3971-4122-906A-39683004CBD8}"/>
    <cellStyle name="Normal 4 8 4 3 3" xfId="22908" xr:uid="{34515521-AF86-4104-969F-37B0D9FA8175}"/>
    <cellStyle name="Normal 4 8 4 3 4" xfId="14467" xr:uid="{E63DAC44-5FAE-42F1-BED8-61481AAEF945}"/>
    <cellStyle name="Normal 4 8 4 4" xfId="27131" xr:uid="{09C21E4E-71D8-4362-A344-07C7CE144382}"/>
    <cellStyle name="Normal 4 8 4 5" xfId="18690" xr:uid="{4B098667-EB3C-4CB3-90B2-79745B72370A}"/>
    <cellStyle name="Normal 4 8 4 6" xfId="10249" xr:uid="{28ED84AC-E3D9-485D-B5A0-3B19B683F2E2}"/>
    <cellStyle name="Normal 4 8 5" xfId="2124" xr:uid="{00000000-0005-0000-0000-0000D6160000}"/>
    <cellStyle name="Normal 4 8 5 2" xfId="4353" xr:uid="{00000000-0005-0000-0000-0000D7160000}"/>
    <cellStyle name="Normal 4 8 5 2 2" xfId="8575" xr:uid="{00000000-0005-0000-0000-0000D8160000}"/>
    <cellStyle name="Normal 4 8 5 2 2 2" xfId="33907" xr:uid="{9E110B5F-F6AD-4A2C-9051-9DB8934AC9A0}"/>
    <cellStyle name="Normal 4 8 5 2 2 3" xfId="25466" xr:uid="{13BAE4D7-17EF-42C1-B3FE-91D11FF21B66}"/>
    <cellStyle name="Normal 4 8 5 2 2 4" xfId="17025" xr:uid="{1CB25799-2A9D-4D79-AD56-CA590E6D85AA}"/>
    <cellStyle name="Normal 4 8 5 2 3" xfId="29689" xr:uid="{AC661D62-7FD4-470A-A1A0-53104A25D82B}"/>
    <cellStyle name="Normal 4 8 5 2 4" xfId="21248" xr:uid="{7E3F680C-E9D7-445F-833A-E6E39B38C724}"/>
    <cellStyle name="Normal 4 8 5 2 5" xfId="12807" xr:uid="{28B6A181-7436-4BC6-BF39-EC43EC761F22}"/>
    <cellStyle name="Normal 4 8 5 3" xfId="6430" xr:uid="{00000000-0005-0000-0000-0000D9160000}"/>
    <cellStyle name="Normal 4 8 5 3 2" xfId="31762" xr:uid="{28895FBE-F889-4201-8360-A7ABE194D3E2}"/>
    <cellStyle name="Normal 4 8 5 3 3" xfId="23321" xr:uid="{1B81D39F-1E03-498C-B4B0-6B82FD74D1FA}"/>
    <cellStyle name="Normal 4 8 5 3 4" xfId="14880" xr:uid="{03EE8055-9BCB-4FAC-9992-ECAD75C7805D}"/>
    <cellStyle name="Normal 4 8 5 4" xfId="27544" xr:uid="{E85F054D-AFCE-416D-A5FC-3276BC2CFACB}"/>
    <cellStyle name="Normal 4 8 5 5" xfId="19103" xr:uid="{134DD263-963C-4180-BF27-35AE3A83536D}"/>
    <cellStyle name="Normal 4 8 5 6" xfId="10662" xr:uid="{638FEBCB-6100-4DD8-B6FB-9E7CF61901F5}"/>
    <cellStyle name="Normal 4 8 6" xfId="2560" xr:uid="{00000000-0005-0000-0000-0000DA160000}"/>
    <cellStyle name="Normal 4 8 6 2" xfId="6843" xr:uid="{00000000-0005-0000-0000-0000DB160000}"/>
    <cellStyle name="Normal 4 8 6 2 2" xfId="32175" xr:uid="{3FC70E30-3D8E-4080-A581-39BE73834284}"/>
    <cellStyle name="Normal 4 8 6 2 3" xfId="23734" xr:uid="{1A32BADE-1AFE-4F36-BD34-48B92A58CCA3}"/>
    <cellStyle name="Normal 4 8 6 2 4" xfId="15293" xr:uid="{C02C91A7-D7F2-4BCC-9FCB-1B1F58BFBA53}"/>
    <cellStyle name="Normal 4 8 6 3" xfId="27957" xr:uid="{25296054-CE4D-4ECC-96A0-20FC2B5FF6A2}"/>
    <cellStyle name="Normal 4 8 6 4" xfId="19516" xr:uid="{2072B511-EE04-49CE-A716-E976EFAC573A}"/>
    <cellStyle name="Normal 4 8 6 5" xfId="11075" xr:uid="{076859F2-CA9F-4E7B-89E3-F0C1FE3FFD4D}"/>
    <cellStyle name="Normal 4 8 7" xfId="4778" xr:uid="{00000000-0005-0000-0000-0000DC160000}"/>
    <cellStyle name="Normal 4 8 7 2" xfId="30110" xr:uid="{7CADDAFE-9FAD-4890-BCA8-E2C7F5E29396}"/>
    <cellStyle name="Normal 4 8 7 3" xfId="21669" xr:uid="{A6815661-19C9-449A-B334-71F5442EBDFC}"/>
    <cellStyle name="Normal 4 8 7 4" xfId="13228" xr:uid="{AD4FF3FE-A644-42C5-8B50-C1F07FD0AD72}"/>
    <cellStyle name="Normal 4 8 8" xfId="25892" xr:uid="{10D68CB2-5193-4B9E-9170-68A4A5C0DDAE}"/>
    <cellStyle name="Normal 4 8 9" xfId="17451" xr:uid="{55D2E8BF-7017-434F-9B83-D203C6755B9C}"/>
    <cellStyle name="Normal 4 9" xfId="4715" xr:uid="{00000000-0005-0000-0000-0000DD160000}"/>
    <cellStyle name="Normal 4 9 2" xfId="30047" xr:uid="{A22D9A79-AC52-469A-B841-6D3B470DFE0A}"/>
    <cellStyle name="Normal 4 9 3" xfId="21606" xr:uid="{537BF433-7BB5-4180-9546-FDED6F7CDFAD}"/>
    <cellStyle name="Normal 4 9 4" xfId="13165" xr:uid="{8B5B1993-2880-4A82-A347-502F496D5638}"/>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2 2 2" xfId="33495" xr:uid="{41CD0D83-4E7F-4867-87EF-1530EB7BA34E}"/>
    <cellStyle name="Normal 5 10 2 2 3" xfId="25054" xr:uid="{E2ADED9C-DABF-4869-B6C3-C3C4717D2459}"/>
    <cellStyle name="Normal 5 10 2 2 4" xfId="16613" xr:uid="{0E1AD437-000F-48E1-9CA7-D84B471B6481}"/>
    <cellStyle name="Normal 5 10 2 3" xfId="29277" xr:uid="{7D5A2D81-ADCE-4319-8D3F-231F63CE63B2}"/>
    <cellStyle name="Normal 5 10 2 4" xfId="20836" xr:uid="{79E4D261-12BE-440C-A143-85665E609F2F}"/>
    <cellStyle name="Normal 5 10 2 5" xfId="12395" xr:uid="{3178B28B-CEF3-4F18-AF30-3003B2C4EA6F}"/>
    <cellStyle name="Normal 5 10 3" xfId="6018" xr:uid="{00000000-0005-0000-0000-0000E2160000}"/>
    <cellStyle name="Normal 5 10 3 2" xfId="31350" xr:uid="{E4EF4BF1-CE97-406A-AC10-56C006F2441B}"/>
    <cellStyle name="Normal 5 10 3 3" xfId="22909" xr:uid="{29239C4A-0681-4381-AED6-E6542D1138FF}"/>
    <cellStyle name="Normal 5 10 3 4" xfId="14468" xr:uid="{BF23E1ED-3551-4858-928E-11900B7C8550}"/>
    <cellStyle name="Normal 5 10 4" xfId="27132" xr:uid="{195AC7B5-559E-4D84-A0BB-F813E11AF675}"/>
    <cellStyle name="Normal 5 10 5" xfId="18691" xr:uid="{353577DA-A160-47A4-B1E1-B995B2D5E152}"/>
    <cellStyle name="Normal 5 10 6" xfId="10250" xr:uid="{D93B935D-4452-4168-A829-3E65AECED694}"/>
    <cellStyle name="Normal 5 11" xfId="2125" xr:uid="{00000000-0005-0000-0000-0000E3160000}"/>
    <cellStyle name="Normal 5 11 2" xfId="4354" xr:uid="{00000000-0005-0000-0000-0000E4160000}"/>
    <cellStyle name="Normal 5 11 2 2" xfId="8576" xr:uid="{00000000-0005-0000-0000-0000E5160000}"/>
    <cellStyle name="Normal 5 11 2 2 2" xfId="33908" xr:uid="{E6DC918C-F998-4A30-A20B-D63862E44A09}"/>
    <cellStyle name="Normal 5 11 2 2 3" xfId="25467" xr:uid="{7782C44E-7143-4335-BDF3-092BCD68C8C3}"/>
    <cellStyle name="Normal 5 11 2 2 4" xfId="17026" xr:uid="{49CD4B76-7CB4-4740-A7B8-DA5DD9922107}"/>
    <cellStyle name="Normal 5 11 2 3" xfId="29690" xr:uid="{20F54825-BC00-4CF0-AD05-A9A4ECD725BF}"/>
    <cellStyle name="Normal 5 11 2 4" xfId="21249" xr:uid="{1A90C14C-4EE3-4C4A-A8E7-DE089164E3AE}"/>
    <cellStyle name="Normal 5 11 2 5" xfId="12808" xr:uid="{9F071723-56A3-4328-AC45-55DBD9676E16}"/>
    <cellStyle name="Normal 5 11 3" xfId="6431" xr:uid="{00000000-0005-0000-0000-0000E6160000}"/>
    <cellStyle name="Normal 5 11 3 2" xfId="31763" xr:uid="{EF138C22-B4E0-4389-AD52-55481C5214BB}"/>
    <cellStyle name="Normal 5 11 3 3" xfId="23322" xr:uid="{7EBEC738-418D-4905-8E0C-B14606801913}"/>
    <cellStyle name="Normal 5 11 3 4" xfId="14881" xr:uid="{D34BF1E1-5FC1-42C6-B6B3-E4E014596A76}"/>
    <cellStyle name="Normal 5 11 4" xfId="27545" xr:uid="{EBF7C883-1030-4A49-8554-65BDDF46C98A}"/>
    <cellStyle name="Normal 5 11 5" xfId="19104" xr:uid="{10DD7E24-070D-428B-A111-429E4CC8CE85}"/>
    <cellStyle name="Normal 5 11 6" xfId="10663" xr:uid="{692223E8-257B-46E5-A76E-286F1205C96D}"/>
    <cellStyle name="Normal 5 12" xfId="2561" xr:uid="{00000000-0005-0000-0000-0000E7160000}"/>
    <cellStyle name="Normal 5 12 2" xfId="6844" xr:uid="{00000000-0005-0000-0000-0000E8160000}"/>
    <cellStyle name="Normal 5 12 2 2" xfId="32176" xr:uid="{955DFE77-500E-4DE3-88BF-91618DACD835}"/>
    <cellStyle name="Normal 5 12 2 3" xfId="23735" xr:uid="{BC77CE9B-9A15-4ACC-BDAC-F237CDF11C2F}"/>
    <cellStyle name="Normal 5 12 2 4" xfId="15294" xr:uid="{6EF53ED1-F48D-4594-95B5-DDD7606F956A}"/>
    <cellStyle name="Normal 5 12 3" xfId="27958" xr:uid="{E3EED314-8C8F-45DF-83BB-5882F3044504}"/>
    <cellStyle name="Normal 5 12 4" xfId="19517" xr:uid="{19A87CA0-8370-41AD-B31A-D01537D96D69}"/>
    <cellStyle name="Normal 5 12 5" xfId="11076" xr:uid="{632E5138-C7B5-451E-964D-40FC5B18DB2B}"/>
    <cellStyle name="Normal 5 13" xfId="4779" xr:uid="{00000000-0005-0000-0000-0000E9160000}"/>
    <cellStyle name="Normal 5 13 2" xfId="30111" xr:uid="{BE353CA6-4CD2-449F-B00A-79547A9620FD}"/>
    <cellStyle name="Normal 5 13 3" xfId="21670" xr:uid="{604F8E02-5A11-4C1E-AC67-E59B583EAC0E}"/>
    <cellStyle name="Normal 5 13 4" xfId="13229" xr:uid="{BF349AEB-4D34-42AD-B388-599CCBD49AC5}"/>
    <cellStyle name="Normal 5 14" xfId="25893" xr:uid="{D18B785E-1ABD-4BAD-8BDD-75D8ECDF3F58}"/>
    <cellStyle name="Normal 5 15" xfId="17452" xr:uid="{6C793034-DFFF-49C8-BF4B-620D9B1EE54E}"/>
    <cellStyle name="Normal 5 16" xfId="9011" xr:uid="{DEE9786A-D807-4E81-B987-2BDA9971D76D}"/>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2 2 2" xfId="33909" xr:uid="{223C618C-5DB6-45CE-AB75-949557699EB4}"/>
    <cellStyle name="Normal 5 2 10 2 2 3" xfId="25468" xr:uid="{CBE030FA-0074-4DD6-80C2-C412AB36911F}"/>
    <cellStyle name="Normal 5 2 10 2 2 4" xfId="17027" xr:uid="{8BCCA981-C9C1-4FB1-944F-58A2FACFADEC}"/>
    <cellStyle name="Normal 5 2 10 2 3" xfId="29691" xr:uid="{1E9C544A-5D54-4C47-A8AB-4FFD65FB06C7}"/>
    <cellStyle name="Normal 5 2 10 2 4" xfId="21250" xr:uid="{9EDB38C2-6CC3-41BE-91AE-B9DBDB8F0DBE}"/>
    <cellStyle name="Normal 5 2 10 2 5" xfId="12809" xr:uid="{035426B3-D834-4BFC-AD4A-C035A3BE6831}"/>
    <cellStyle name="Normal 5 2 10 3" xfId="6432" xr:uid="{00000000-0005-0000-0000-0000EE160000}"/>
    <cellStyle name="Normal 5 2 10 3 2" xfId="31764" xr:uid="{C98BA6F9-3044-4159-9950-7DC786835CD3}"/>
    <cellStyle name="Normal 5 2 10 3 3" xfId="23323" xr:uid="{1B39EA57-2120-4231-8816-40714A4E1029}"/>
    <cellStyle name="Normal 5 2 10 3 4" xfId="14882" xr:uid="{3CF2589B-7D21-44F9-8D08-858EAEDDC67A}"/>
    <cellStyle name="Normal 5 2 10 4" xfId="27546" xr:uid="{2A8583BF-E7DF-4319-B6D3-132ECE7AF657}"/>
    <cellStyle name="Normal 5 2 10 5" xfId="19105" xr:uid="{6E35DA66-2439-49C8-8CA2-F8D32CFFCED3}"/>
    <cellStyle name="Normal 5 2 10 6" xfId="10664" xr:uid="{1DA526DD-71A1-4F92-948D-F9760131757B}"/>
    <cellStyle name="Normal 5 2 11" xfId="2562" xr:uid="{00000000-0005-0000-0000-0000EF160000}"/>
    <cellStyle name="Normal 5 2 11 2" xfId="6845" xr:uid="{00000000-0005-0000-0000-0000F0160000}"/>
    <cellStyle name="Normal 5 2 11 2 2" xfId="32177" xr:uid="{9176BCC4-352A-4021-9E28-6A10F0C63DB7}"/>
    <cellStyle name="Normal 5 2 11 2 3" xfId="23736" xr:uid="{0A7E83EF-7520-4344-A02D-B72A554292E4}"/>
    <cellStyle name="Normal 5 2 11 2 4" xfId="15295" xr:uid="{5EB3CBA7-77A8-41F7-A964-984E55A51447}"/>
    <cellStyle name="Normal 5 2 11 3" xfId="27959" xr:uid="{C371B37A-06E3-47A7-8B7D-A3947FC7AD7A}"/>
    <cellStyle name="Normal 5 2 11 4" xfId="19518" xr:uid="{F6192E98-C079-4102-A635-5D7F6CF9F649}"/>
    <cellStyle name="Normal 5 2 11 5" xfId="11077" xr:uid="{A567E7A3-A24F-483A-B516-DDDF863EBB82}"/>
    <cellStyle name="Normal 5 2 12" xfId="4780" xr:uid="{00000000-0005-0000-0000-0000F1160000}"/>
    <cellStyle name="Normal 5 2 12 2" xfId="30112" xr:uid="{D2F041CF-7E31-45AC-822F-8F6B93BC644F}"/>
    <cellStyle name="Normal 5 2 12 3" xfId="21671" xr:uid="{EA6E926A-AE29-4D7C-9D98-D69C19A739A8}"/>
    <cellStyle name="Normal 5 2 12 4" xfId="13230" xr:uid="{A2034BA3-8282-4BA2-9EB0-FF4ABDD292AB}"/>
    <cellStyle name="Normal 5 2 13" xfId="25894" xr:uid="{9A8B12B9-06F6-4658-8B90-21F5FFBB3D21}"/>
    <cellStyle name="Normal 5 2 14" xfId="17453" xr:uid="{FB7181F2-7C4E-477F-87FC-28F2C447CCA1}"/>
    <cellStyle name="Normal 5 2 15" xfId="9012" xr:uid="{DDDB704E-9D21-4940-B1FC-7EFD7F427C98}"/>
    <cellStyle name="Normal 5 2 2" xfId="408" xr:uid="{00000000-0005-0000-0000-0000F2160000}"/>
    <cellStyle name="Normal 5 2 2 10" xfId="2563" xr:uid="{00000000-0005-0000-0000-0000F3160000}"/>
    <cellStyle name="Normal 5 2 2 10 2" xfId="6846" xr:uid="{00000000-0005-0000-0000-0000F4160000}"/>
    <cellStyle name="Normal 5 2 2 10 2 2" xfId="32178" xr:uid="{0874E902-6B4C-4337-A8E9-6A8C7CA3AED5}"/>
    <cellStyle name="Normal 5 2 2 10 2 3" xfId="23737" xr:uid="{34CE33CA-6B68-4D77-A064-5BC5621D871F}"/>
    <cellStyle name="Normal 5 2 2 10 2 4" xfId="15296" xr:uid="{750567A8-E4EC-4196-89B5-884D0C9221D8}"/>
    <cellStyle name="Normal 5 2 2 10 3" xfId="27960" xr:uid="{967F03FC-3F1C-42C6-A1D3-EE60431AB1B7}"/>
    <cellStyle name="Normal 5 2 2 10 4" xfId="19519" xr:uid="{9084D465-A247-487B-BE5E-3F3B7FCBDA48}"/>
    <cellStyle name="Normal 5 2 2 10 5" xfId="11078" xr:uid="{69D1F6A6-2FB0-417A-82D8-8437BD773D18}"/>
    <cellStyle name="Normal 5 2 2 11" xfId="4781" xr:uid="{00000000-0005-0000-0000-0000F5160000}"/>
    <cellStyle name="Normal 5 2 2 11 2" xfId="30113" xr:uid="{8128E913-BCA6-4A9B-8A78-3CE97FC8387F}"/>
    <cellStyle name="Normal 5 2 2 11 3" xfId="21672" xr:uid="{76DC80BE-5B0B-4D5A-A6A3-3448E36BDCAA}"/>
    <cellStyle name="Normal 5 2 2 11 4" xfId="13231" xr:uid="{80F3B5E4-81CE-4656-A758-8256587A9042}"/>
    <cellStyle name="Normal 5 2 2 12" xfId="25895" xr:uid="{B416D15D-27EA-47BF-911D-5ED022C65F6B}"/>
    <cellStyle name="Normal 5 2 2 13" xfId="17454" xr:uid="{4A6E49AD-4F32-4131-9981-514B0FF6342A}"/>
    <cellStyle name="Normal 5 2 2 14" xfId="9013" xr:uid="{345166A5-FA02-4A19-9D78-B5CF179EE9B4}"/>
    <cellStyle name="Normal 5 2 2 2" xfId="409" xr:uid="{00000000-0005-0000-0000-0000F6160000}"/>
    <cellStyle name="Normal 5 2 2 2 10" xfId="4782" xr:uid="{00000000-0005-0000-0000-0000F7160000}"/>
    <cellStyle name="Normal 5 2 2 2 10 2" xfId="30114" xr:uid="{8A97BAFF-9029-4ED9-8CE9-13FC38E2A8F3}"/>
    <cellStyle name="Normal 5 2 2 2 10 3" xfId="21673" xr:uid="{6491D55C-6FF4-41F4-B062-8203DA8F8AA0}"/>
    <cellStyle name="Normal 5 2 2 2 10 4" xfId="13232" xr:uid="{69180448-5A2D-4482-AD70-4C6C6440CDD5}"/>
    <cellStyle name="Normal 5 2 2 2 11" xfId="25896" xr:uid="{28D08DBC-DFA0-4BD6-874D-A52EA85BB117}"/>
    <cellStyle name="Normal 5 2 2 2 12" xfId="17455" xr:uid="{EDD9503E-76FB-43C7-AEBE-78BF3933205E}"/>
    <cellStyle name="Normal 5 2 2 2 13" xfId="9014" xr:uid="{7F559A19-14E2-41A2-934E-2657A934FDB8}"/>
    <cellStyle name="Normal 5 2 2 2 2" xfId="410" xr:uid="{00000000-0005-0000-0000-0000F8160000}"/>
    <cellStyle name="Normal 5 2 2 2 2 10" xfId="25897" xr:uid="{4DAD4017-F89B-40CF-9362-38DC69FD7150}"/>
    <cellStyle name="Normal 5 2 2 2 2 11" xfId="17456" xr:uid="{1EE38533-67BD-4509-8270-9839AB9C7EE4}"/>
    <cellStyle name="Normal 5 2 2 2 2 12" xfId="9015" xr:uid="{05C969EE-FACA-4C2C-84CF-DA71DD7C4E99}"/>
    <cellStyle name="Normal 5 2 2 2 2 2" xfId="411" xr:uid="{00000000-0005-0000-0000-0000F9160000}"/>
    <cellStyle name="Normal 5 2 2 2 2 2 10" xfId="17457" xr:uid="{A0B3C576-8996-474D-B450-BD08611BF5A9}"/>
    <cellStyle name="Normal 5 2 2 2 2 2 11" xfId="9016" xr:uid="{6AB1EB24-7A9F-4F76-AAAA-603429B263E2}"/>
    <cellStyle name="Normal 5 2 2 2 2 2 2" xfId="412" xr:uid="{00000000-0005-0000-0000-0000FA160000}"/>
    <cellStyle name="Normal 5 2 2 2 2 2 2 10" xfId="9017" xr:uid="{4E3584EA-107F-4A9C-AD3A-D1C5B7D1234A}"/>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2 2 2" xfId="32675" xr:uid="{9F2E78F3-BD2F-40A6-B3DB-6CFD566047B4}"/>
    <cellStyle name="Normal 5 2 2 2 2 2 2 2 2 2 3" xfId="24234" xr:uid="{C59E84CC-CEF4-44EA-9824-DBC499F6C5CE}"/>
    <cellStyle name="Normal 5 2 2 2 2 2 2 2 2 2 4" xfId="15793" xr:uid="{F23136B4-09F8-4E19-80C7-6E728FAE1B28}"/>
    <cellStyle name="Normal 5 2 2 2 2 2 2 2 2 3" xfId="28457" xr:uid="{AB0AF337-4F42-4298-A7F9-B0B284F10C1E}"/>
    <cellStyle name="Normal 5 2 2 2 2 2 2 2 2 4" xfId="20016" xr:uid="{B574FD9D-0AA0-4F15-B952-5D7B5351F824}"/>
    <cellStyle name="Normal 5 2 2 2 2 2 2 2 2 5" xfId="11575" xr:uid="{0E5B7BEC-5F11-4D20-BAA7-A089190710AA}"/>
    <cellStyle name="Normal 5 2 2 2 2 2 2 2 3" xfId="5198" xr:uid="{00000000-0005-0000-0000-0000FE160000}"/>
    <cellStyle name="Normal 5 2 2 2 2 2 2 2 3 2" xfId="30530" xr:uid="{2522BA88-DA9E-4F4F-8CF5-95DD65B9F188}"/>
    <cellStyle name="Normal 5 2 2 2 2 2 2 2 3 3" xfId="22089" xr:uid="{6E2CCA71-3027-472D-86E5-41C11B51FCC2}"/>
    <cellStyle name="Normal 5 2 2 2 2 2 2 2 3 4" xfId="13648" xr:uid="{4E7B7936-6FFD-4509-B528-4C82C56C94C2}"/>
    <cellStyle name="Normal 5 2 2 2 2 2 2 2 4" xfId="26312" xr:uid="{21AC014E-4D58-4B11-A3B8-6C369A4614BB}"/>
    <cellStyle name="Normal 5 2 2 2 2 2 2 2 5" xfId="17871" xr:uid="{2D86EEB5-FA64-4E1A-9D5B-C7B33A394FF2}"/>
    <cellStyle name="Normal 5 2 2 2 2 2 2 2 6" xfId="9430" xr:uid="{F7DCD61E-CA23-4C0F-87AE-CB11E0D0EB12}"/>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2 2 2" xfId="33088" xr:uid="{D7482B4B-7BF7-4294-B3A0-B6DF954584DB}"/>
    <cellStyle name="Normal 5 2 2 2 2 2 2 3 2 2 3" xfId="24647" xr:uid="{A4DEF06F-4BB4-482C-B1BC-2D579420A151}"/>
    <cellStyle name="Normal 5 2 2 2 2 2 2 3 2 2 4" xfId="16206" xr:uid="{D837D2C9-5801-45BB-9A73-2891346EE5E4}"/>
    <cellStyle name="Normal 5 2 2 2 2 2 2 3 2 3" xfId="28870" xr:uid="{90E494F1-2C62-42EC-8AF2-FDA12A5C6B14}"/>
    <cellStyle name="Normal 5 2 2 2 2 2 2 3 2 4" xfId="20429" xr:uid="{2E335E3F-D0D7-42F3-B53C-F10A9F43465F}"/>
    <cellStyle name="Normal 5 2 2 2 2 2 2 3 2 5" xfId="11988" xr:uid="{D64AE3ED-F744-446B-AE50-2ACF1286DCB3}"/>
    <cellStyle name="Normal 5 2 2 2 2 2 2 3 3" xfId="5611" xr:uid="{00000000-0005-0000-0000-000002170000}"/>
    <cellStyle name="Normal 5 2 2 2 2 2 2 3 3 2" xfId="30943" xr:uid="{7B9BF76D-F585-4F91-BD51-20F190AF21B1}"/>
    <cellStyle name="Normal 5 2 2 2 2 2 2 3 3 3" xfId="22502" xr:uid="{487DBC8A-38B5-486B-A53B-95C7542ED1D4}"/>
    <cellStyle name="Normal 5 2 2 2 2 2 2 3 3 4" xfId="14061" xr:uid="{18A12A9D-E0B1-4599-9D7D-30EFE65DEB27}"/>
    <cellStyle name="Normal 5 2 2 2 2 2 2 3 4" xfId="26725" xr:uid="{A0663665-2D0C-44F2-95CC-72738D986767}"/>
    <cellStyle name="Normal 5 2 2 2 2 2 2 3 5" xfId="18284" xr:uid="{9A871860-10BD-437D-BD7B-B001F22208CD}"/>
    <cellStyle name="Normal 5 2 2 2 2 2 2 3 6" xfId="9843" xr:uid="{E8BE4BFD-5484-4696-BADA-30B62EC861E8}"/>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2 2 2" xfId="33501" xr:uid="{DDFBD481-F240-4CD4-8DDA-BF5CAFB66275}"/>
    <cellStyle name="Normal 5 2 2 2 2 2 2 4 2 2 3" xfId="25060" xr:uid="{8ACF4D47-4634-4EE9-8C37-B9869C7CBB22}"/>
    <cellStyle name="Normal 5 2 2 2 2 2 2 4 2 2 4" xfId="16619" xr:uid="{CD0A9BBF-D710-4EB3-829D-4B4F44834D78}"/>
    <cellStyle name="Normal 5 2 2 2 2 2 2 4 2 3" xfId="29283" xr:uid="{0BA5E03D-47BE-456F-A726-DE21A9B1A627}"/>
    <cellStyle name="Normal 5 2 2 2 2 2 2 4 2 4" xfId="20842" xr:uid="{E184601B-D166-494C-AE01-27288A68ABA3}"/>
    <cellStyle name="Normal 5 2 2 2 2 2 2 4 2 5" xfId="12401" xr:uid="{3ABD11F2-558F-41AF-9659-1C3C10F37AF2}"/>
    <cellStyle name="Normal 5 2 2 2 2 2 2 4 3" xfId="6024" xr:uid="{00000000-0005-0000-0000-000006170000}"/>
    <cellStyle name="Normal 5 2 2 2 2 2 2 4 3 2" xfId="31356" xr:uid="{7E6D2EC1-8179-4CC5-9EBC-46742A957630}"/>
    <cellStyle name="Normal 5 2 2 2 2 2 2 4 3 3" xfId="22915" xr:uid="{BC357B96-090A-4D9A-AB2E-731EE007B3E9}"/>
    <cellStyle name="Normal 5 2 2 2 2 2 2 4 3 4" xfId="14474" xr:uid="{31FF226D-74D8-4FC5-A8ED-2E3488991651}"/>
    <cellStyle name="Normal 5 2 2 2 2 2 2 4 4" xfId="27138" xr:uid="{16808FA8-BC6C-442B-AEC7-3B2D3B8E6161}"/>
    <cellStyle name="Normal 5 2 2 2 2 2 2 4 5" xfId="18697" xr:uid="{355EE0BF-CD00-4E5D-9054-28232BF1CA5C}"/>
    <cellStyle name="Normal 5 2 2 2 2 2 2 4 6" xfId="10256" xr:uid="{C24600DB-45FC-4F36-98FC-7EEABDA9ED67}"/>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2 2 2" xfId="33914" xr:uid="{6040F175-0388-468B-B5D5-2846097BF296}"/>
    <cellStyle name="Normal 5 2 2 2 2 2 2 5 2 2 3" xfId="25473" xr:uid="{510CA6A3-2AFF-4638-8D22-69B2E98912E9}"/>
    <cellStyle name="Normal 5 2 2 2 2 2 2 5 2 2 4" xfId="17032" xr:uid="{E87931A4-5A42-4ACD-B35C-6B873E6B19D7}"/>
    <cellStyle name="Normal 5 2 2 2 2 2 2 5 2 3" xfId="29696" xr:uid="{DCA49E89-93E5-408E-B91D-D7C380C87918}"/>
    <cellStyle name="Normal 5 2 2 2 2 2 2 5 2 4" xfId="21255" xr:uid="{557EC2FF-1473-4B0C-8EF6-42281D4024A7}"/>
    <cellStyle name="Normal 5 2 2 2 2 2 2 5 2 5" xfId="12814" xr:uid="{590054B3-296B-46AE-8F9B-5968FF7563CF}"/>
    <cellStyle name="Normal 5 2 2 2 2 2 2 5 3" xfId="6437" xr:uid="{00000000-0005-0000-0000-00000A170000}"/>
    <cellStyle name="Normal 5 2 2 2 2 2 2 5 3 2" xfId="31769" xr:uid="{A3A8C633-4DF1-4DA5-937E-33A0CB08AEB2}"/>
    <cellStyle name="Normal 5 2 2 2 2 2 2 5 3 3" xfId="23328" xr:uid="{0F74180D-5C27-4CED-BA32-EE0AC204BFC2}"/>
    <cellStyle name="Normal 5 2 2 2 2 2 2 5 3 4" xfId="14887" xr:uid="{D55754F0-EDBF-494F-B52D-E57B54A8FD6F}"/>
    <cellStyle name="Normal 5 2 2 2 2 2 2 5 4" xfId="27551" xr:uid="{12BB992D-B0FB-4224-8DDA-FC8DBD0671B5}"/>
    <cellStyle name="Normal 5 2 2 2 2 2 2 5 5" xfId="19110" xr:uid="{D698CAB9-4B60-4D1F-B6A0-BAD4167F7E33}"/>
    <cellStyle name="Normal 5 2 2 2 2 2 2 5 6" xfId="10669" xr:uid="{363E0F76-7529-45D9-BA20-8C3B65ED894C}"/>
    <cellStyle name="Normal 5 2 2 2 2 2 2 6" xfId="2567" xr:uid="{00000000-0005-0000-0000-00000B170000}"/>
    <cellStyle name="Normal 5 2 2 2 2 2 2 6 2" xfId="6850" xr:uid="{00000000-0005-0000-0000-00000C170000}"/>
    <cellStyle name="Normal 5 2 2 2 2 2 2 6 2 2" xfId="32182" xr:uid="{8B1454F8-5E88-4E96-B38D-4624B42F98B8}"/>
    <cellStyle name="Normal 5 2 2 2 2 2 2 6 2 3" xfId="23741" xr:uid="{2C5F8DDF-0B72-4B90-A4A4-D84EF2DD1C73}"/>
    <cellStyle name="Normal 5 2 2 2 2 2 2 6 2 4" xfId="15300" xr:uid="{0B120D4F-B29E-4C5E-9F55-A8FE7E26ED90}"/>
    <cellStyle name="Normal 5 2 2 2 2 2 2 6 3" xfId="27964" xr:uid="{A5A338C2-D588-46D7-A97C-37507CA0EB4C}"/>
    <cellStyle name="Normal 5 2 2 2 2 2 2 6 4" xfId="19523" xr:uid="{A85E7366-6465-4643-B4EA-F86364434D62}"/>
    <cellStyle name="Normal 5 2 2 2 2 2 2 6 5" xfId="11082" xr:uid="{C3DB61B9-DDD3-4A08-8838-9FEB6B1E274C}"/>
    <cellStyle name="Normal 5 2 2 2 2 2 2 7" xfId="4785" xr:uid="{00000000-0005-0000-0000-00000D170000}"/>
    <cellStyle name="Normal 5 2 2 2 2 2 2 7 2" xfId="30117" xr:uid="{87AC1D9F-660E-4D03-BA6D-899C0BAF3ED4}"/>
    <cellStyle name="Normal 5 2 2 2 2 2 2 7 3" xfId="21676" xr:uid="{F59D4195-7D36-4F22-948F-C8596755061F}"/>
    <cellStyle name="Normal 5 2 2 2 2 2 2 7 4" xfId="13235" xr:uid="{4B317BD7-36AF-4ECB-BD41-300BBAF637B6}"/>
    <cellStyle name="Normal 5 2 2 2 2 2 2 8" xfId="25899" xr:uid="{AC6B2DBD-1241-44D2-BFCC-192B7351F996}"/>
    <cellStyle name="Normal 5 2 2 2 2 2 2 9" xfId="17458" xr:uid="{21FC22F3-91DF-45A2-81DD-2DC8A0E82C1A}"/>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2 2 2" xfId="32674" xr:uid="{FC77DC5A-E133-4965-A1E9-3162BAE549F6}"/>
    <cellStyle name="Normal 5 2 2 2 2 2 3 2 2 3" xfId="24233" xr:uid="{051A9987-2829-4CB9-950C-E270B0E71B6A}"/>
    <cellStyle name="Normal 5 2 2 2 2 2 3 2 2 4" xfId="15792" xr:uid="{F5EA8FFB-DC88-4B7E-ABC4-C32C24D3228D}"/>
    <cellStyle name="Normal 5 2 2 2 2 2 3 2 3" xfId="28456" xr:uid="{D90AC08F-57DD-49F1-9B14-FCE538B27359}"/>
    <cellStyle name="Normal 5 2 2 2 2 2 3 2 4" xfId="20015" xr:uid="{F9E15EFA-E995-45FD-B0AB-B371F4AD4749}"/>
    <cellStyle name="Normal 5 2 2 2 2 2 3 2 5" xfId="11574" xr:uid="{579B70F5-8994-4E16-BE8F-B201089A2D02}"/>
    <cellStyle name="Normal 5 2 2 2 2 2 3 3" xfId="5197" xr:uid="{00000000-0005-0000-0000-000011170000}"/>
    <cellStyle name="Normal 5 2 2 2 2 2 3 3 2" xfId="30529" xr:uid="{1AE4A6CD-7979-439D-86C1-32CFADD2C561}"/>
    <cellStyle name="Normal 5 2 2 2 2 2 3 3 3" xfId="22088" xr:uid="{AFDD4234-1DFE-489D-8986-1D6058EAD33E}"/>
    <cellStyle name="Normal 5 2 2 2 2 2 3 3 4" xfId="13647" xr:uid="{B9358424-6519-4737-90F8-04DBCE131E82}"/>
    <cellStyle name="Normal 5 2 2 2 2 2 3 4" xfId="26311" xr:uid="{025E5B24-42C2-48E4-9B7B-400F4FF7436E}"/>
    <cellStyle name="Normal 5 2 2 2 2 2 3 5" xfId="17870" xr:uid="{F8821F1E-3B12-4AEF-AAE6-A75C975C9DDB}"/>
    <cellStyle name="Normal 5 2 2 2 2 2 3 6" xfId="9429" xr:uid="{302911F8-C9ED-459C-B262-5196E47C68B1}"/>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2 2 2" xfId="33087" xr:uid="{96AF5FB1-EA4B-4C6F-B72A-3420E0A510A6}"/>
    <cellStyle name="Normal 5 2 2 2 2 2 4 2 2 3" xfId="24646" xr:uid="{987B2663-1502-4096-B54F-50E792FCDFC9}"/>
    <cellStyle name="Normal 5 2 2 2 2 2 4 2 2 4" xfId="16205" xr:uid="{0F9CA2DA-B75C-4E3D-8FA0-64C70AEFD435}"/>
    <cellStyle name="Normal 5 2 2 2 2 2 4 2 3" xfId="28869" xr:uid="{41C79B64-ED44-4804-B1F8-67A10C015C83}"/>
    <cellStyle name="Normal 5 2 2 2 2 2 4 2 4" xfId="20428" xr:uid="{FFDAF347-37D3-4834-816D-684C70263083}"/>
    <cellStyle name="Normal 5 2 2 2 2 2 4 2 5" xfId="11987" xr:uid="{4CE7F748-DD2E-4FC3-8F08-1CE180A140A8}"/>
    <cellStyle name="Normal 5 2 2 2 2 2 4 3" xfId="5610" xr:uid="{00000000-0005-0000-0000-000015170000}"/>
    <cellStyle name="Normal 5 2 2 2 2 2 4 3 2" xfId="30942" xr:uid="{034857A4-E139-4324-8474-BEE7273BDF8E}"/>
    <cellStyle name="Normal 5 2 2 2 2 2 4 3 3" xfId="22501" xr:uid="{557F5D95-0F9E-444C-8E01-BA401FA86D24}"/>
    <cellStyle name="Normal 5 2 2 2 2 2 4 3 4" xfId="14060" xr:uid="{3314B78B-F14A-4EC9-9831-78C00EC0ACBE}"/>
    <cellStyle name="Normal 5 2 2 2 2 2 4 4" xfId="26724" xr:uid="{7B7D6EAE-9EF1-4DF4-A29D-7FDB43F1931F}"/>
    <cellStyle name="Normal 5 2 2 2 2 2 4 5" xfId="18283" xr:uid="{D045E5B2-C0A4-48CE-8750-7B45CA464CC0}"/>
    <cellStyle name="Normal 5 2 2 2 2 2 4 6" xfId="9842" xr:uid="{0AEDE3D9-5559-46F3-9EAD-01FE155ABC46}"/>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2 2 2" xfId="33500" xr:uid="{2E6E37C0-B241-4F09-B9C6-296683F9AE4E}"/>
    <cellStyle name="Normal 5 2 2 2 2 2 5 2 2 3" xfId="25059" xr:uid="{0730E16B-C60F-4C78-B8EC-E3F3FFB5FBBD}"/>
    <cellStyle name="Normal 5 2 2 2 2 2 5 2 2 4" xfId="16618" xr:uid="{D79C2F16-05FA-45C8-9BF8-FD67D11D0DCC}"/>
    <cellStyle name="Normal 5 2 2 2 2 2 5 2 3" xfId="29282" xr:uid="{B0B7F2E1-2AD7-4743-AF2C-65BE9CE52744}"/>
    <cellStyle name="Normal 5 2 2 2 2 2 5 2 4" xfId="20841" xr:uid="{CF104CF4-43FA-444F-A70D-B0AEEE803FA1}"/>
    <cellStyle name="Normal 5 2 2 2 2 2 5 2 5" xfId="12400" xr:uid="{092E043C-4563-4CEE-883F-A620E3756C59}"/>
    <cellStyle name="Normal 5 2 2 2 2 2 5 3" xfId="6023" xr:uid="{00000000-0005-0000-0000-000019170000}"/>
    <cellStyle name="Normal 5 2 2 2 2 2 5 3 2" xfId="31355" xr:uid="{E276D58B-5391-484F-9EAF-4C768AF96C7A}"/>
    <cellStyle name="Normal 5 2 2 2 2 2 5 3 3" xfId="22914" xr:uid="{05E39657-01FE-4DE3-872E-1B8EC6B4EB37}"/>
    <cellStyle name="Normal 5 2 2 2 2 2 5 3 4" xfId="14473" xr:uid="{2BB5E979-30F7-48F5-9111-0877595006D3}"/>
    <cellStyle name="Normal 5 2 2 2 2 2 5 4" xfId="27137" xr:uid="{8107B16D-F18F-4BB2-A907-3BC1D381A062}"/>
    <cellStyle name="Normal 5 2 2 2 2 2 5 5" xfId="18696" xr:uid="{C3D6D357-1EA1-47F4-8042-95058CF44348}"/>
    <cellStyle name="Normal 5 2 2 2 2 2 5 6" xfId="10255" xr:uid="{90C54242-A942-4926-BBEA-AF5ED3946B91}"/>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2 2 2" xfId="33913" xr:uid="{13A77BDF-1CF5-41CC-AB4E-2195B082A097}"/>
    <cellStyle name="Normal 5 2 2 2 2 2 6 2 2 3" xfId="25472" xr:uid="{5631A947-EBE3-4122-A813-D9CF67BFC047}"/>
    <cellStyle name="Normal 5 2 2 2 2 2 6 2 2 4" xfId="17031" xr:uid="{71291D58-6D05-4FD2-9FA3-D98046710C13}"/>
    <cellStyle name="Normal 5 2 2 2 2 2 6 2 3" xfId="29695" xr:uid="{AA64C480-B771-4A6B-AD94-067FDDBADE14}"/>
    <cellStyle name="Normal 5 2 2 2 2 2 6 2 4" xfId="21254" xr:uid="{CFB68535-6FA5-4964-ADA4-47FE25CB1357}"/>
    <cellStyle name="Normal 5 2 2 2 2 2 6 2 5" xfId="12813" xr:uid="{54874AB9-C44C-4B1E-9C55-99C173656BEA}"/>
    <cellStyle name="Normal 5 2 2 2 2 2 6 3" xfId="6436" xr:uid="{00000000-0005-0000-0000-00001D170000}"/>
    <cellStyle name="Normal 5 2 2 2 2 2 6 3 2" xfId="31768" xr:uid="{9C602034-9E21-4A6A-AB18-F35C090A186C}"/>
    <cellStyle name="Normal 5 2 2 2 2 2 6 3 3" xfId="23327" xr:uid="{C8A7E26E-BCC9-4B8D-AF98-35584D1C60F6}"/>
    <cellStyle name="Normal 5 2 2 2 2 2 6 3 4" xfId="14886" xr:uid="{D94A09A5-7675-4CE6-BF1C-8E7CE953B56A}"/>
    <cellStyle name="Normal 5 2 2 2 2 2 6 4" xfId="27550" xr:uid="{C52CEE70-E935-4737-AB7E-B25CE29CB0AD}"/>
    <cellStyle name="Normal 5 2 2 2 2 2 6 5" xfId="19109" xr:uid="{099E5CC3-9233-45E0-BCD6-A1F250F9CB2C}"/>
    <cellStyle name="Normal 5 2 2 2 2 2 6 6" xfId="10668" xr:uid="{0036758F-0DD0-42ED-B1BD-9B31929E62E1}"/>
    <cellStyle name="Normal 5 2 2 2 2 2 7" xfId="2566" xr:uid="{00000000-0005-0000-0000-00001E170000}"/>
    <cellStyle name="Normal 5 2 2 2 2 2 7 2" xfId="6849" xr:uid="{00000000-0005-0000-0000-00001F170000}"/>
    <cellStyle name="Normal 5 2 2 2 2 2 7 2 2" xfId="32181" xr:uid="{12B54A36-8D40-4C1B-A570-795BBC2B1557}"/>
    <cellStyle name="Normal 5 2 2 2 2 2 7 2 3" xfId="23740" xr:uid="{61F82D20-A736-4491-A67A-27E0AD31F4F4}"/>
    <cellStyle name="Normal 5 2 2 2 2 2 7 2 4" xfId="15299" xr:uid="{4F3196FB-CDA0-4977-B6B1-48F118E50DA5}"/>
    <cellStyle name="Normal 5 2 2 2 2 2 7 3" xfId="27963" xr:uid="{29418637-308C-4FAA-85DC-3B9435CCFA88}"/>
    <cellStyle name="Normal 5 2 2 2 2 2 7 4" xfId="19522" xr:uid="{888E0EDF-9DAB-4909-9D51-B8C5A7DEDBFB}"/>
    <cellStyle name="Normal 5 2 2 2 2 2 7 5" xfId="11081" xr:uid="{DDBAA133-E8F2-4F19-9757-09D6A6891EB7}"/>
    <cellStyle name="Normal 5 2 2 2 2 2 8" xfId="4784" xr:uid="{00000000-0005-0000-0000-000020170000}"/>
    <cellStyle name="Normal 5 2 2 2 2 2 8 2" xfId="30116" xr:uid="{56C95D8B-2052-4F41-BB83-B96668E7FF6A}"/>
    <cellStyle name="Normal 5 2 2 2 2 2 8 3" xfId="21675" xr:uid="{01011968-309A-409B-AA22-DAB1D9E52070}"/>
    <cellStyle name="Normal 5 2 2 2 2 2 8 4" xfId="13234" xr:uid="{B790346D-56A3-48D5-A173-39B5133C8841}"/>
    <cellStyle name="Normal 5 2 2 2 2 2 9" xfId="25898" xr:uid="{98F62F9D-2019-4000-BC5C-7EE6D0C1CE57}"/>
    <cellStyle name="Normal 5 2 2 2 2 3" xfId="413" xr:uid="{00000000-0005-0000-0000-000021170000}"/>
    <cellStyle name="Normal 5 2 2 2 2 3 10" xfId="9018" xr:uid="{0C39CC7A-39DB-46EF-B99E-0584E21098EE}"/>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2 2 2" xfId="32676" xr:uid="{5F9F36C6-E8C2-4A03-A89A-6F0F7A7E1154}"/>
    <cellStyle name="Normal 5 2 2 2 2 3 2 2 2 3" xfId="24235" xr:uid="{576A6CF8-8E74-42A8-9FEE-9C605AC597A2}"/>
    <cellStyle name="Normal 5 2 2 2 2 3 2 2 2 4" xfId="15794" xr:uid="{FD234025-8687-4754-8CFD-6077E1727E32}"/>
    <cellStyle name="Normal 5 2 2 2 2 3 2 2 3" xfId="28458" xr:uid="{AE7B8DB3-649D-4B8C-8AA1-9A06B539DDDE}"/>
    <cellStyle name="Normal 5 2 2 2 2 3 2 2 4" xfId="20017" xr:uid="{CC4B8069-AEE0-4E40-B298-0C443F31E680}"/>
    <cellStyle name="Normal 5 2 2 2 2 3 2 2 5" xfId="11576" xr:uid="{53BA906C-551B-4043-9453-DDBE4D7A51D3}"/>
    <cellStyle name="Normal 5 2 2 2 2 3 2 3" xfId="5199" xr:uid="{00000000-0005-0000-0000-000025170000}"/>
    <cellStyle name="Normal 5 2 2 2 2 3 2 3 2" xfId="30531" xr:uid="{629136AC-39EB-46F1-8EB6-2C6166FE5B36}"/>
    <cellStyle name="Normal 5 2 2 2 2 3 2 3 3" xfId="22090" xr:uid="{28112018-E0D2-48AE-82EC-6DF1A11ED7DC}"/>
    <cellStyle name="Normal 5 2 2 2 2 3 2 3 4" xfId="13649" xr:uid="{0A868EB5-1A16-457B-89D3-762BCBBDD9C0}"/>
    <cellStyle name="Normal 5 2 2 2 2 3 2 4" xfId="26313" xr:uid="{B1402BAA-9FF0-4199-A926-90FD92ABFBB7}"/>
    <cellStyle name="Normal 5 2 2 2 2 3 2 5" xfId="17872" xr:uid="{CFD27E42-3574-467B-9AF9-27B2BEDC8306}"/>
    <cellStyle name="Normal 5 2 2 2 2 3 2 6" xfId="9431" xr:uid="{F2832EF7-C5C8-47E1-92E8-CA1918FDDD1A}"/>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2 2 2" xfId="33089" xr:uid="{63F52685-07E9-4664-9A4E-EF1E8456325E}"/>
    <cellStyle name="Normal 5 2 2 2 2 3 3 2 2 3" xfId="24648" xr:uid="{95129873-66A3-4E08-8514-16DD4DE32232}"/>
    <cellStyle name="Normal 5 2 2 2 2 3 3 2 2 4" xfId="16207" xr:uid="{3E9D856D-D376-48EA-8EB9-C7613273EC81}"/>
    <cellStyle name="Normal 5 2 2 2 2 3 3 2 3" xfId="28871" xr:uid="{D51E7203-227D-4D71-8C74-D75003AE7B24}"/>
    <cellStyle name="Normal 5 2 2 2 2 3 3 2 4" xfId="20430" xr:uid="{4C8C6EEF-E2A1-4474-9E65-EE9D049F816F}"/>
    <cellStyle name="Normal 5 2 2 2 2 3 3 2 5" xfId="11989" xr:uid="{F91C8523-D597-4C65-93F2-C5C20101D4B5}"/>
    <cellStyle name="Normal 5 2 2 2 2 3 3 3" xfId="5612" xr:uid="{00000000-0005-0000-0000-000029170000}"/>
    <cellStyle name="Normal 5 2 2 2 2 3 3 3 2" xfId="30944" xr:uid="{D1446FF7-F351-4748-91E5-071F705EBC8D}"/>
    <cellStyle name="Normal 5 2 2 2 2 3 3 3 3" xfId="22503" xr:uid="{6E85327C-1CB8-4BD8-AA3E-0C1A83E44C03}"/>
    <cellStyle name="Normal 5 2 2 2 2 3 3 3 4" xfId="14062" xr:uid="{8C02834E-6D6D-4F2A-B61F-EB527F7B6A4A}"/>
    <cellStyle name="Normal 5 2 2 2 2 3 3 4" xfId="26726" xr:uid="{AAAB5D9A-03B6-418C-BEC2-83E477AD0FBC}"/>
    <cellStyle name="Normal 5 2 2 2 2 3 3 5" xfId="18285" xr:uid="{655571D9-E7CA-45C3-93A1-78AF606D249B}"/>
    <cellStyle name="Normal 5 2 2 2 2 3 3 6" xfId="9844" xr:uid="{0F6A56C2-19B1-47BE-8DBE-F2B54FB56EB4}"/>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2 2 2" xfId="33502" xr:uid="{24474A4D-61A3-454B-BEED-84A807D56128}"/>
    <cellStyle name="Normal 5 2 2 2 2 3 4 2 2 3" xfId="25061" xr:uid="{6F170B25-10E6-4C2A-9534-702087697B6B}"/>
    <cellStyle name="Normal 5 2 2 2 2 3 4 2 2 4" xfId="16620" xr:uid="{6E50EFA0-7409-4B12-B770-6D28A05CE844}"/>
    <cellStyle name="Normal 5 2 2 2 2 3 4 2 3" xfId="29284" xr:uid="{54434D68-2E18-4577-A549-6A08A296D938}"/>
    <cellStyle name="Normal 5 2 2 2 2 3 4 2 4" xfId="20843" xr:uid="{617E9AE3-16A8-403B-B2D0-FC6F8058AC87}"/>
    <cellStyle name="Normal 5 2 2 2 2 3 4 2 5" xfId="12402" xr:uid="{5BC218F0-17B1-4FB7-BB1D-02C58A41D9C2}"/>
    <cellStyle name="Normal 5 2 2 2 2 3 4 3" xfId="6025" xr:uid="{00000000-0005-0000-0000-00002D170000}"/>
    <cellStyle name="Normal 5 2 2 2 2 3 4 3 2" xfId="31357" xr:uid="{F689AAF9-6B5D-4488-A43E-4B5066485521}"/>
    <cellStyle name="Normal 5 2 2 2 2 3 4 3 3" xfId="22916" xr:uid="{8503F9C9-9F96-44CF-994B-95CF9ED2105C}"/>
    <cellStyle name="Normal 5 2 2 2 2 3 4 3 4" xfId="14475" xr:uid="{165FD5A7-9D96-476F-AB41-BE36B9025C34}"/>
    <cellStyle name="Normal 5 2 2 2 2 3 4 4" xfId="27139" xr:uid="{888D34D0-28A7-416B-9600-4E886D97B07F}"/>
    <cellStyle name="Normal 5 2 2 2 2 3 4 5" xfId="18698" xr:uid="{03D32350-F756-4749-B072-3D6F24A0A4CD}"/>
    <cellStyle name="Normal 5 2 2 2 2 3 4 6" xfId="10257" xr:uid="{430FB671-EA3B-48C6-8250-0BA53BD46EE9}"/>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2 2 2" xfId="33915" xr:uid="{2453B361-5BA1-46B3-AF14-0ED380C8C1DA}"/>
    <cellStyle name="Normal 5 2 2 2 2 3 5 2 2 3" xfId="25474" xr:uid="{A2CF6D58-A0DD-4153-9663-BF5DC8D11EDA}"/>
    <cellStyle name="Normal 5 2 2 2 2 3 5 2 2 4" xfId="17033" xr:uid="{242518E7-9A26-489E-88D9-3C1F92AFEC90}"/>
    <cellStyle name="Normal 5 2 2 2 2 3 5 2 3" xfId="29697" xr:uid="{ECE07A38-1733-4FB4-A283-80BF53D42F51}"/>
    <cellStyle name="Normal 5 2 2 2 2 3 5 2 4" xfId="21256" xr:uid="{8D11B4FC-B823-47C3-B09C-E450190B7C2A}"/>
    <cellStyle name="Normal 5 2 2 2 2 3 5 2 5" xfId="12815" xr:uid="{9E2B40EA-7CBB-46B2-B671-1FFDD98424D6}"/>
    <cellStyle name="Normal 5 2 2 2 2 3 5 3" xfId="6438" xr:uid="{00000000-0005-0000-0000-000031170000}"/>
    <cellStyle name="Normal 5 2 2 2 2 3 5 3 2" xfId="31770" xr:uid="{95272647-CE66-4F16-B690-AD20603734B6}"/>
    <cellStyle name="Normal 5 2 2 2 2 3 5 3 3" xfId="23329" xr:uid="{8F64E8DB-6D7A-4A3D-8DC0-4163EB622573}"/>
    <cellStyle name="Normal 5 2 2 2 2 3 5 3 4" xfId="14888" xr:uid="{C2123F0A-B5AD-4AF0-8A39-E1689C3876C0}"/>
    <cellStyle name="Normal 5 2 2 2 2 3 5 4" xfId="27552" xr:uid="{58CDEFC5-0875-4A17-9CD4-0A3958FE331A}"/>
    <cellStyle name="Normal 5 2 2 2 2 3 5 5" xfId="19111" xr:uid="{205783BB-ABF4-4C23-BCC2-687B72A34D49}"/>
    <cellStyle name="Normal 5 2 2 2 2 3 5 6" xfId="10670" xr:uid="{A87CC3C5-212E-475E-9602-9F5472217D3A}"/>
    <cellStyle name="Normal 5 2 2 2 2 3 6" xfId="2568" xr:uid="{00000000-0005-0000-0000-000032170000}"/>
    <cellStyle name="Normal 5 2 2 2 2 3 6 2" xfId="6851" xr:uid="{00000000-0005-0000-0000-000033170000}"/>
    <cellStyle name="Normal 5 2 2 2 2 3 6 2 2" xfId="32183" xr:uid="{4D93701D-55AF-4049-8F5F-613B2DDB6F60}"/>
    <cellStyle name="Normal 5 2 2 2 2 3 6 2 3" xfId="23742" xr:uid="{05C17D0B-185F-4D28-BD31-F4CD2102B906}"/>
    <cellStyle name="Normal 5 2 2 2 2 3 6 2 4" xfId="15301" xr:uid="{D4FDA73E-A09B-483B-AB7C-A94E3AEA870C}"/>
    <cellStyle name="Normal 5 2 2 2 2 3 6 3" xfId="27965" xr:uid="{D5C86A15-C179-49DB-9582-40578AED46DC}"/>
    <cellStyle name="Normal 5 2 2 2 2 3 6 4" xfId="19524" xr:uid="{9FB84CA6-B62C-4DAB-932C-2766B8208EF8}"/>
    <cellStyle name="Normal 5 2 2 2 2 3 6 5" xfId="11083" xr:uid="{50C7AF29-73DC-4043-BE33-C5686E3E7E3A}"/>
    <cellStyle name="Normal 5 2 2 2 2 3 7" xfId="4786" xr:uid="{00000000-0005-0000-0000-000034170000}"/>
    <cellStyle name="Normal 5 2 2 2 2 3 7 2" xfId="30118" xr:uid="{B9EB80DD-5118-4364-9005-ACA11736F5AB}"/>
    <cellStyle name="Normal 5 2 2 2 2 3 7 3" xfId="21677" xr:uid="{25C779E4-48BF-48A7-9238-35682E475812}"/>
    <cellStyle name="Normal 5 2 2 2 2 3 7 4" xfId="13236" xr:uid="{61174227-12AE-42B6-8E74-1D566098129D}"/>
    <cellStyle name="Normal 5 2 2 2 2 3 8" xfId="25900" xr:uid="{1A2D732F-33DB-4E15-A248-2F249B7ACB37}"/>
    <cellStyle name="Normal 5 2 2 2 2 3 9" xfId="17459" xr:uid="{3289BC10-2EB8-4AFE-9495-D6876887243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2 2 2" xfId="32673" xr:uid="{100F040C-38CA-4A6B-8346-AD9BF6B7AAF5}"/>
    <cellStyle name="Normal 5 2 2 2 2 4 2 2 3" xfId="24232" xr:uid="{F65AF5C0-DCFF-4C7E-A205-9993486EC8A2}"/>
    <cellStyle name="Normal 5 2 2 2 2 4 2 2 4" xfId="15791" xr:uid="{63F91484-1091-420B-B533-38A60B5C82DD}"/>
    <cellStyle name="Normal 5 2 2 2 2 4 2 3" xfId="28455" xr:uid="{AD17BBF7-65BE-4142-9041-AF78B21093D2}"/>
    <cellStyle name="Normal 5 2 2 2 2 4 2 4" xfId="20014" xr:uid="{698D9A5D-70DE-434F-A331-74A9A72A991D}"/>
    <cellStyle name="Normal 5 2 2 2 2 4 2 5" xfId="11573" xr:uid="{050AC7A6-FEB2-4731-85B8-6B5A52703BA0}"/>
    <cellStyle name="Normal 5 2 2 2 2 4 3" xfId="5196" xr:uid="{00000000-0005-0000-0000-000038170000}"/>
    <cellStyle name="Normal 5 2 2 2 2 4 3 2" xfId="30528" xr:uid="{6B25D51D-A71C-4CDF-8E3C-F7568DEE3445}"/>
    <cellStyle name="Normal 5 2 2 2 2 4 3 3" xfId="22087" xr:uid="{196F4A98-18CD-4CD0-B3E5-BA3AC3F359BF}"/>
    <cellStyle name="Normal 5 2 2 2 2 4 3 4" xfId="13646" xr:uid="{F39311AA-FC09-4089-956D-2A86D29E33D6}"/>
    <cellStyle name="Normal 5 2 2 2 2 4 4" xfId="26310" xr:uid="{77D9C571-AFBC-452F-860A-64746BF9CBEC}"/>
    <cellStyle name="Normal 5 2 2 2 2 4 5" xfId="17869" xr:uid="{91DD2136-AAAC-429A-8ED8-EEBFBFB91C4D}"/>
    <cellStyle name="Normal 5 2 2 2 2 4 6" xfId="9428" xr:uid="{D1AB378E-D34F-420D-B603-AE1738E3AECD}"/>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2 2 2" xfId="33086" xr:uid="{340177BA-1066-4E09-B87D-50BBD91239F5}"/>
    <cellStyle name="Normal 5 2 2 2 2 5 2 2 3" xfId="24645" xr:uid="{F969A287-547F-48AE-A6DE-84FBF81CF6CC}"/>
    <cellStyle name="Normal 5 2 2 2 2 5 2 2 4" xfId="16204" xr:uid="{B3B438D3-7562-43D2-BB39-E9A50651F3CF}"/>
    <cellStyle name="Normal 5 2 2 2 2 5 2 3" xfId="28868" xr:uid="{2A9151E3-A9E3-4E12-A697-86578CC29B0B}"/>
    <cellStyle name="Normal 5 2 2 2 2 5 2 4" xfId="20427" xr:uid="{D3CAE7AD-8798-4C27-8013-119C09FE5D70}"/>
    <cellStyle name="Normal 5 2 2 2 2 5 2 5" xfId="11986" xr:uid="{B249E413-BBDD-451E-AD53-30C73F1ACA02}"/>
    <cellStyle name="Normal 5 2 2 2 2 5 3" xfId="5609" xr:uid="{00000000-0005-0000-0000-00003C170000}"/>
    <cellStyle name="Normal 5 2 2 2 2 5 3 2" xfId="30941" xr:uid="{A63E82B4-22FB-46D1-9B89-BCB23A398F55}"/>
    <cellStyle name="Normal 5 2 2 2 2 5 3 3" xfId="22500" xr:uid="{63143274-7CBB-42A6-9484-8B60FD568846}"/>
    <cellStyle name="Normal 5 2 2 2 2 5 3 4" xfId="14059" xr:uid="{C15EE6D2-D337-45EB-A64F-559F23427CAE}"/>
    <cellStyle name="Normal 5 2 2 2 2 5 4" xfId="26723" xr:uid="{C3D95AAE-63EB-460B-AC1F-753AD5B0BE58}"/>
    <cellStyle name="Normal 5 2 2 2 2 5 5" xfId="18282" xr:uid="{BC25672A-F8DC-467A-9F04-24076D2A1817}"/>
    <cellStyle name="Normal 5 2 2 2 2 5 6" xfId="9841" xr:uid="{BA5430CD-C446-4803-BFED-9A86E3786C74}"/>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2 2 2" xfId="33499" xr:uid="{6247E57B-902C-4C75-8781-ECF2FF389988}"/>
    <cellStyle name="Normal 5 2 2 2 2 6 2 2 3" xfId="25058" xr:uid="{91CA0D40-9394-4B48-92C3-39AF85BD20E4}"/>
    <cellStyle name="Normal 5 2 2 2 2 6 2 2 4" xfId="16617" xr:uid="{CF5A7F6C-C37E-4D93-B472-4A2D0DB5B8E4}"/>
    <cellStyle name="Normal 5 2 2 2 2 6 2 3" xfId="29281" xr:uid="{58670F23-8DC6-49B3-906F-6082CCD49EAF}"/>
    <cellStyle name="Normal 5 2 2 2 2 6 2 4" xfId="20840" xr:uid="{D9864D07-D329-441A-AF89-549F5C9880E0}"/>
    <cellStyle name="Normal 5 2 2 2 2 6 2 5" xfId="12399" xr:uid="{9C3601D6-87C8-4AC7-BB43-CFBC14AC800D}"/>
    <cellStyle name="Normal 5 2 2 2 2 6 3" xfId="6022" xr:uid="{00000000-0005-0000-0000-000040170000}"/>
    <cellStyle name="Normal 5 2 2 2 2 6 3 2" xfId="31354" xr:uid="{71B12A4B-D549-42F9-8816-95DC87F5FB78}"/>
    <cellStyle name="Normal 5 2 2 2 2 6 3 3" xfId="22913" xr:uid="{326F68D4-F4A4-43E8-99F7-4D43E762D585}"/>
    <cellStyle name="Normal 5 2 2 2 2 6 3 4" xfId="14472" xr:uid="{83849C34-6ECD-4D0A-9AE8-8B9F2749E836}"/>
    <cellStyle name="Normal 5 2 2 2 2 6 4" xfId="27136" xr:uid="{879F6BC3-0EB8-43CE-80D3-4B080BFD2C6E}"/>
    <cellStyle name="Normal 5 2 2 2 2 6 5" xfId="18695" xr:uid="{9A378B65-363C-40EA-A829-C97D0245C74C}"/>
    <cellStyle name="Normal 5 2 2 2 2 6 6" xfId="10254" xr:uid="{A4E064F5-E46F-4C0D-9DC8-9C80ABF0EA37}"/>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2 2 2" xfId="33912" xr:uid="{D6229C49-032A-4837-B318-6D4F12FEF491}"/>
    <cellStyle name="Normal 5 2 2 2 2 7 2 2 3" xfId="25471" xr:uid="{63DE55B8-8C82-475B-837E-A6E7E2ADDA78}"/>
    <cellStyle name="Normal 5 2 2 2 2 7 2 2 4" xfId="17030" xr:uid="{421FB896-85C1-4D06-9E05-460EA93F1FD8}"/>
    <cellStyle name="Normal 5 2 2 2 2 7 2 3" xfId="29694" xr:uid="{F1E628AE-2B8D-4AE0-913D-16B144FDC532}"/>
    <cellStyle name="Normal 5 2 2 2 2 7 2 4" xfId="21253" xr:uid="{AD66688E-7ECB-4A5E-ABCF-A509402325DD}"/>
    <cellStyle name="Normal 5 2 2 2 2 7 2 5" xfId="12812" xr:uid="{169A9836-A2E0-4AE0-B2B2-C678B4C380AB}"/>
    <cellStyle name="Normal 5 2 2 2 2 7 3" xfId="6435" xr:uid="{00000000-0005-0000-0000-000044170000}"/>
    <cellStyle name="Normal 5 2 2 2 2 7 3 2" xfId="31767" xr:uid="{5A3F9B10-B82B-41F3-8318-518432D1C54A}"/>
    <cellStyle name="Normal 5 2 2 2 2 7 3 3" xfId="23326" xr:uid="{18F1FD35-A13C-40A5-B66B-4154CC9E305C}"/>
    <cellStyle name="Normal 5 2 2 2 2 7 3 4" xfId="14885" xr:uid="{EF438E92-98F2-482E-BDFA-33C4B1692220}"/>
    <cellStyle name="Normal 5 2 2 2 2 7 4" xfId="27549" xr:uid="{70763964-D86A-4361-964F-CDF9EE98BB87}"/>
    <cellStyle name="Normal 5 2 2 2 2 7 5" xfId="19108" xr:uid="{B9401BD1-F7BD-4915-9AFB-FA2AF971CD35}"/>
    <cellStyle name="Normal 5 2 2 2 2 7 6" xfId="10667" xr:uid="{E9376F2A-BE8A-444D-8C3C-CFFBB97F8C0D}"/>
    <cellStyle name="Normal 5 2 2 2 2 8" xfId="2565" xr:uid="{00000000-0005-0000-0000-000045170000}"/>
    <cellStyle name="Normal 5 2 2 2 2 8 2" xfId="6848" xr:uid="{00000000-0005-0000-0000-000046170000}"/>
    <cellStyle name="Normal 5 2 2 2 2 8 2 2" xfId="32180" xr:uid="{AFE1C1A4-BF8F-4FA9-8A71-DCFFA3EFBCB9}"/>
    <cellStyle name="Normal 5 2 2 2 2 8 2 3" xfId="23739" xr:uid="{50D8CC5D-0319-4991-90A7-97900188806A}"/>
    <cellStyle name="Normal 5 2 2 2 2 8 2 4" xfId="15298" xr:uid="{25235798-3FA2-4F94-9BC7-0EEEC24D9BF7}"/>
    <cellStyle name="Normal 5 2 2 2 2 8 3" xfId="27962" xr:uid="{57C7EEE0-6972-4845-B3DE-FB1E98EB9317}"/>
    <cellStyle name="Normal 5 2 2 2 2 8 4" xfId="19521" xr:uid="{10896851-E718-46EB-8B16-BBB009163806}"/>
    <cellStyle name="Normal 5 2 2 2 2 8 5" xfId="11080" xr:uid="{C813CF41-30F2-4763-A5E1-02E54A6497F0}"/>
    <cellStyle name="Normal 5 2 2 2 2 9" xfId="4783" xr:uid="{00000000-0005-0000-0000-000047170000}"/>
    <cellStyle name="Normal 5 2 2 2 2 9 2" xfId="30115" xr:uid="{6FD11B32-E0A6-437B-84B5-5ADC9233066C}"/>
    <cellStyle name="Normal 5 2 2 2 2 9 3" xfId="21674" xr:uid="{51A9BE5F-C7A1-404A-9B40-57601E41630A}"/>
    <cellStyle name="Normal 5 2 2 2 2 9 4" xfId="13233" xr:uid="{58E9AE31-1E82-4DD2-BA76-2C918204572A}"/>
    <cellStyle name="Normal 5 2 2 2 3" xfId="414" xr:uid="{00000000-0005-0000-0000-000048170000}"/>
    <cellStyle name="Normal 5 2 2 2 3 10" xfId="17460" xr:uid="{BED63AE9-8379-442F-85B2-9BAF00435317}"/>
    <cellStyle name="Normal 5 2 2 2 3 11" xfId="9019" xr:uid="{E9A91468-59F9-4338-B695-5F15F03FF2C9}"/>
    <cellStyle name="Normal 5 2 2 2 3 2" xfId="415" xr:uid="{00000000-0005-0000-0000-000049170000}"/>
    <cellStyle name="Normal 5 2 2 2 3 2 10" xfId="9020" xr:uid="{8CEA602F-990F-4E66-A506-1D37AF0DB1F3}"/>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2 2 2" xfId="32678" xr:uid="{5A9FEB00-0E02-4AC2-8E9F-48408AE06123}"/>
    <cellStyle name="Normal 5 2 2 2 3 2 2 2 2 3" xfId="24237" xr:uid="{096724A2-80BB-44BA-A120-A9ACE5FFC010}"/>
    <cellStyle name="Normal 5 2 2 2 3 2 2 2 2 4" xfId="15796" xr:uid="{DF4BA8A7-EEA9-478F-B8EF-7ECAB278E17E}"/>
    <cellStyle name="Normal 5 2 2 2 3 2 2 2 3" xfId="28460" xr:uid="{33C574AF-1F49-44BA-87CE-A9EEC3FC7596}"/>
    <cellStyle name="Normal 5 2 2 2 3 2 2 2 4" xfId="20019" xr:uid="{E118D583-0B67-454F-992D-F2C66811EF06}"/>
    <cellStyle name="Normal 5 2 2 2 3 2 2 2 5" xfId="11578" xr:uid="{BA6FF7B3-9888-44C1-AEAA-797ED72FCFC6}"/>
    <cellStyle name="Normal 5 2 2 2 3 2 2 3" xfId="5201" xr:uid="{00000000-0005-0000-0000-00004D170000}"/>
    <cellStyle name="Normal 5 2 2 2 3 2 2 3 2" xfId="30533" xr:uid="{4094A7CE-209B-4879-8E02-2D337544B932}"/>
    <cellStyle name="Normal 5 2 2 2 3 2 2 3 3" xfId="22092" xr:uid="{3A8BA301-6530-4EEE-80BE-3E09367D0D89}"/>
    <cellStyle name="Normal 5 2 2 2 3 2 2 3 4" xfId="13651" xr:uid="{9AAF404E-6659-4FA4-8655-99BF49264EF5}"/>
    <cellStyle name="Normal 5 2 2 2 3 2 2 4" xfId="26315" xr:uid="{067571DC-5E39-42A9-B4D0-40D6EF7997A4}"/>
    <cellStyle name="Normal 5 2 2 2 3 2 2 5" xfId="17874" xr:uid="{E3CDF7E5-BC41-43A3-9887-0ED6DDD39CC4}"/>
    <cellStyle name="Normal 5 2 2 2 3 2 2 6" xfId="9433" xr:uid="{0AB474B5-EA69-4101-A948-5379CC9F12DC}"/>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2 2 2" xfId="33091" xr:uid="{95481859-59BF-425C-AC07-50C3A6368A54}"/>
    <cellStyle name="Normal 5 2 2 2 3 2 3 2 2 3" xfId="24650" xr:uid="{E77B7415-D4EE-4A96-A79E-93723F3B5B6E}"/>
    <cellStyle name="Normal 5 2 2 2 3 2 3 2 2 4" xfId="16209" xr:uid="{CD02EFA5-7A0D-4328-97D6-2553DAF55A4A}"/>
    <cellStyle name="Normal 5 2 2 2 3 2 3 2 3" xfId="28873" xr:uid="{489ED2E8-2EAF-4E37-AE0A-7F547004DD3A}"/>
    <cellStyle name="Normal 5 2 2 2 3 2 3 2 4" xfId="20432" xr:uid="{8FE7C3E1-D982-4C5B-965B-43C0B6C023D3}"/>
    <cellStyle name="Normal 5 2 2 2 3 2 3 2 5" xfId="11991" xr:uid="{2206B547-C11B-4DEB-A58C-1DB11CF4B70C}"/>
    <cellStyle name="Normal 5 2 2 2 3 2 3 3" xfId="5614" xr:uid="{00000000-0005-0000-0000-000051170000}"/>
    <cellStyle name="Normal 5 2 2 2 3 2 3 3 2" xfId="30946" xr:uid="{A4D74113-9825-4ADF-B193-25A43CDBB0B0}"/>
    <cellStyle name="Normal 5 2 2 2 3 2 3 3 3" xfId="22505" xr:uid="{C8A0BE13-D04F-4258-9316-DCA1800011A8}"/>
    <cellStyle name="Normal 5 2 2 2 3 2 3 3 4" xfId="14064" xr:uid="{DC98BE34-C19F-4C95-94C7-FB19703C3087}"/>
    <cellStyle name="Normal 5 2 2 2 3 2 3 4" xfId="26728" xr:uid="{6A4B15C7-70F4-43C0-A46E-3317820B8AF7}"/>
    <cellStyle name="Normal 5 2 2 2 3 2 3 5" xfId="18287" xr:uid="{A235ECF2-666C-47D7-BB98-E87F949981AF}"/>
    <cellStyle name="Normal 5 2 2 2 3 2 3 6" xfId="9846" xr:uid="{33CF3A85-ED82-4313-9BBE-416C1B25EDC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2 2 2" xfId="33504" xr:uid="{57D299C3-D442-46CA-8216-01B7CCD63BE1}"/>
    <cellStyle name="Normal 5 2 2 2 3 2 4 2 2 3" xfId="25063" xr:uid="{29389683-D995-4906-8A3D-8F04CC2FB155}"/>
    <cellStyle name="Normal 5 2 2 2 3 2 4 2 2 4" xfId="16622" xr:uid="{04E8C998-71A9-42EE-A537-99A4A778DA87}"/>
    <cellStyle name="Normal 5 2 2 2 3 2 4 2 3" xfId="29286" xr:uid="{6EAE2F74-FBD2-4B63-98DE-CBCAF492A8D5}"/>
    <cellStyle name="Normal 5 2 2 2 3 2 4 2 4" xfId="20845" xr:uid="{C18B8746-9A63-44A1-9713-1904B839146D}"/>
    <cellStyle name="Normal 5 2 2 2 3 2 4 2 5" xfId="12404" xr:uid="{17B97357-20A8-4825-9689-6EB3216E68E1}"/>
    <cellStyle name="Normal 5 2 2 2 3 2 4 3" xfId="6027" xr:uid="{00000000-0005-0000-0000-000055170000}"/>
    <cellStyle name="Normal 5 2 2 2 3 2 4 3 2" xfId="31359" xr:uid="{623A22A1-E669-4234-924D-432B397C57B3}"/>
    <cellStyle name="Normal 5 2 2 2 3 2 4 3 3" xfId="22918" xr:uid="{893FF3F4-99B2-402A-8DD0-0CA9B7868923}"/>
    <cellStyle name="Normal 5 2 2 2 3 2 4 3 4" xfId="14477" xr:uid="{C196D509-D0D0-45ED-AAD3-1663EC0642F5}"/>
    <cellStyle name="Normal 5 2 2 2 3 2 4 4" xfId="27141" xr:uid="{DC45C3AD-4262-4027-8850-A36EA73EA7EA}"/>
    <cellStyle name="Normal 5 2 2 2 3 2 4 5" xfId="18700" xr:uid="{FD08CD52-BB4A-40E8-8C20-D5A92F67BFBC}"/>
    <cellStyle name="Normal 5 2 2 2 3 2 4 6" xfId="10259" xr:uid="{E7A14653-58C4-4E15-828E-5B58A6F3B5DC}"/>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2 2 2" xfId="33917" xr:uid="{7A068A5D-5227-48EF-99B9-8099ECA2D19C}"/>
    <cellStyle name="Normal 5 2 2 2 3 2 5 2 2 3" xfId="25476" xr:uid="{DBD3991A-BFBD-48C3-86B2-B12B26285B96}"/>
    <cellStyle name="Normal 5 2 2 2 3 2 5 2 2 4" xfId="17035" xr:uid="{ACE737BA-D524-421B-BE1E-99B3E7C75DD2}"/>
    <cellStyle name="Normal 5 2 2 2 3 2 5 2 3" xfId="29699" xr:uid="{5027A6D0-A437-4ECC-90CB-079B546A2BDA}"/>
    <cellStyle name="Normal 5 2 2 2 3 2 5 2 4" xfId="21258" xr:uid="{CA04D1B1-120D-4F1C-B575-95B313138308}"/>
    <cellStyle name="Normal 5 2 2 2 3 2 5 2 5" xfId="12817" xr:uid="{908D36B3-9066-4EC5-8B58-0A5FE577FC9C}"/>
    <cellStyle name="Normal 5 2 2 2 3 2 5 3" xfId="6440" xr:uid="{00000000-0005-0000-0000-000059170000}"/>
    <cellStyle name="Normal 5 2 2 2 3 2 5 3 2" xfId="31772" xr:uid="{58C0E8AC-6396-4CF0-9664-5CC36A5D2583}"/>
    <cellStyle name="Normal 5 2 2 2 3 2 5 3 3" xfId="23331" xr:uid="{2159D2E2-A856-4187-9FBA-5C7BA74F74DA}"/>
    <cellStyle name="Normal 5 2 2 2 3 2 5 3 4" xfId="14890" xr:uid="{543D846E-AB31-4444-84C2-295F1C1ED788}"/>
    <cellStyle name="Normal 5 2 2 2 3 2 5 4" xfId="27554" xr:uid="{4367338B-D176-4969-A9CF-B9D8C62FD100}"/>
    <cellStyle name="Normal 5 2 2 2 3 2 5 5" xfId="19113" xr:uid="{EC1018D8-B4AC-4326-8A0D-5196B8A6D855}"/>
    <cellStyle name="Normal 5 2 2 2 3 2 5 6" xfId="10672" xr:uid="{30E3C84A-0F8D-4BEB-BB90-53D950EFC11E}"/>
    <cellStyle name="Normal 5 2 2 2 3 2 6" xfId="2570" xr:uid="{00000000-0005-0000-0000-00005A170000}"/>
    <cellStyle name="Normal 5 2 2 2 3 2 6 2" xfId="6853" xr:uid="{00000000-0005-0000-0000-00005B170000}"/>
    <cellStyle name="Normal 5 2 2 2 3 2 6 2 2" xfId="32185" xr:uid="{E56F284D-912D-487D-8DD1-7B050304FD96}"/>
    <cellStyle name="Normal 5 2 2 2 3 2 6 2 3" xfId="23744" xr:uid="{8CB7094A-D3D0-4892-826D-9DFF853558F4}"/>
    <cellStyle name="Normal 5 2 2 2 3 2 6 2 4" xfId="15303" xr:uid="{832EAE9B-BE09-4438-97FF-0AF42E2B2FC5}"/>
    <cellStyle name="Normal 5 2 2 2 3 2 6 3" xfId="27967" xr:uid="{2E4CB430-5CDD-4A75-84D4-2D4C373010BF}"/>
    <cellStyle name="Normal 5 2 2 2 3 2 6 4" xfId="19526" xr:uid="{0A86F0C8-AFEC-4D1C-996B-29524B264D5B}"/>
    <cellStyle name="Normal 5 2 2 2 3 2 6 5" xfId="11085" xr:uid="{9FA4D897-2DA3-4594-9BB7-3F461DE86048}"/>
    <cellStyle name="Normal 5 2 2 2 3 2 7" xfId="4788" xr:uid="{00000000-0005-0000-0000-00005C170000}"/>
    <cellStyle name="Normal 5 2 2 2 3 2 7 2" xfId="30120" xr:uid="{DD6BA710-704E-478F-BA0E-1C53635F0FC1}"/>
    <cellStyle name="Normal 5 2 2 2 3 2 7 3" xfId="21679" xr:uid="{9DAD742C-6C94-4156-B22B-CFBCC3E44EAB}"/>
    <cellStyle name="Normal 5 2 2 2 3 2 7 4" xfId="13238" xr:uid="{B574CA30-0D74-4991-9188-11B0F4C95F84}"/>
    <cellStyle name="Normal 5 2 2 2 3 2 8" xfId="25902" xr:uid="{3D9B282A-DBAB-480B-84C7-088F09D3AA4A}"/>
    <cellStyle name="Normal 5 2 2 2 3 2 9" xfId="17461" xr:uid="{3D124308-96AC-45CE-93D3-8572362D667D}"/>
    <cellStyle name="Normal 5 2 2 2 3 3" xfId="888" xr:uid="{00000000-0005-0000-0000-00005D170000}"/>
    <cellStyle name="Normal 5 2 2 2 3 3 2" xfId="3123" xr:uid="{00000000-0005-0000-0000-00005E170000}"/>
    <cellStyle name="Normal 5 2 2 2 3 3 2 2" xfId="7345" xr:uid="{00000000-0005-0000-0000-00005F170000}"/>
    <cellStyle name="Normal 5 2 2 2 3 3 2 2 2" xfId="32677" xr:uid="{72FB13BB-F4DF-4540-9190-D8CDABE3BFDF}"/>
    <cellStyle name="Normal 5 2 2 2 3 3 2 2 3" xfId="24236" xr:uid="{D05285B1-CA78-4F2F-B7C6-BC90C342F424}"/>
    <cellStyle name="Normal 5 2 2 2 3 3 2 2 4" xfId="15795" xr:uid="{F7F8800C-F926-4879-825C-426AE52EA2D1}"/>
    <cellStyle name="Normal 5 2 2 2 3 3 2 3" xfId="28459" xr:uid="{282AAA87-B29E-461C-B451-8D7FE4F59748}"/>
    <cellStyle name="Normal 5 2 2 2 3 3 2 4" xfId="20018" xr:uid="{2E69D7C7-881E-48D3-935E-0D33020BC43C}"/>
    <cellStyle name="Normal 5 2 2 2 3 3 2 5" xfId="11577" xr:uid="{02AC8D07-7936-4445-9F9B-E1FB2ADDD492}"/>
    <cellStyle name="Normal 5 2 2 2 3 3 3" xfId="5200" xr:uid="{00000000-0005-0000-0000-000060170000}"/>
    <cellStyle name="Normal 5 2 2 2 3 3 3 2" xfId="30532" xr:uid="{12D75D2D-4F00-4C4E-8AE8-5991B5191058}"/>
    <cellStyle name="Normal 5 2 2 2 3 3 3 3" xfId="22091" xr:uid="{F21E34A8-A42C-4F7F-BC14-8340A080A362}"/>
    <cellStyle name="Normal 5 2 2 2 3 3 3 4" xfId="13650" xr:uid="{6067A2AA-0091-4FB5-914F-56B1626C6D21}"/>
    <cellStyle name="Normal 5 2 2 2 3 3 4" xfId="26314" xr:uid="{8A792D73-8880-4E7D-BDCA-E602D6C118C2}"/>
    <cellStyle name="Normal 5 2 2 2 3 3 5" xfId="17873" xr:uid="{1752B66C-A6F4-45B0-9C3E-8BB6B8906CF5}"/>
    <cellStyle name="Normal 5 2 2 2 3 3 6" xfId="9432" xr:uid="{AA65CFC4-EB5A-4691-B83C-1228FE42B0A4}"/>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2 2 2" xfId="33090" xr:uid="{D151DA3C-4658-46CE-A3E9-31E73A6907CD}"/>
    <cellStyle name="Normal 5 2 2 2 3 4 2 2 3" xfId="24649" xr:uid="{B316A912-766E-4ADD-A587-6ACBCC32BC83}"/>
    <cellStyle name="Normal 5 2 2 2 3 4 2 2 4" xfId="16208" xr:uid="{1F22370D-ADA1-4B39-8CC5-6F827F0E043B}"/>
    <cellStyle name="Normal 5 2 2 2 3 4 2 3" xfId="28872" xr:uid="{028B11BD-AF83-449B-BE1E-BBCC3878D662}"/>
    <cellStyle name="Normal 5 2 2 2 3 4 2 4" xfId="20431" xr:uid="{8009A2B1-7D55-4E20-BFD4-EEA384D4500C}"/>
    <cellStyle name="Normal 5 2 2 2 3 4 2 5" xfId="11990" xr:uid="{9026E728-D164-4DDD-AD9E-70CD8A861A3A}"/>
    <cellStyle name="Normal 5 2 2 2 3 4 3" xfId="5613" xr:uid="{00000000-0005-0000-0000-000064170000}"/>
    <cellStyle name="Normal 5 2 2 2 3 4 3 2" xfId="30945" xr:uid="{99306201-DD53-4EE4-9FB9-68A1B324BEF9}"/>
    <cellStyle name="Normal 5 2 2 2 3 4 3 3" xfId="22504" xr:uid="{EBDADE89-FE3D-43E8-97C3-2DD7A7403FA9}"/>
    <cellStyle name="Normal 5 2 2 2 3 4 3 4" xfId="14063" xr:uid="{45ED0798-36D9-4676-BE58-B0A552E625F0}"/>
    <cellStyle name="Normal 5 2 2 2 3 4 4" xfId="26727" xr:uid="{9848D023-1A43-468B-B86D-C6061EB8EC95}"/>
    <cellStyle name="Normal 5 2 2 2 3 4 5" xfId="18286" xr:uid="{06765C16-CE3E-4B18-834D-881CCB624BA3}"/>
    <cellStyle name="Normal 5 2 2 2 3 4 6" xfId="9845" xr:uid="{85CFC01C-F4D3-46B4-9F7E-D6107EE09C98}"/>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2 2 2" xfId="33503" xr:uid="{F04F480A-FE46-420A-AD28-F3C7DB542231}"/>
    <cellStyle name="Normal 5 2 2 2 3 5 2 2 3" xfId="25062" xr:uid="{184E77AF-F5BF-45A2-BF19-B849556C6DAF}"/>
    <cellStyle name="Normal 5 2 2 2 3 5 2 2 4" xfId="16621" xr:uid="{AA512462-A5DC-4320-898F-437A18A05519}"/>
    <cellStyle name="Normal 5 2 2 2 3 5 2 3" xfId="29285" xr:uid="{0BFE3547-1F2A-4DD3-8CC8-D397DA297A98}"/>
    <cellStyle name="Normal 5 2 2 2 3 5 2 4" xfId="20844" xr:uid="{DBF18A7B-28A8-43E0-848F-2968212CB0A0}"/>
    <cellStyle name="Normal 5 2 2 2 3 5 2 5" xfId="12403" xr:uid="{1C34D7B0-1C0B-4480-8F2E-92A4BC1D1104}"/>
    <cellStyle name="Normal 5 2 2 2 3 5 3" xfId="6026" xr:uid="{00000000-0005-0000-0000-000068170000}"/>
    <cellStyle name="Normal 5 2 2 2 3 5 3 2" xfId="31358" xr:uid="{2502547A-095B-41CE-A72D-AA0BE35FB9B9}"/>
    <cellStyle name="Normal 5 2 2 2 3 5 3 3" xfId="22917" xr:uid="{1D8E89C6-0FC6-4712-A553-72381D825C66}"/>
    <cellStyle name="Normal 5 2 2 2 3 5 3 4" xfId="14476" xr:uid="{266CFE5D-0B96-4D79-8CBD-A8966616A838}"/>
    <cellStyle name="Normal 5 2 2 2 3 5 4" xfId="27140" xr:uid="{91546D18-53E7-499A-8DC7-C8B618427799}"/>
    <cellStyle name="Normal 5 2 2 2 3 5 5" xfId="18699" xr:uid="{0840078E-68B9-4699-BE88-0DA084538084}"/>
    <cellStyle name="Normal 5 2 2 2 3 5 6" xfId="10258" xr:uid="{8C6E09DE-C657-47CD-ABCD-652F15DC89FE}"/>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2 2 2" xfId="33916" xr:uid="{8D5343E6-4281-428D-88C8-56ACE0B7B705}"/>
    <cellStyle name="Normal 5 2 2 2 3 6 2 2 3" xfId="25475" xr:uid="{42138D72-D55D-46BA-BE9F-0DD522FF53F4}"/>
    <cellStyle name="Normal 5 2 2 2 3 6 2 2 4" xfId="17034" xr:uid="{0FE51223-F469-466B-A55F-247BCF96F47A}"/>
    <cellStyle name="Normal 5 2 2 2 3 6 2 3" xfId="29698" xr:uid="{A9A1C946-A04D-451D-8A7F-22262146602F}"/>
    <cellStyle name="Normal 5 2 2 2 3 6 2 4" xfId="21257" xr:uid="{874B19BE-D41B-462B-9B7F-2D6EBD324AD5}"/>
    <cellStyle name="Normal 5 2 2 2 3 6 2 5" xfId="12816" xr:uid="{0B6874FB-9A96-400A-89F0-56BB1210C72D}"/>
    <cellStyle name="Normal 5 2 2 2 3 6 3" xfId="6439" xr:uid="{00000000-0005-0000-0000-00006C170000}"/>
    <cellStyle name="Normal 5 2 2 2 3 6 3 2" xfId="31771" xr:uid="{A14E30BD-F68D-460D-B599-8945F604F892}"/>
    <cellStyle name="Normal 5 2 2 2 3 6 3 3" xfId="23330" xr:uid="{4F6E1A0B-AB86-49DD-9275-D94D9D7B54BC}"/>
    <cellStyle name="Normal 5 2 2 2 3 6 3 4" xfId="14889" xr:uid="{D8C93B07-9E48-4C29-90B9-5F408B4A5C33}"/>
    <cellStyle name="Normal 5 2 2 2 3 6 4" xfId="27553" xr:uid="{CF2F6FB2-F3B2-440A-B254-73877E390104}"/>
    <cellStyle name="Normal 5 2 2 2 3 6 5" xfId="19112" xr:uid="{49F58EA5-3CBD-4427-944E-1D14DEEC217A}"/>
    <cellStyle name="Normal 5 2 2 2 3 6 6" xfId="10671" xr:uid="{7CA23413-CCA6-4497-A0C3-F673A57BD3DB}"/>
    <cellStyle name="Normal 5 2 2 2 3 7" xfId="2569" xr:uid="{00000000-0005-0000-0000-00006D170000}"/>
    <cellStyle name="Normal 5 2 2 2 3 7 2" xfId="6852" xr:uid="{00000000-0005-0000-0000-00006E170000}"/>
    <cellStyle name="Normal 5 2 2 2 3 7 2 2" xfId="32184" xr:uid="{D6240BD7-04A4-4DBC-898C-13C15ACAA695}"/>
    <cellStyle name="Normal 5 2 2 2 3 7 2 3" xfId="23743" xr:uid="{5144B30B-E3FB-40D4-8514-07E1182DF529}"/>
    <cellStyle name="Normal 5 2 2 2 3 7 2 4" xfId="15302" xr:uid="{640B1231-E571-4B6B-878E-D2E1D218A798}"/>
    <cellStyle name="Normal 5 2 2 2 3 7 3" xfId="27966" xr:uid="{F8505DA3-1CD7-4A8F-BCF3-503A3DD56954}"/>
    <cellStyle name="Normal 5 2 2 2 3 7 4" xfId="19525" xr:uid="{2279E387-E06C-4F45-84FA-D265D7B4864A}"/>
    <cellStyle name="Normal 5 2 2 2 3 7 5" xfId="11084" xr:uid="{017440F9-2D8F-47C7-8722-E7C4FA8E77FE}"/>
    <cellStyle name="Normal 5 2 2 2 3 8" xfId="4787" xr:uid="{00000000-0005-0000-0000-00006F170000}"/>
    <cellStyle name="Normal 5 2 2 2 3 8 2" xfId="30119" xr:uid="{DB92F2A9-EAA7-471F-A18F-42ADC2BCC5EB}"/>
    <cellStyle name="Normal 5 2 2 2 3 8 3" xfId="21678" xr:uid="{F61156D1-1281-41ED-ACA7-5EA387F309D2}"/>
    <cellStyle name="Normal 5 2 2 2 3 8 4" xfId="13237" xr:uid="{C83129AC-FC73-460D-8D17-C20289B2BB46}"/>
    <cellStyle name="Normal 5 2 2 2 3 9" xfId="25901" xr:uid="{CD953DC9-30EA-4FA1-BADA-6524E7C23FD7}"/>
    <cellStyle name="Normal 5 2 2 2 4" xfId="416" xr:uid="{00000000-0005-0000-0000-000070170000}"/>
    <cellStyle name="Normal 5 2 2 2 4 10" xfId="9021" xr:uid="{B03CA9D2-9EB6-4F35-B1A2-788F6C508226}"/>
    <cellStyle name="Normal 5 2 2 2 4 2" xfId="890" xr:uid="{00000000-0005-0000-0000-000071170000}"/>
    <cellStyle name="Normal 5 2 2 2 4 2 2" xfId="3125" xr:uid="{00000000-0005-0000-0000-000072170000}"/>
    <cellStyle name="Normal 5 2 2 2 4 2 2 2" xfId="7347" xr:uid="{00000000-0005-0000-0000-000073170000}"/>
    <cellStyle name="Normal 5 2 2 2 4 2 2 2 2" xfId="32679" xr:uid="{3ED2A119-BA31-49DA-9D82-087F92271ADF}"/>
    <cellStyle name="Normal 5 2 2 2 4 2 2 2 3" xfId="24238" xr:uid="{1BAEDE21-90BC-446E-BC86-FA3E546E5284}"/>
    <cellStyle name="Normal 5 2 2 2 4 2 2 2 4" xfId="15797" xr:uid="{FDE4C975-62F3-4973-9BD8-DE554DE23ED0}"/>
    <cellStyle name="Normal 5 2 2 2 4 2 2 3" xfId="28461" xr:uid="{BE87DE32-5B5F-44EB-8DB0-6BB894A18B5E}"/>
    <cellStyle name="Normal 5 2 2 2 4 2 2 4" xfId="20020" xr:uid="{1E9E63CC-2D8B-444C-9E5F-FD9FB414687D}"/>
    <cellStyle name="Normal 5 2 2 2 4 2 2 5" xfId="11579" xr:uid="{57C51D00-34F4-4501-AF97-FED09AC1FB92}"/>
    <cellStyle name="Normal 5 2 2 2 4 2 3" xfId="5202" xr:uid="{00000000-0005-0000-0000-000074170000}"/>
    <cellStyle name="Normal 5 2 2 2 4 2 3 2" xfId="30534" xr:uid="{46CCEDA0-AF59-460F-9D99-75174CD17C6B}"/>
    <cellStyle name="Normal 5 2 2 2 4 2 3 3" xfId="22093" xr:uid="{73778DC2-2132-4661-BC95-88109A92EF6F}"/>
    <cellStyle name="Normal 5 2 2 2 4 2 3 4" xfId="13652" xr:uid="{33DF91AF-315C-4BE0-A530-EE4AA7931D77}"/>
    <cellStyle name="Normal 5 2 2 2 4 2 4" xfId="26316" xr:uid="{A4C92E82-7E89-4A0C-9088-0ADEDC1EEF3D}"/>
    <cellStyle name="Normal 5 2 2 2 4 2 5" xfId="17875" xr:uid="{48FDE3DE-DDDB-4A01-8701-82036C8F7222}"/>
    <cellStyle name="Normal 5 2 2 2 4 2 6" xfId="9434" xr:uid="{FC25E7C4-DAC8-402F-B0D6-C97EC0B60B9A}"/>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2 2 2" xfId="33092" xr:uid="{845DC1B8-4AD1-4FA4-9272-1AC3B9C35AA4}"/>
    <cellStyle name="Normal 5 2 2 2 4 3 2 2 3" xfId="24651" xr:uid="{F8498F9C-F7D2-4CD2-BB42-CDA8D2CD7082}"/>
    <cellStyle name="Normal 5 2 2 2 4 3 2 2 4" xfId="16210" xr:uid="{E44705E1-65F2-48AA-8183-5762A1455EE9}"/>
    <cellStyle name="Normal 5 2 2 2 4 3 2 3" xfId="28874" xr:uid="{624C39AB-55B3-4616-A81D-DE41BE017156}"/>
    <cellStyle name="Normal 5 2 2 2 4 3 2 4" xfId="20433" xr:uid="{CEC38CDE-F07F-48FD-822A-3B4DF2371966}"/>
    <cellStyle name="Normal 5 2 2 2 4 3 2 5" xfId="11992" xr:uid="{D0A12528-0261-484A-B2B5-BC318A9C5136}"/>
    <cellStyle name="Normal 5 2 2 2 4 3 3" xfId="5615" xr:uid="{00000000-0005-0000-0000-000078170000}"/>
    <cellStyle name="Normal 5 2 2 2 4 3 3 2" xfId="30947" xr:uid="{F85F25EF-A46E-4199-89B7-CA12AF5D63D1}"/>
    <cellStyle name="Normal 5 2 2 2 4 3 3 3" xfId="22506" xr:uid="{3F156FF4-FBDE-4C4C-9CA9-CBDB538EF076}"/>
    <cellStyle name="Normal 5 2 2 2 4 3 3 4" xfId="14065" xr:uid="{3E222E6B-03C5-4AE3-853A-11AF092325A9}"/>
    <cellStyle name="Normal 5 2 2 2 4 3 4" xfId="26729" xr:uid="{C8973E12-6D13-45AE-8A28-7162CD92CB57}"/>
    <cellStyle name="Normal 5 2 2 2 4 3 5" xfId="18288" xr:uid="{112B64B8-E726-4D2C-B3A1-E158774B0ED5}"/>
    <cellStyle name="Normal 5 2 2 2 4 3 6" xfId="9847" xr:uid="{FA6935CB-4F7D-484C-B72F-D5C63DF385B4}"/>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2 2 2" xfId="33505" xr:uid="{C4665EDE-23E3-4D13-9D84-43F63396932D}"/>
    <cellStyle name="Normal 5 2 2 2 4 4 2 2 3" xfId="25064" xr:uid="{D6CE2029-5585-4DAF-9CCF-31066F3DF6B3}"/>
    <cellStyle name="Normal 5 2 2 2 4 4 2 2 4" xfId="16623" xr:uid="{EBCE4FE3-5A3F-4E3E-AF04-BBCACBEF0418}"/>
    <cellStyle name="Normal 5 2 2 2 4 4 2 3" xfId="29287" xr:uid="{AD52DC7F-E48A-4D87-96E4-F763B1EEC6C4}"/>
    <cellStyle name="Normal 5 2 2 2 4 4 2 4" xfId="20846" xr:uid="{5C14EA95-443D-4E0E-9A8B-2C39EBCBBBBD}"/>
    <cellStyle name="Normal 5 2 2 2 4 4 2 5" xfId="12405" xr:uid="{FE607286-4F3B-4747-AA1E-0870BA4D039F}"/>
    <cellStyle name="Normal 5 2 2 2 4 4 3" xfId="6028" xr:uid="{00000000-0005-0000-0000-00007C170000}"/>
    <cellStyle name="Normal 5 2 2 2 4 4 3 2" xfId="31360" xr:uid="{E8759ED0-032A-4021-AE27-1D0205C5F92C}"/>
    <cellStyle name="Normal 5 2 2 2 4 4 3 3" xfId="22919" xr:uid="{C8FBF00A-CCEB-47FA-AD7A-A46FCFC8500D}"/>
    <cellStyle name="Normal 5 2 2 2 4 4 3 4" xfId="14478" xr:uid="{9B397519-2984-4BC6-8BF3-68D81E95C0B5}"/>
    <cellStyle name="Normal 5 2 2 2 4 4 4" xfId="27142" xr:uid="{93721AC1-0537-4091-9861-1BC4C422B9FE}"/>
    <cellStyle name="Normal 5 2 2 2 4 4 5" xfId="18701" xr:uid="{C37C65AD-7D6D-4955-B465-7777417B0206}"/>
    <cellStyle name="Normal 5 2 2 2 4 4 6" xfId="10260" xr:uid="{447685FF-46C8-4B2A-820D-11C46FC2AF49}"/>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2 2 2" xfId="33918" xr:uid="{60F1434C-F6FF-4DC7-9590-26FC74E60E99}"/>
    <cellStyle name="Normal 5 2 2 2 4 5 2 2 3" xfId="25477" xr:uid="{F26F7BAB-9F37-410D-A932-5DD9C5DA78E3}"/>
    <cellStyle name="Normal 5 2 2 2 4 5 2 2 4" xfId="17036" xr:uid="{4A5EEE2E-53E9-4E10-9046-5F36712157EE}"/>
    <cellStyle name="Normal 5 2 2 2 4 5 2 3" xfId="29700" xr:uid="{A0A88472-A065-4E4D-BC68-83170ED28EE5}"/>
    <cellStyle name="Normal 5 2 2 2 4 5 2 4" xfId="21259" xr:uid="{B9CCB696-128F-4114-B086-675E2E0BD98D}"/>
    <cellStyle name="Normal 5 2 2 2 4 5 2 5" xfId="12818" xr:uid="{68C9D7B4-C323-4D59-8B1F-F9728317CEED}"/>
    <cellStyle name="Normal 5 2 2 2 4 5 3" xfId="6441" xr:uid="{00000000-0005-0000-0000-000080170000}"/>
    <cellStyle name="Normal 5 2 2 2 4 5 3 2" xfId="31773" xr:uid="{F6F0B60A-59F8-4493-8503-3BE7827EDD0A}"/>
    <cellStyle name="Normal 5 2 2 2 4 5 3 3" xfId="23332" xr:uid="{A6CF0D9B-3E02-40AE-8307-9FAFD47E0765}"/>
    <cellStyle name="Normal 5 2 2 2 4 5 3 4" xfId="14891" xr:uid="{528FDCDD-420E-4E6F-8154-5EF50336F63C}"/>
    <cellStyle name="Normal 5 2 2 2 4 5 4" xfId="27555" xr:uid="{07BB25A5-A576-4D2B-8E03-085AFADD5121}"/>
    <cellStyle name="Normal 5 2 2 2 4 5 5" xfId="19114" xr:uid="{068739BE-5021-4548-9AC4-0AC258CE347D}"/>
    <cellStyle name="Normal 5 2 2 2 4 5 6" xfId="10673" xr:uid="{83AD4D01-F024-4414-AC99-7AA6EE128B26}"/>
    <cellStyle name="Normal 5 2 2 2 4 6" xfId="2571" xr:uid="{00000000-0005-0000-0000-000081170000}"/>
    <cellStyle name="Normal 5 2 2 2 4 6 2" xfId="6854" xr:uid="{00000000-0005-0000-0000-000082170000}"/>
    <cellStyle name="Normal 5 2 2 2 4 6 2 2" xfId="32186" xr:uid="{CFB8AC9E-8D86-45F3-8803-9A661A9A9884}"/>
    <cellStyle name="Normal 5 2 2 2 4 6 2 3" xfId="23745" xr:uid="{BF52C8BF-68ED-4143-8E36-E88B8234450A}"/>
    <cellStyle name="Normal 5 2 2 2 4 6 2 4" xfId="15304" xr:uid="{29BCF9DF-5C88-48BB-984F-EF554A1E9259}"/>
    <cellStyle name="Normal 5 2 2 2 4 6 3" xfId="27968" xr:uid="{9E68B189-3195-4AC6-AF0C-F27AF2461B75}"/>
    <cellStyle name="Normal 5 2 2 2 4 6 4" xfId="19527" xr:uid="{60DD3ABC-DAF4-46F9-BE20-3B7D85AB999A}"/>
    <cellStyle name="Normal 5 2 2 2 4 6 5" xfId="11086" xr:uid="{94157481-4656-4BBE-9BA9-7D70011D5A62}"/>
    <cellStyle name="Normal 5 2 2 2 4 7" xfId="4789" xr:uid="{00000000-0005-0000-0000-000083170000}"/>
    <cellStyle name="Normal 5 2 2 2 4 7 2" xfId="30121" xr:uid="{0509DE3E-8AA8-41E2-9A8C-EE14656D90C2}"/>
    <cellStyle name="Normal 5 2 2 2 4 7 3" xfId="21680" xr:uid="{B4F5AB93-BD77-4C02-9A8C-807AC9C073C6}"/>
    <cellStyle name="Normal 5 2 2 2 4 7 4" xfId="13239" xr:uid="{16B8AF57-7433-4786-9E63-C90FFCD579CE}"/>
    <cellStyle name="Normal 5 2 2 2 4 8" xfId="25903" xr:uid="{23B75D7A-DE87-4BE0-9281-B64A3C2057E3}"/>
    <cellStyle name="Normal 5 2 2 2 4 9" xfId="17462" xr:uid="{634A939B-95D3-4C6F-A439-840687C0235A}"/>
    <cellStyle name="Normal 5 2 2 2 5" xfId="883" xr:uid="{00000000-0005-0000-0000-000084170000}"/>
    <cellStyle name="Normal 5 2 2 2 5 2" xfId="3118" xr:uid="{00000000-0005-0000-0000-000085170000}"/>
    <cellStyle name="Normal 5 2 2 2 5 2 2" xfId="7340" xr:uid="{00000000-0005-0000-0000-000086170000}"/>
    <cellStyle name="Normal 5 2 2 2 5 2 2 2" xfId="32672" xr:uid="{99DCCCE4-8650-4D48-BF08-D61C436F1398}"/>
    <cellStyle name="Normal 5 2 2 2 5 2 2 3" xfId="24231" xr:uid="{48947932-E41D-4F66-B1D7-93593DF8934D}"/>
    <cellStyle name="Normal 5 2 2 2 5 2 2 4" xfId="15790" xr:uid="{FA26EC22-98A4-4E1E-A330-79801F2661A7}"/>
    <cellStyle name="Normal 5 2 2 2 5 2 3" xfId="28454" xr:uid="{058D66BD-F643-4454-AB30-BDB76E2D4695}"/>
    <cellStyle name="Normal 5 2 2 2 5 2 4" xfId="20013" xr:uid="{783CDC05-DC94-4332-952D-C5FC094CCF97}"/>
    <cellStyle name="Normal 5 2 2 2 5 2 5" xfId="11572" xr:uid="{BA342B8A-CCE9-4A16-A292-AA683AABE899}"/>
    <cellStyle name="Normal 5 2 2 2 5 3" xfId="5195" xr:uid="{00000000-0005-0000-0000-000087170000}"/>
    <cellStyle name="Normal 5 2 2 2 5 3 2" xfId="30527" xr:uid="{95057441-06B5-4E07-B01A-8C826DF9A008}"/>
    <cellStyle name="Normal 5 2 2 2 5 3 3" xfId="22086" xr:uid="{A19F4123-D590-419E-9B22-F60AB8D5C0A1}"/>
    <cellStyle name="Normal 5 2 2 2 5 3 4" xfId="13645" xr:uid="{1FFAB10F-BD1C-453E-8E57-B594AED98065}"/>
    <cellStyle name="Normal 5 2 2 2 5 4" xfId="26309" xr:uid="{67BAC2FF-F998-4BFB-A41C-B88C9C1E8FD6}"/>
    <cellStyle name="Normal 5 2 2 2 5 5" xfId="17868" xr:uid="{226E7F1F-E8DB-4658-927B-5EA255F2034F}"/>
    <cellStyle name="Normal 5 2 2 2 5 6" xfId="9427" xr:uid="{3C426EC4-FC0A-4AB2-A773-A5B3ED7F7A96}"/>
    <cellStyle name="Normal 5 2 2 2 6" xfId="1301" xr:uid="{00000000-0005-0000-0000-000088170000}"/>
    <cellStyle name="Normal 5 2 2 2 6 2" xfId="3531" xr:uid="{00000000-0005-0000-0000-000089170000}"/>
    <cellStyle name="Normal 5 2 2 2 6 2 2" xfId="7753" xr:uid="{00000000-0005-0000-0000-00008A170000}"/>
    <cellStyle name="Normal 5 2 2 2 6 2 2 2" xfId="33085" xr:uid="{293824F2-4C38-4C4E-98B0-71229300D9DE}"/>
    <cellStyle name="Normal 5 2 2 2 6 2 2 3" xfId="24644" xr:uid="{D6A84EB5-0B3A-4FD2-9927-459D4090BF19}"/>
    <cellStyle name="Normal 5 2 2 2 6 2 2 4" xfId="16203" xr:uid="{9323F15A-DD47-469F-8E66-263C4C6902F5}"/>
    <cellStyle name="Normal 5 2 2 2 6 2 3" xfId="28867" xr:uid="{80D8DC2D-39FE-4526-AB72-D6BBAAEC82A6}"/>
    <cellStyle name="Normal 5 2 2 2 6 2 4" xfId="20426" xr:uid="{855B7475-DDA1-48CC-BA08-46787B61C90F}"/>
    <cellStyle name="Normal 5 2 2 2 6 2 5" xfId="11985" xr:uid="{A8B4CA8D-602B-4602-8EDB-794F22C026F9}"/>
    <cellStyle name="Normal 5 2 2 2 6 3" xfId="5608" xr:uid="{00000000-0005-0000-0000-00008B170000}"/>
    <cellStyle name="Normal 5 2 2 2 6 3 2" xfId="30940" xr:uid="{79D1E2D9-D2F8-4397-8D25-2A50D6C2A965}"/>
    <cellStyle name="Normal 5 2 2 2 6 3 3" xfId="22499" xr:uid="{9A11CD79-67E4-4F43-88A9-B8112C15260A}"/>
    <cellStyle name="Normal 5 2 2 2 6 3 4" xfId="14058" xr:uid="{531B4B3D-079F-405C-B05F-1BFE165DD5D4}"/>
    <cellStyle name="Normal 5 2 2 2 6 4" xfId="26722" xr:uid="{3F4A5F7B-D6CD-4BEC-9C34-7B4447060246}"/>
    <cellStyle name="Normal 5 2 2 2 6 5" xfId="18281" xr:uid="{FB0C2393-150F-4CAD-8038-253232A8F465}"/>
    <cellStyle name="Normal 5 2 2 2 6 6" xfId="9840" xr:uid="{61E03B96-EFD6-4B17-806E-FEE4D549C1B2}"/>
    <cellStyle name="Normal 5 2 2 2 7" xfId="1714" xr:uid="{00000000-0005-0000-0000-00008C170000}"/>
    <cellStyle name="Normal 5 2 2 2 7 2" xfId="3944" xr:uid="{00000000-0005-0000-0000-00008D170000}"/>
    <cellStyle name="Normal 5 2 2 2 7 2 2" xfId="8166" xr:uid="{00000000-0005-0000-0000-00008E170000}"/>
    <cellStyle name="Normal 5 2 2 2 7 2 2 2" xfId="33498" xr:uid="{F821F524-B099-4F58-B7F2-5BA35EA98F63}"/>
    <cellStyle name="Normal 5 2 2 2 7 2 2 3" xfId="25057" xr:uid="{AF28B9D9-3B00-44AA-84F6-19B43F37E379}"/>
    <cellStyle name="Normal 5 2 2 2 7 2 2 4" xfId="16616" xr:uid="{6D8AB607-19DE-4689-B737-721C464037B0}"/>
    <cellStyle name="Normal 5 2 2 2 7 2 3" xfId="29280" xr:uid="{F4E94581-3C55-4A29-A0CE-4796B8ACC729}"/>
    <cellStyle name="Normal 5 2 2 2 7 2 4" xfId="20839" xr:uid="{C346F954-ADC4-4E37-88CD-4499D23DDA18}"/>
    <cellStyle name="Normal 5 2 2 2 7 2 5" xfId="12398" xr:uid="{E3BE5436-39F6-4413-8CC2-ED785958C45B}"/>
    <cellStyle name="Normal 5 2 2 2 7 3" xfId="6021" xr:uid="{00000000-0005-0000-0000-00008F170000}"/>
    <cellStyle name="Normal 5 2 2 2 7 3 2" xfId="31353" xr:uid="{30F2A886-314E-4370-BFB2-8C654590F2CA}"/>
    <cellStyle name="Normal 5 2 2 2 7 3 3" xfId="22912" xr:uid="{F987281A-C839-46EF-8026-A4ACC490F073}"/>
    <cellStyle name="Normal 5 2 2 2 7 3 4" xfId="14471" xr:uid="{668F32E7-5C27-4250-BDB3-3B4FF081FAC7}"/>
    <cellStyle name="Normal 5 2 2 2 7 4" xfId="27135" xr:uid="{81C2D7FD-E56A-4F5A-B161-7718D33012A1}"/>
    <cellStyle name="Normal 5 2 2 2 7 5" xfId="18694" xr:uid="{3FBF82B8-5E1F-46BE-9723-CE7142E785E1}"/>
    <cellStyle name="Normal 5 2 2 2 7 6" xfId="10253" xr:uid="{3FB59656-41AB-49CA-949F-FCB7ED045201}"/>
    <cellStyle name="Normal 5 2 2 2 8" xfId="2128" xr:uid="{00000000-0005-0000-0000-000090170000}"/>
    <cellStyle name="Normal 5 2 2 2 8 2" xfId="4357" xr:uid="{00000000-0005-0000-0000-000091170000}"/>
    <cellStyle name="Normal 5 2 2 2 8 2 2" xfId="8579" xr:uid="{00000000-0005-0000-0000-000092170000}"/>
    <cellStyle name="Normal 5 2 2 2 8 2 2 2" xfId="33911" xr:uid="{62B8B41C-D0C4-485F-B349-4A0FA6EE1C53}"/>
    <cellStyle name="Normal 5 2 2 2 8 2 2 3" xfId="25470" xr:uid="{64D16652-583A-4A28-BB0A-DCBD29D0C755}"/>
    <cellStyle name="Normal 5 2 2 2 8 2 2 4" xfId="17029" xr:uid="{57ECA14B-F482-45D5-A571-A59F8D7F17D1}"/>
    <cellStyle name="Normal 5 2 2 2 8 2 3" xfId="29693" xr:uid="{6D50498D-B43B-40B3-AF78-BEB94E6C78E4}"/>
    <cellStyle name="Normal 5 2 2 2 8 2 4" xfId="21252" xr:uid="{2A88A1E0-FF10-431D-83EC-C18672246E81}"/>
    <cellStyle name="Normal 5 2 2 2 8 2 5" xfId="12811" xr:uid="{81FA9A33-7D93-4108-AEE8-725B9C411FD6}"/>
    <cellStyle name="Normal 5 2 2 2 8 3" xfId="6434" xr:uid="{00000000-0005-0000-0000-000093170000}"/>
    <cellStyle name="Normal 5 2 2 2 8 3 2" xfId="31766" xr:uid="{6E26B619-9D21-4532-B277-54CBAF730EEC}"/>
    <cellStyle name="Normal 5 2 2 2 8 3 3" xfId="23325" xr:uid="{6493A84D-4B53-4934-AD3D-AD7AE9AC0E18}"/>
    <cellStyle name="Normal 5 2 2 2 8 3 4" xfId="14884" xr:uid="{F61CAC0D-F713-4F7A-9980-638BE4AF7682}"/>
    <cellStyle name="Normal 5 2 2 2 8 4" xfId="27548" xr:uid="{0278AB07-033C-46D2-AE0B-E4D4E72DBF8F}"/>
    <cellStyle name="Normal 5 2 2 2 8 5" xfId="19107" xr:uid="{9C2D5F4E-0A8B-45FE-BB5A-EA951690C21E}"/>
    <cellStyle name="Normal 5 2 2 2 8 6" xfId="10666" xr:uid="{6E9E659B-D837-459E-A438-045563648CE9}"/>
    <cellStyle name="Normal 5 2 2 2 9" xfId="2564" xr:uid="{00000000-0005-0000-0000-000094170000}"/>
    <cellStyle name="Normal 5 2 2 2 9 2" xfId="6847" xr:uid="{00000000-0005-0000-0000-000095170000}"/>
    <cellStyle name="Normal 5 2 2 2 9 2 2" xfId="32179" xr:uid="{9017A042-CEAA-4AFF-81A4-416E804A1409}"/>
    <cellStyle name="Normal 5 2 2 2 9 2 3" xfId="23738" xr:uid="{3B9A8A36-4B28-4915-A39D-F26D400690FD}"/>
    <cellStyle name="Normal 5 2 2 2 9 2 4" xfId="15297" xr:uid="{4E44E1C1-568A-496D-931A-DA4D5EAF699F}"/>
    <cellStyle name="Normal 5 2 2 2 9 3" xfId="27961" xr:uid="{8632B578-9CDE-49EB-A62C-82A206119735}"/>
    <cellStyle name="Normal 5 2 2 2 9 4" xfId="19520" xr:uid="{26015F6D-BD23-481D-8525-D88BF213110E}"/>
    <cellStyle name="Normal 5 2 2 2 9 5" xfId="11079" xr:uid="{80E227D0-CAD4-4FF5-A160-A572F8EEB904}"/>
    <cellStyle name="Normal 5 2 2 3" xfId="417" xr:uid="{00000000-0005-0000-0000-000096170000}"/>
    <cellStyle name="Normal 5 2 2 3 10" xfId="25904" xr:uid="{754B40A5-1651-45F5-BBEC-49322DB938C8}"/>
    <cellStyle name="Normal 5 2 2 3 11" xfId="17463" xr:uid="{AB3F128E-8A77-4164-BB56-0993309FB545}"/>
    <cellStyle name="Normal 5 2 2 3 12" xfId="9022" xr:uid="{03FD5F29-FD9B-4DB8-8A33-FAF87E4D0D34}"/>
    <cellStyle name="Normal 5 2 2 3 2" xfId="418" xr:uid="{00000000-0005-0000-0000-000097170000}"/>
    <cellStyle name="Normal 5 2 2 3 2 10" xfId="17464" xr:uid="{62636406-89CB-4208-99CB-FA1BD800CF04}"/>
    <cellStyle name="Normal 5 2 2 3 2 11" xfId="9023" xr:uid="{1FF8A99D-FEF2-4EAB-B4AE-A8032ABC7B39}"/>
    <cellStyle name="Normal 5 2 2 3 2 2" xfId="419" xr:uid="{00000000-0005-0000-0000-000098170000}"/>
    <cellStyle name="Normal 5 2 2 3 2 2 10" xfId="9024" xr:uid="{F3FFD971-C595-4B14-9FAB-CA474A8F3561}"/>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2 2 2" xfId="32682" xr:uid="{236B1554-2B75-4027-984B-82F0CA8028DB}"/>
    <cellStyle name="Normal 5 2 2 3 2 2 2 2 2 3" xfId="24241" xr:uid="{1A7F30B1-2C19-4798-B3C4-BBE7636EA31D}"/>
    <cellStyle name="Normal 5 2 2 3 2 2 2 2 2 4" xfId="15800" xr:uid="{E96ACA1E-5107-48A2-B0C7-D258D70B107D}"/>
    <cellStyle name="Normal 5 2 2 3 2 2 2 2 3" xfId="28464" xr:uid="{C3B557B5-357A-4CCF-BA3B-03E9A77FC94F}"/>
    <cellStyle name="Normal 5 2 2 3 2 2 2 2 4" xfId="20023" xr:uid="{7E7498DC-56DB-40D7-B91E-DBC40C37821E}"/>
    <cellStyle name="Normal 5 2 2 3 2 2 2 2 5" xfId="11582" xr:uid="{3129B2AC-F3D1-4477-80A3-96B41F85C94F}"/>
    <cellStyle name="Normal 5 2 2 3 2 2 2 3" xfId="5205" xr:uid="{00000000-0005-0000-0000-00009C170000}"/>
    <cellStyle name="Normal 5 2 2 3 2 2 2 3 2" xfId="30537" xr:uid="{71E23158-5012-476F-90BC-322067040F2D}"/>
    <cellStyle name="Normal 5 2 2 3 2 2 2 3 3" xfId="22096" xr:uid="{3C4830B2-27C8-4F91-8703-DA78B2B0F0CE}"/>
    <cellStyle name="Normal 5 2 2 3 2 2 2 3 4" xfId="13655" xr:uid="{6617FE6D-67EE-4FB8-A83F-DC4FA93BA32A}"/>
    <cellStyle name="Normal 5 2 2 3 2 2 2 4" xfId="26319" xr:uid="{9693B6DD-92CA-4576-AE3E-76AE0BC736D3}"/>
    <cellStyle name="Normal 5 2 2 3 2 2 2 5" xfId="17878" xr:uid="{D498CC0F-2199-4E75-926A-7E3546FF516B}"/>
    <cellStyle name="Normal 5 2 2 3 2 2 2 6" xfId="9437" xr:uid="{1472F11B-F18E-4187-A824-5A61A3138BE1}"/>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2 2 2" xfId="33095" xr:uid="{F0AEB440-E4D5-4C4D-8923-002CE20272F3}"/>
    <cellStyle name="Normal 5 2 2 3 2 2 3 2 2 3" xfId="24654" xr:uid="{ED8F3FD0-821B-4D18-A2FF-AD01756D44BB}"/>
    <cellStyle name="Normal 5 2 2 3 2 2 3 2 2 4" xfId="16213" xr:uid="{AA51E055-9D4C-4799-81AC-8B214D8AB0A9}"/>
    <cellStyle name="Normal 5 2 2 3 2 2 3 2 3" xfId="28877" xr:uid="{3B614CDD-062B-4B16-8FC3-5C0C79171BB5}"/>
    <cellStyle name="Normal 5 2 2 3 2 2 3 2 4" xfId="20436" xr:uid="{45C53D06-C1C5-486E-9321-DB6F9B713B28}"/>
    <cellStyle name="Normal 5 2 2 3 2 2 3 2 5" xfId="11995" xr:uid="{DF3CD7F6-39A6-4630-8D65-E7B9667F6CEA}"/>
    <cellStyle name="Normal 5 2 2 3 2 2 3 3" xfId="5618" xr:uid="{00000000-0005-0000-0000-0000A0170000}"/>
    <cellStyle name="Normal 5 2 2 3 2 2 3 3 2" xfId="30950" xr:uid="{1132B788-725A-4223-AD03-F55FE0915D31}"/>
    <cellStyle name="Normal 5 2 2 3 2 2 3 3 3" xfId="22509" xr:uid="{FFF7EF12-1A7A-4DB5-9799-3DC593A6DC4E}"/>
    <cellStyle name="Normal 5 2 2 3 2 2 3 3 4" xfId="14068" xr:uid="{BBCBCEF4-CB47-4B0C-89CC-5B23BDCF9E6F}"/>
    <cellStyle name="Normal 5 2 2 3 2 2 3 4" xfId="26732" xr:uid="{E9C29293-C979-4B87-86AC-6993A6ED2118}"/>
    <cellStyle name="Normal 5 2 2 3 2 2 3 5" xfId="18291" xr:uid="{448B83FD-C724-4C15-802E-EA63F408D400}"/>
    <cellStyle name="Normal 5 2 2 3 2 2 3 6" xfId="9850" xr:uid="{939362D7-E20C-418F-895B-BD39A4A68A98}"/>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2 2 2" xfId="33508" xr:uid="{112EDCA8-976F-4DDF-850E-1FCB54BBC942}"/>
    <cellStyle name="Normal 5 2 2 3 2 2 4 2 2 3" xfId="25067" xr:uid="{C4C8A4CF-C6C7-4FE3-A84D-F6597A495C84}"/>
    <cellStyle name="Normal 5 2 2 3 2 2 4 2 2 4" xfId="16626" xr:uid="{F330F585-B8EA-471E-8965-71923E7D4246}"/>
    <cellStyle name="Normal 5 2 2 3 2 2 4 2 3" xfId="29290" xr:uid="{ADDF6C4C-B13A-4DA6-9F40-E8E48B145705}"/>
    <cellStyle name="Normal 5 2 2 3 2 2 4 2 4" xfId="20849" xr:uid="{40C60546-AFD6-499F-AE49-536ED62373DF}"/>
    <cellStyle name="Normal 5 2 2 3 2 2 4 2 5" xfId="12408" xr:uid="{12CA9D7C-A105-4C7B-B2DC-61BF2B4EADF1}"/>
    <cellStyle name="Normal 5 2 2 3 2 2 4 3" xfId="6031" xr:uid="{00000000-0005-0000-0000-0000A4170000}"/>
    <cellStyle name="Normal 5 2 2 3 2 2 4 3 2" xfId="31363" xr:uid="{1D093810-066C-4DEC-83F6-9DCE2DFC0AF1}"/>
    <cellStyle name="Normal 5 2 2 3 2 2 4 3 3" xfId="22922" xr:uid="{E6CFDDFD-E704-4526-BE15-0B793F629722}"/>
    <cellStyle name="Normal 5 2 2 3 2 2 4 3 4" xfId="14481" xr:uid="{54BDB674-83EF-4BBD-A47C-61CED2CAA741}"/>
    <cellStyle name="Normal 5 2 2 3 2 2 4 4" xfId="27145" xr:uid="{AF2DEFFD-537C-4A24-97E7-6D7D9E084124}"/>
    <cellStyle name="Normal 5 2 2 3 2 2 4 5" xfId="18704" xr:uid="{42B9BD26-E4D4-459C-A2BB-58E36267507F}"/>
    <cellStyle name="Normal 5 2 2 3 2 2 4 6" xfId="10263" xr:uid="{9EFA58A8-B2DC-491C-B498-4FA299C4CF35}"/>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2 2 2" xfId="33921" xr:uid="{4FC1A8F4-CC29-4064-B8DA-88E68BFEEF66}"/>
    <cellStyle name="Normal 5 2 2 3 2 2 5 2 2 3" xfId="25480" xr:uid="{4B5F590A-760C-453C-A8E2-C6A14A1BD837}"/>
    <cellStyle name="Normal 5 2 2 3 2 2 5 2 2 4" xfId="17039" xr:uid="{954EF18C-F471-407C-8FC9-CA820D9DA630}"/>
    <cellStyle name="Normal 5 2 2 3 2 2 5 2 3" xfId="29703" xr:uid="{DE86160D-53F5-45C7-A6C4-6B808E3DF9F1}"/>
    <cellStyle name="Normal 5 2 2 3 2 2 5 2 4" xfId="21262" xr:uid="{5F76C766-5270-4E57-ABB3-054E64254779}"/>
    <cellStyle name="Normal 5 2 2 3 2 2 5 2 5" xfId="12821" xr:uid="{AF33A96C-B723-49AD-BEFD-F5C24A463343}"/>
    <cellStyle name="Normal 5 2 2 3 2 2 5 3" xfId="6444" xr:uid="{00000000-0005-0000-0000-0000A8170000}"/>
    <cellStyle name="Normal 5 2 2 3 2 2 5 3 2" xfId="31776" xr:uid="{479529CB-1839-44A1-BD72-A1A8B0BFD14C}"/>
    <cellStyle name="Normal 5 2 2 3 2 2 5 3 3" xfId="23335" xr:uid="{43DDA952-BE12-462A-9A81-6662D72AE988}"/>
    <cellStyle name="Normal 5 2 2 3 2 2 5 3 4" xfId="14894" xr:uid="{B7B4D5D3-5C58-48DA-8597-DE784BA48C8B}"/>
    <cellStyle name="Normal 5 2 2 3 2 2 5 4" xfId="27558" xr:uid="{03C851DD-FFF9-4B2D-9D10-999B69787099}"/>
    <cellStyle name="Normal 5 2 2 3 2 2 5 5" xfId="19117" xr:uid="{66A9EDFF-F4A2-41F7-BAA6-A346BD52BEBD}"/>
    <cellStyle name="Normal 5 2 2 3 2 2 5 6" xfId="10676" xr:uid="{21EA8D8E-C983-4F17-AE0B-E210DD33E5C4}"/>
    <cellStyle name="Normal 5 2 2 3 2 2 6" xfId="2574" xr:uid="{00000000-0005-0000-0000-0000A9170000}"/>
    <cellStyle name="Normal 5 2 2 3 2 2 6 2" xfId="6857" xr:uid="{00000000-0005-0000-0000-0000AA170000}"/>
    <cellStyle name="Normal 5 2 2 3 2 2 6 2 2" xfId="32189" xr:uid="{20A4107E-659C-4895-983A-E9DBE6B7E6EE}"/>
    <cellStyle name="Normal 5 2 2 3 2 2 6 2 3" xfId="23748" xr:uid="{C7177032-7BEA-4AEA-AEBA-012A4E85ACC9}"/>
    <cellStyle name="Normal 5 2 2 3 2 2 6 2 4" xfId="15307" xr:uid="{52B0CA90-3A87-4DC9-991C-C4692968C20F}"/>
    <cellStyle name="Normal 5 2 2 3 2 2 6 3" xfId="27971" xr:uid="{EEDE9033-BD87-4533-9FF2-356D616F7F62}"/>
    <cellStyle name="Normal 5 2 2 3 2 2 6 4" xfId="19530" xr:uid="{2F7EDE61-9D6D-448B-8167-D7BE49FC2B1D}"/>
    <cellStyle name="Normal 5 2 2 3 2 2 6 5" xfId="11089" xr:uid="{C4E67F4B-2598-4054-BDBC-100B17CEC71D}"/>
    <cellStyle name="Normal 5 2 2 3 2 2 7" xfId="4792" xr:uid="{00000000-0005-0000-0000-0000AB170000}"/>
    <cellStyle name="Normal 5 2 2 3 2 2 7 2" xfId="30124" xr:uid="{C92A1CBF-7805-40BC-92C7-86DA656B3B0C}"/>
    <cellStyle name="Normal 5 2 2 3 2 2 7 3" xfId="21683" xr:uid="{0909D4AD-C75E-46C1-8913-41B9F1C4BD5A}"/>
    <cellStyle name="Normal 5 2 2 3 2 2 7 4" xfId="13242" xr:uid="{BA886A98-C418-4C7C-9022-CDCAD16FF0F3}"/>
    <cellStyle name="Normal 5 2 2 3 2 2 8" xfId="25906" xr:uid="{87D92302-BE0F-4B36-9098-D523E54313B4}"/>
    <cellStyle name="Normal 5 2 2 3 2 2 9" xfId="17465" xr:uid="{5229A893-A85D-4763-94C8-AB3FE3F7C2D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2 2 2" xfId="32681" xr:uid="{34AC9C99-839F-4116-B0CE-81C12499DAE3}"/>
    <cellStyle name="Normal 5 2 2 3 2 3 2 2 3" xfId="24240" xr:uid="{04DA7BE3-7DAA-471E-82B9-9E7256492301}"/>
    <cellStyle name="Normal 5 2 2 3 2 3 2 2 4" xfId="15799" xr:uid="{BD34D797-5389-4DD3-8A94-0BE1CEC76BE4}"/>
    <cellStyle name="Normal 5 2 2 3 2 3 2 3" xfId="28463" xr:uid="{441102E8-0C84-4559-848A-02E3DA81FA43}"/>
    <cellStyle name="Normal 5 2 2 3 2 3 2 4" xfId="20022" xr:uid="{5350AA09-08F5-4385-A5CC-FBD3384EB40C}"/>
    <cellStyle name="Normal 5 2 2 3 2 3 2 5" xfId="11581" xr:uid="{E84DE024-F577-43E6-8D62-EEBB8F55BC31}"/>
    <cellStyle name="Normal 5 2 2 3 2 3 3" xfId="5204" xr:uid="{00000000-0005-0000-0000-0000AF170000}"/>
    <cellStyle name="Normal 5 2 2 3 2 3 3 2" xfId="30536" xr:uid="{C2988A56-3F97-4431-8A04-C040B27A177B}"/>
    <cellStyle name="Normal 5 2 2 3 2 3 3 3" xfId="22095" xr:uid="{5C3F1B89-B03B-4ABC-A3D3-158588169F05}"/>
    <cellStyle name="Normal 5 2 2 3 2 3 3 4" xfId="13654" xr:uid="{984A6348-03C3-400A-A71F-C42B5784169B}"/>
    <cellStyle name="Normal 5 2 2 3 2 3 4" xfId="26318" xr:uid="{8A6DBFBB-9F72-4BFE-B5A4-1341F24C9F51}"/>
    <cellStyle name="Normal 5 2 2 3 2 3 5" xfId="17877" xr:uid="{9E218EC1-4F9E-4E24-BA31-1EC85E7A529D}"/>
    <cellStyle name="Normal 5 2 2 3 2 3 6" xfId="9436" xr:uid="{C16D907A-E3D9-41A1-8259-54D03DD60974}"/>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2 2 2" xfId="33094" xr:uid="{9280ADF6-33E6-4EB2-B17E-97B7EF785DA7}"/>
    <cellStyle name="Normal 5 2 2 3 2 4 2 2 3" xfId="24653" xr:uid="{55FD6803-6C15-4408-811E-AD884BC26F92}"/>
    <cellStyle name="Normal 5 2 2 3 2 4 2 2 4" xfId="16212" xr:uid="{5A47AD2D-87E0-4E63-ABCA-E4C9A44F41CB}"/>
    <cellStyle name="Normal 5 2 2 3 2 4 2 3" xfId="28876" xr:uid="{08704F2D-D8BC-423C-A87C-6FC60134D613}"/>
    <cellStyle name="Normal 5 2 2 3 2 4 2 4" xfId="20435" xr:uid="{B86E315D-31A5-49BF-B79F-333B82C00B6D}"/>
    <cellStyle name="Normal 5 2 2 3 2 4 2 5" xfId="11994" xr:uid="{D842170D-A2CE-462C-9417-1D9FE88EEA67}"/>
    <cellStyle name="Normal 5 2 2 3 2 4 3" xfId="5617" xr:uid="{00000000-0005-0000-0000-0000B3170000}"/>
    <cellStyle name="Normal 5 2 2 3 2 4 3 2" xfId="30949" xr:uid="{36B65522-D3CA-45AA-944C-E5A1D7BFE2B4}"/>
    <cellStyle name="Normal 5 2 2 3 2 4 3 3" xfId="22508" xr:uid="{A2D22BA0-DDCD-4253-B490-D724A98A5A5D}"/>
    <cellStyle name="Normal 5 2 2 3 2 4 3 4" xfId="14067" xr:uid="{BD2DBF6F-61C5-4D02-96CD-8046C6E645EF}"/>
    <cellStyle name="Normal 5 2 2 3 2 4 4" xfId="26731" xr:uid="{A61C45B1-9A21-478B-9CD5-A290FBBDA72A}"/>
    <cellStyle name="Normal 5 2 2 3 2 4 5" xfId="18290" xr:uid="{20A54A17-11B8-43F4-B7AD-892891D65198}"/>
    <cellStyle name="Normal 5 2 2 3 2 4 6" xfId="9849" xr:uid="{057F837D-81E3-4244-B49C-797ADDEBC6F7}"/>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2 2 2" xfId="33507" xr:uid="{CF6907C0-7E3F-4906-86DA-338003CB33E4}"/>
    <cellStyle name="Normal 5 2 2 3 2 5 2 2 3" xfId="25066" xr:uid="{15EA0C1D-815C-4DB7-A392-96F62231E424}"/>
    <cellStyle name="Normal 5 2 2 3 2 5 2 2 4" xfId="16625" xr:uid="{734AF8C1-8243-4244-BF21-10B8B3B3F788}"/>
    <cellStyle name="Normal 5 2 2 3 2 5 2 3" xfId="29289" xr:uid="{0126373C-8316-4547-B84E-B1992449FBAB}"/>
    <cellStyle name="Normal 5 2 2 3 2 5 2 4" xfId="20848" xr:uid="{8732427C-DF8F-4D47-8B92-A7DEA16D4453}"/>
    <cellStyle name="Normal 5 2 2 3 2 5 2 5" xfId="12407" xr:uid="{06CDE16A-0D36-45B6-9E8F-4C535B8BE8A9}"/>
    <cellStyle name="Normal 5 2 2 3 2 5 3" xfId="6030" xr:uid="{00000000-0005-0000-0000-0000B7170000}"/>
    <cellStyle name="Normal 5 2 2 3 2 5 3 2" xfId="31362" xr:uid="{3D7808E3-C466-4FD2-BAA1-3E94241B2F52}"/>
    <cellStyle name="Normal 5 2 2 3 2 5 3 3" xfId="22921" xr:uid="{3286AE63-75E6-4C03-96C8-9449D2478298}"/>
    <cellStyle name="Normal 5 2 2 3 2 5 3 4" xfId="14480" xr:uid="{61B8BB83-5510-43A9-A934-6D51540DED5E}"/>
    <cellStyle name="Normal 5 2 2 3 2 5 4" xfId="27144" xr:uid="{D971EC1B-D836-4A97-A2AB-6F865A9E350C}"/>
    <cellStyle name="Normal 5 2 2 3 2 5 5" xfId="18703" xr:uid="{A65D4640-CC48-4277-A9C6-5D95224FF125}"/>
    <cellStyle name="Normal 5 2 2 3 2 5 6" xfId="10262" xr:uid="{F684D1C4-15FE-4566-A45E-59A03B4A0597}"/>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2 2 2" xfId="33920" xr:uid="{2204C787-ACC0-40E8-8C92-21B56F82B4D5}"/>
    <cellStyle name="Normal 5 2 2 3 2 6 2 2 3" xfId="25479" xr:uid="{F572E86D-3811-4013-BE53-C283FF70130B}"/>
    <cellStyle name="Normal 5 2 2 3 2 6 2 2 4" xfId="17038" xr:uid="{8A007295-4DBA-462B-A136-DB695BA7FCE5}"/>
    <cellStyle name="Normal 5 2 2 3 2 6 2 3" xfId="29702" xr:uid="{056D3249-FAD2-4F3A-B3A2-C8687351224B}"/>
    <cellStyle name="Normal 5 2 2 3 2 6 2 4" xfId="21261" xr:uid="{EE884A0F-EC25-4BE0-A6C3-E22558039194}"/>
    <cellStyle name="Normal 5 2 2 3 2 6 2 5" xfId="12820" xr:uid="{3A4C297F-A1AE-408E-8489-3C41119FEDEF}"/>
    <cellStyle name="Normal 5 2 2 3 2 6 3" xfId="6443" xr:uid="{00000000-0005-0000-0000-0000BB170000}"/>
    <cellStyle name="Normal 5 2 2 3 2 6 3 2" xfId="31775" xr:uid="{19E2CF36-29EC-41E5-B156-677F544BB63C}"/>
    <cellStyle name="Normal 5 2 2 3 2 6 3 3" xfId="23334" xr:uid="{5D170162-320F-49CC-A9A4-EC2E57B9A0BB}"/>
    <cellStyle name="Normal 5 2 2 3 2 6 3 4" xfId="14893" xr:uid="{AD2B00D1-0FAF-4E3C-A0BA-7395C506965A}"/>
    <cellStyle name="Normal 5 2 2 3 2 6 4" xfId="27557" xr:uid="{6A4EB63F-F09F-4DD0-8C24-BF95A0631659}"/>
    <cellStyle name="Normal 5 2 2 3 2 6 5" xfId="19116" xr:uid="{40DD12DE-1CAB-4A1E-8753-D14B0EF91D98}"/>
    <cellStyle name="Normal 5 2 2 3 2 6 6" xfId="10675" xr:uid="{72E3E2E1-2382-4495-8FDA-83BADEA08D55}"/>
    <cellStyle name="Normal 5 2 2 3 2 7" xfId="2573" xr:uid="{00000000-0005-0000-0000-0000BC170000}"/>
    <cellStyle name="Normal 5 2 2 3 2 7 2" xfId="6856" xr:uid="{00000000-0005-0000-0000-0000BD170000}"/>
    <cellStyle name="Normal 5 2 2 3 2 7 2 2" xfId="32188" xr:uid="{2821B5E0-9831-4286-A96F-4610D2B55BE8}"/>
    <cellStyle name="Normal 5 2 2 3 2 7 2 3" xfId="23747" xr:uid="{06F44C90-BBCC-4F47-B34A-F5B4BC96F43D}"/>
    <cellStyle name="Normal 5 2 2 3 2 7 2 4" xfId="15306" xr:uid="{E6833515-F53B-4B79-926B-9A16405FA0E9}"/>
    <cellStyle name="Normal 5 2 2 3 2 7 3" xfId="27970" xr:uid="{853554EB-3EA1-4FE0-803D-1F62A41BECDD}"/>
    <cellStyle name="Normal 5 2 2 3 2 7 4" xfId="19529" xr:uid="{55E92F0B-3500-4528-9D2E-8D9AABA55E64}"/>
    <cellStyle name="Normal 5 2 2 3 2 7 5" xfId="11088" xr:uid="{72F0BBFD-5E69-4559-A806-4AC6AB4B2198}"/>
    <cellStyle name="Normal 5 2 2 3 2 8" xfId="4791" xr:uid="{00000000-0005-0000-0000-0000BE170000}"/>
    <cellStyle name="Normal 5 2 2 3 2 8 2" xfId="30123" xr:uid="{5A9A1F29-F06D-4173-8ABD-4BA7AC2A24A5}"/>
    <cellStyle name="Normal 5 2 2 3 2 8 3" xfId="21682" xr:uid="{6AF97156-CB45-4601-85B2-AABA451011CC}"/>
    <cellStyle name="Normal 5 2 2 3 2 8 4" xfId="13241" xr:uid="{D4C93BFF-EC4C-4955-A2E7-D39C09B59969}"/>
    <cellStyle name="Normal 5 2 2 3 2 9" xfId="25905" xr:uid="{662B09A7-164D-40AE-B15E-9C9BB0B8787C}"/>
    <cellStyle name="Normal 5 2 2 3 3" xfId="420" xr:uid="{00000000-0005-0000-0000-0000BF170000}"/>
    <cellStyle name="Normal 5 2 2 3 3 10" xfId="9025" xr:uid="{CDD0A815-0148-4CDD-A728-A0DE9BAED436}"/>
    <cellStyle name="Normal 5 2 2 3 3 2" xfId="894" xr:uid="{00000000-0005-0000-0000-0000C0170000}"/>
    <cellStyle name="Normal 5 2 2 3 3 2 2" xfId="3129" xr:uid="{00000000-0005-0000-0000-0000C1170000}"/>
    <cellStyle name="Normal 5 2 2 3 3 2 2 2" xfId="7351" xr:uid="{00000000-0005-0000-0000-0000C2170000}"/>
    <cellStyle name="Normal 5 2 2 3 3 2 2 2 2" xfId="32683" xr:uid="{8AE1B735-BFEA-486C-A1E5-C068ABC51101}"/>
    <cellStyle name="Normal 5 2 2 3 3 2 2 2 3" xfId="24242" xr:uid="{AE2549C2-F482-42A5-BC35-D823FF48B154}"/>
    <cellStyle name="Normal 5 2 2 3 3 2 2 2 4" xfId="15801" xr:uid="{ECEF69A0-7917-4FF4-BF27-B640F820DDD6}"/>
    <cellStyle name="Normal 5 2 2 3 3 2 2 3" xfId="28465" xr:uid="{55CEB6F2-5E12-4BAB-9360-16908DA7443B}"/>
    <cellStyle name="Normal 5 2 2 3 3 2 2 4" xfId="20024" xr:uid="{318E5B27-2207-4D02-A66D-1BC836A4C1BE}"/>
    <cellStyle name="Normal 5 2 2 3 3 2 2 5" xfId="11583" xr:uid="{2FFD7075-C7E4-4B0F-A3DC-21E7128466B4}"/>
    <cellStyle name="Normal 5 2 2 3 3 2 3" xfId="5206" xr:uid="{00000000-0005-0000-0000-0000C3170000}"/>
    <cellStyle name="Normal 5 2 2 3 3 2 3 2" xfId="30538" xr:uid="{E2E316F0-E267-4C63-955E-A65480F4DBCA}"/>
    <cellStyle name="Normal 5 2 2 3 3 2 3 3" xfId="22097" xr:uid="{6B28AF53-F6A9-409C-BD51-969531D15518}"/>
    <cellStyle name="Normal 5 2 2 3 3 2 3 4" xfId="13656" xr:uid="{2EA8868D-BAC7-4D0E-BDD9-58FC14B2B5D3}"/>
    <cellStyle name="Normal 5 2 2 3 3 2 4" xfId="26320" xr:uid="{14B1BEA4-F65A-421D-B232-BE3C17299A30}"/>
    <cellStyle name="Normal 5 2 2 3 3 2 5" xfId="17879" xr:uid="{3263B443-EE23-4913-A7DD-34A0EE19C821}"/>
    <cellStyle name="Normal 5 2 2 3 3 2 6" xfId="9438" xr:uid="{09CA2431-AC0E-4869-A2B0-7F11898EE0E3}"/>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2 2 2" xfId="33096" xr:uid="{9F36ABBC-8D3B-4038-BB13-CB7EB91EADBD}"/>
    <cellStyle name="Normal 5 2 2 3 3 3 2 2 3" xfId="24655" xr:uid="{ED57358E-6D65-495B-B000-BDD6F7EEDA6A}"/>
    <cellStyle name="Normal 5 2 2 3 3 3 2 2 4" xfId="16214" xr:uid="{A2056664-B8BF-4107-8022-85D21004AF7D}"/>
    <cellStyle name="Normal 5 2 2 3 3 3 2 3" xfId="28878" xr:uid="{3D42205E-C808-4F5B-8CB9-AE708C27668A}"/>
    <cellStyle name="Normal 5 2 2 3 3 3 2 4" xfId="20437" xr:uid="{06C23D3C-13B5-41CB-886A-24BB1D7336D8}"/>
    <cellStyle name="Normal 5 2 2 3 3 3 2 5" xfId="11996" xr:uid="{7CBEDEB2-D764-4814-887B-D14E8C941387}"/>
    <cellStyle name="Normal 5 2 2 3 3 3 3" xfId="5619" xr:uid="{00000000-0005-0000-0000-0000C7170000}"/>
    <cellStyle name="Normal 5 2 2 3 3 3 3 2" xfId="30951" xr:uid="{C9323800-419E-47FC-A7B3-CDB34722A873}"/>
    <cellStyle name="Normal 5 2 2 3 3 3 3 3" xfId="22510" xr:uid="{FEDEFDBF-5377-4B6E-B0B0-55FDF9388DB9}"/>
    <cellStyle name="Normal 5 2 2 3 3 3 3 4" xfId="14069" xr:uid="{B5DA7FB8-A543-47FA-B338-DDAB1A504C6B}"/>
    <cellStyle name="Normal 5 2 2 3 3 3 4" xfId="26733" xr:uid="{BB1047CD-1F65-4739-9119-BC8C70834C95}"/>
    <cellStyle name="Normal 5 2 2 3 3 3 5" xfId="18292" xr:uid="{C7A7D86E-0D16-4686-87DD-4FCC7CABEDC0}"/>
    <cellStyle name="Normal 5 2 2 3 3 3 6" xfId="9851" xr:uid="{3BFD83EA-5C38-4ADF-87BF-96E150BC3561}"/>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2 2 2" xfId="33509" xr:uid="{C853C910-79DD-48C1-B40F-715B9B077D98}"/>
    <cellStyle name="Normal 5 2 2 3 3 4 2 2 3" xfId="25068" xr:uid="{34D7E28D-D8A6-40F1-AB04-5602FA9FD635}"/>
    <cellStyle name="Normal 5 2 2 3 3 4 2 2 4" xfId="16627" xr:uid="{7FEF896B-523A-4544-B5E9-0256F22F90EF}"/>
    <cellStyle name="Normal 5 2 2 3 3 4 2 3" xfId="29291" xr:uid="{7A060395-8171-4F54-B7C1-F87B491111CF}"/>
    <cellStyle name="Normal 5 2 2 3 3 4 2 4" xfId="20850" xr:uid="{E9E7386B-737D-4ED6-ADF7-2312459A91FA}"/>
    <cellStyle name="Normal 5 2 2 3 3 4 2 5" xfId="12409" xr:uid="{7FA28D91-3803-4147-B6D6-7F80061A4188}"/>
    <cellStyle name="Normal 5 2 2 3 3 4 3" xfId="6032" xr:uid="{00000000-0005-0000-0000-0000CB170000}"/>
    <cellStyle name="Normal 5 2 2 3 3 4 3 2" xfId="31364" xr:uid="{40418D08-FCBB-49BB-A63E-DA760305E3BE}"/>
    <cellStyle name="Normal 5 2 2 3 3 4 3 3" xfId="22923" xr:uid="{5F6E8018-8A8C-4FBE-8125-1A14D3F2A1E5}"/>
    <cellStyle name="Normal 5 2 2 3 3 4 3 4" xfId="14482" xr:uid="{D0FCF916-3F73-4AB7-B993-341B418F80C8}"/>
    <cellStyle name="Normal 5 2 2 3 3 4 4" xfId="27146" xr:uid="{E4D9E2E6-E202-44F4-95B6-813C3F54294D}"/>
    <cellStyle name="Normal 5 2 2 3 3 4 5" xfId="18705" xr:uid="{FB742429-DB08-486C-ABA7-7D8B9D157773}"/>
    <cellStyle name="Normal 5 2 2 3 3 4 6" xfId="10264" xr:uid="{44B151DE-35FB-4DDE-B7F6-35728001F6BD}"/>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2 2 2" xfId="33922" xr:uid="{A67A463C-63CD-4BE1-A852-F0F457190820}"/>
    <cellStyle name="Normal 5 2 2 3 3 5 2 2 3" xfId="25481" xr:uid="{7D1849D4-8954-4965-BB15-EA4B0F927B4B}"/>
    <cellStyle name="Normal 5 2 2 3 3 5 2 2 4" xfId="17040" xr:uid="{31B56401-E8E6-4241-9072-9E727E626616}"/>
    <cellStyle name="Normal 5 2 2 3 3 5 2 3" xfId="29704" xr:uid="{FBC31942-DBA3-4F2F-9E63-67BE980C629E}"/>
    <cellStyle name="Normal 5 2 2 3 3 5 2 4" xfId="21263" xr:uid="{D3C43AD7-AFF3-4EC3-ABE9-2DBDF17C319A}"/>
    <cellStyle name="Normal 5 2 2 3 3 5 2 5" xfId="12822" xr:uid="{E2CA86DC-71B2-4412-A12A-ADBE5B4B86AA}"/>
    <cellStyle name="Normal 5 2 2 3 3 5 3" xfId="6445" xr:uid="{00000000-0005-0000-0000-0000CF170000}"/>
    <cellStyle name="Normal 5 2 2 3 3 5 3 2" xfId="31777" xr:uid="{3C41D0C7-82BE-4312-9254-74A8206DED7D}"/>
    <cellStyle name="Normal 5 2 2 3 3 5 3 3" xfId="23336" xr:uid="{859F0E10-BE77-4C26-BE79-961F2FE89018}"/>
    <cellStyle name="Normal 5 2 2 3 3 5 3 4" xfId="14895" xr:uid="{FFA8F354-8270-41BE-9B44-2AC8A22830B8}"/>
    <cellStyle name="Normal 5 2 2 3 3 5 4" xfId="27559" xr:uid="{C0ED198E-F105-403B-B049-C45478EE3FC0}"/>
    <cellStyle name="Normal 5 2 2 3 3 5 5" xfId="19118" xr:uid="{37CE6353-2BE5-49EF-B115-13F8A50E29C6}"/>
    <cellStyle name="Normal 5 2 2 3 3 5 6" xfId="10677" xr:uid="{782D5A88-BF06-4442-8BC2-E5C950965A04}"/>
    <cellStyle name="Normal 5 2 2 3 3 6" xfId="2575" xr:uid="{00000000-0005-0000-0000-0000D0170000}"/>
    <cellStyle name="Normal 5 2 2 3 3 6 2" xfId="6858" xr:uid="{00000000-0005-0000-0000-0000D1170000}"/>
    <cellStyle name="Normal 5 2 2 3 3 6 2 2" xfId="32190" xr:uid="{80D393F5-40B2-4FD2-846B-832B052881E3}"/>
    <cellStyle name="Normal 5 2 2 3 3 6 2 3" xfId="23749" xr:uid="{DCBAAE69-5667-42A6-95E0-A20637644A76}"/>
    <cellStyle name="Normal 5 2 2 3 3 6 2 4" xfId="15308" xr:uid="{3FC5F677-A005-442F-8A49-61E50C005ABA}"/>
    <cellStyle name="Normal 5 2 2 3 3 6 3" xfId="27972" xr:uid="{49F55053-DEE0-4839-836D-F79B5B000CEE}"/>
    <cellStyle name="Normal 5 2 2 3 3 6 4" xfId="19531" xr:uid="{6EB49833-85B4-46D0-A55A-A46591532DCB}"/>
    <cellStyle name="Normal 5 2 2 3 3 6 5" xfId="11090" xr:uid="{A3C8ADC0-F1FD-4C9B-B788-6AA4C1140448}"/>
    <cellStyle name="Normal 5 2 2 3 3 7" xfId="4793" xr:uid="{00000000-0005-0000-0000-0000D2170000}"/>
    <cellStyle name="Normal 5 2 2 3 3 7 2" xfId="30125" xr:uid="{AFBA1A46-8030-4A38-8CD0-7BB8E69C3EF6}"/>
    <cellStyle name="Normal 5 2 2 3 3 7 3" xfId="21684" xr:uid="{EF354C25-60A5-4A90-97F1-B4962B23573A}"/>
    <cellStyle name="Normal 5 2 2 3 3 7 4" xfId="13243" xr:uid="{53A3316E-42A9-4584-845F-ADB7F97BA395}"/>
    <cellStyle name="Normal 5 2 2 3 3 8" xfId="25907" xr:uid="{160DA123-677E-4776-864C-CEF384D44C7F}"/>
    <cellStyle name="Normal 5 2 2 3 3 9" xfId="17466" xr:uid="{14615E6F-4010-4576-BDCF-D10C61A81B8B}"/>
    <cellStyle name="Normal 5 2 2 3 4" xfId="891" xr:uid="{00000000-0005-0000-0000-0000D3170000}"/>
    <cellStyle name="Normal 5 2 2 3 4 2" xfId="3126" xr:uid="{00000000-0005-0000-0000-0000D4170000}"/>
    <cellStyle name="Normal 5 2 2 3 4 2 2" xfId="7348" xr:uid="{00000000-0005-0000-0000-0000D5170000}"/>
    <cellStyle name="Normal 5 2 2 3 4 2 2 2" xfId="32680" xr:uid="{3C9623DB-5D18-42AD-9CDC-4F7FDDEDC71D}"/>
    <cellStyle name="Normal 5 2 2 3 4 2 2 3" xfId="24239" xr:uid="{259F7B3F-6320-4D92-BDEB-DA6399649573}"/>
    <cellStyle name="Normal 5 2 2 3 4 2 2 4" xfId="15798" xr:uid="{7948954C-4711-455D-BF3A-99BFFBF0B237}"/>
    <cellStyle name="Normal 5 2 2 3 4 2 3" xfId="28462" xr:uid="{59F10F4A-2B92-49A8-8D82-08290EE15E2A}"/>
    <cellStyle name="Normal 5 2 2 3 4 2 4" xfId="20021" xr:uid="{6D6D64B1-DBC1-451A-BA75-6EBE33ACE4C9}"/>
    <cellStyle name="Normal 5 2 2 3 4 2 5" xfId="11580" xr:uid="{0A8AF448-A268-4245-90AB-507E9E12A870}"/>
    <cellStyle name="Normal 5 2 2 3 4 3" xfId="5203" xr:uid="{00000000-0005-0000-0000-0000D6170000}"/>
    <cellStyle name="Normal 5 2 2 3 4 3 2" xfId="30535" xr:uid="{D2B27210-F086-4BCC-A7A1-1815C3246CC8}"/>
    <cellStyle name="Normal 5 2 2 3 4 3 3" xfId="22094" xr:uid="{DAD08C19-9269-471C-99AE-FE8C90EB2809}"/>
    <cellStyle name="Normal 5 2 2 3 4 3 4" xfId="13653" xr:uid="{9379D345-5DA7-4EB2-8D52-BC26C8275B25}"/>
    <cellStyle name="Normal 5 2 2 3 4 4" xfId="26317" xr:uid="{7CCDC2E9-1DCF-4449-B6FE-43AC5B06974C}"/>
    <cellStyle name="Normal 5 2 2 3 4 5" xfId="17876" xr:uid="{7FD02748-B490-4400-9D47-307EA16D3C06}"/>
    <cellStyle name="Normal 5 2 2 3 4 6" xfId="9435" xr:uid="{8923F268-C878-4C65-9852-380EA5DB1AF3}"/>
    <cellStyle name="Normal 5 2 2 3 5" xfId="1309" xr:uid="{00000000-0005-0000-0000-0000D7170000}"/>
    <cellStyle name="Normal 5 2 2 3 5 2" xfId="3539" xr:uid="{00000000-0005-0000-0000-0000D8170000}"/>
    <cellStyle name="Normal 5 2 2 3 5 2 2" xfId="7761" xr:uid="{00000000-0005-0000-0000-0000D9170000}"/>
    <cellStyle name="Normal 5 2 2 3 5 2 2 2" xfId="33093" xr:uid="{8CF17126-C58A-4F17-918E-8221DF4F5144}"/>
    <cellStyle name="Normal 5 2 2 3 5 2 2 3" xfId="24652" xr:uid="{ED943B97-F6A4-476C-9477-B73ACFB9A134}"/>
    <cellStyle name="Normal 5 2 2 3 5 2 2 4" xfId="16211" xr:uid="{E327F5C5-32B9-4EA4-A494-54710EF9D27B}"/>
    <cellStyle name="Normal 5 2 2 3 5 2 3" xfId="28875" xr:uid="{0F13CA9B-AC17-4DE4-8748-185C0260C7B3}"/>
    <cellStyle name="Normal 5 2 2 3 5 2 4" xfId="20434" xr:uid="{99346564-9C54-4BFC-83EB-8D939164FB2E}"/>
    <cellStyle name="Normal 5 2 2 3 5 2 5" xfId="11993" xr:uid="{6371A8DA-2A9E-4C3A-A602-34A93531B959}"/>
    <cellStyle name="Normal 5 2 2 3 5 3" xfId="5616" xr:uid="{00000000-0005-0000-0000-0000DA170000}"/>
    <cellStyle name="Normal 5 2 2 3 5 3 2" xfId="30948" xr:uid="{FCA13BC6-94D0-4069-B50C-05AA54201780}"/>
    <cellStyle name="Normal 5 2 2 3 5 3 3" xfId="22507" xr:uid="{ED1C5820-9D04-4E51-AB98-BE07F75A6AA8}"/>
    <cellStyle name="Normal 5 2 2 3 5 3 4" xfId="14066" xr:uid="{1239F59D-4806-4246-9099-1F4F50AFCDA9}"/>
    <cellStyle name="Normal 5 2 2 3 5 4" xfId="26730" xr:uid="{CFD0BD5C-34D0-4E71-8025-FC02A02F4B84}"/>
    <cellStyle name="Normal 5 2 2 3 5 5" xfId="18289" xr:uid="{2F583D2B-2CAE-4F5C-A3E6-98DEC8D0B354}"/>
    <cellStyle name="Normal 5 2 2 3 5 6" xfId="9848" xr:uid="{FAE996C7-C372-43CD-8DFE-5C5FC6CE903C}"/>
    <cellStyle name="Normal 5 2 2 3 6" xfId="1722" xr:uid="{00000000-0005-0000-0000-0000DB170000}"/>
    <cellStyle name="Normal 5 2 2 3 6 2" xfId="3952" xr:uid="{00000000-0005-0000-0000-0000DC170000}"/>
    <cellStyle name="Normal 5 2 2 3 6 2 2" xfId="8174" xr:uid="{00000000-0005-0000-0000-0000DD170000}"/>
    <cellStyle name="Normal 5 2 2 3 6 2 2 2" xfId="33506" xr:uid="{4970A115-69C7-43AE-9081-2DAC49F71EFA}"/>
    <cellStyle name="Normal 5 2 2 3 6 2 2 3" xfId="25065" xr:uid="{FA3CF721-CFA7-4BDD-8DD0-8721435C501F}"/>
    <cellStyle name="Normal 5 2 2 3 6 2 2 4" xfId="16624" xr:uid="{3C522D55-7F1B-4FF3-8BFE-EE4745D6B102}"/>
    <cellStyle name="Normal 5 2 2 3 6 2 3" xfId="29288" xr:uid="{DE551B2B-7E92-4FB0-B3E5-E8A0D1ACCEB4}"/>
    <cellStyle name="Normal 5 2 2 3 6 2 4" xfId="20847" xr:uid="{DD9C1643-9908-4B14-A1BF-1F109C5D6E9F}"/>
    <cellStyle name="Normal 5 2 2 3 6 2 5" xfId="12406" xr:uid="{A32763ED-3ECC-4731-A3DF-BE2B21510B6F}"/>
    <cellStyle name="Normal 5 2 2 3 6 3" xfId="6029" xr:uid="{00000000-0005-0000-0000-0000DE170000}"/>
    <cellStyle name="Normal 5 2 2 3 6 3 2" xfId="31361" xr:uid="{6237AF5A-0A10-4B67-9E5A-B2C58C675952}"/>
    <cellStyle name="Normal 5 2 2 3 6 3 3" xfId="22920" xr:uid="{711DFE7A-FE6E-4D9D-A025-22B5EA44E6D6}"/>
    <cellStyle name="Normal 5 2 2 3 6 3 4" xfId="14479" xr:uid="{644BA7A3-A8AC-4ED9-997F-CECEB97D0269}"/>
    <cellStyle name="Normal 5 2 2 3 6 4" xfId="27143" xr:uid="{8BCEF7D0-FE71-4F98-9956-64108D680CBA}"/>
    <cellStyle name="Normal 5 2 2 3 6 5" xfId="18702" xr:uid="{BA566CEF-4870-4344-BA3C-1D32EFCAAA12}"/>
    <cellStyle name="Normal 5 2 2 3 6 6" xfId="10261" xr:uid="{4D28F0DB-00A8-449F-B32E-571934A2F081}"/>
    <cellStyle name="Normal 5 2 2 3 7" xfId="2136" xr:uid="{00000000-0005-0000-0000-0000DF170000}"/>
    <cellStyle name="Normal 5 2 2 3 7 2" xfId="4365" xr:uid="{00000000-0005-0000-0000-0000E0170000}"/>
    <cellStyle name="Normal 5 2 2 3 7 2 2" xfId="8587" xr:uid="{00000000-0005-0000-0000-0000E1170000}"/>
    <cellStyle name="Normal 5 2 2 3 7 2 2 2" xfId="33919" xr:uid="{3C849F74-DA94-483C-92B5-CB0902141AB4}"/>
    <cellStyle name="Normal 5 2 2 3 7 2 2 3" xfId="25478" xr:uid="{877750A6-D84F-4604-9B28-BB95237E856D}"/>
    <cellStyle name="Normal 5 2 2 3 7 2 2 4" xfId="17037" xr:uid="{5EF03D51-6D2A-4209-B11D-AB23B31CA5CB}"/>
    <cellStyle name="Normal 5 2 2 3 7 2 3" xfId="29701" xr:uid="{D9E64A80-B68E-404F-B5CF-1CCEBE1DB2B2}"/>
    <cellStyle name="Normal 5 2 2 3 7 2 4" xfId="21260" xr:uid="{2D4BFAF5-F6DB-4AEB-B53A-AAE81E343F0B}"/>
    <cellStyle name="Normal 5 2 2 3 7 2 5" xfId="12819" xr:uid="{3D8CED48-7282-4B1A-BE57-12BF84A0BFC6}"/>
    <cellStyle name="Normal 5 2 2 3 7 3" xfId="6442" xr:uid="{00000000-0005-0000-0000-0000E2170000}"/>
    <cellStyle name="Normal 5 2 2 3 7 3 2" xfId="31774" xr:uid="{3334F961-6B60-4F85-9322-0F4C9A8310F0}"/>
    <cellStyle name="Normal 5 2 2 3 7 3 3" xfId="23333" xr:uid="{C7959237-43E9-453C-8698-071FFE995E85}"/>
    <cellStyle name="Normal 5 2 2 3 7 3 4" xfId="14892" xr:uid="{B85D1FCB-FAE4-4037-8BE8-7C15DB7533EE}"/>
    <cellStyle name="Normal 5 2 2 3 7 4" xfId="27556" xr:uid="{4377D0D9-4F42-4CA3-8EBE-B2C4ABEA6A60}"/>
    <cellStyle name="Normal 5 2 2 3 7 5" xfId="19115" xr:uid="{CE1B03AE-3817-4018-8FB1-5C102B8AA46E}"/>
    <cellStyle name="Normal 5 2 2 3 7 6" xfId="10674" xr:uid="{59CAFD5A-2720-4020-95A2-EA93296C26B3}"/>
    <cellStyle name="Normal 5 2 2 3 8" xfId="2572" xr:uid="{00000000-0005-0000-0000-0000E3170000}"/>
    <cellStyle name="Normal 5 2 2 3 8 2" xfId="6855" xr:uid="{00000000-0005-0000-0000-0000E4170000}"/>
    <cellStyle name="Normal 5 2 2 3 8 2 2" xfId="32187" xr:uid="{62E1F185-2E77-4AF3-A27D-B5B5BC518B4F}"/>
    <cellStyle name="Normal 5 2 2 3 8 2 3" xfId="23746" xr:uid="{1AAC0963-2E0F-4642-98AF-B74BE721EBA6}"/>
    <cellStyle name="Normal 5 2 2 3 8 2 4" xfId="15305" xr:uid="{A8B23B21-C577-45ED-8212-6BF9CA12BDF1}"/>
    <cellStyle name="Normal 5 2 2 3 8 3" xfId="27969" xr:uid="{CA6B104B-3E40-49C4-8211-AE32BFA6C498}"/>
    <cellStyle name="Normal 5 2 2 3 8 4" xfId="19528" xr:uid="{202E23B2-60CF-49F1-B545-86C159A8A599}"/>
    <cellStyle name="Normal 5 2 2 3 8 5" xfId="11087" xr:uid="{1721BED1-806C-4B10-9201-EBFC37A011E2}"/>
    <cellStyle name="Normal 5 2 2 3 9" xfId="4790" xr:uid="{00000000-0005-0000-0000-0000E5170000}"/>
    <cellStyle name="Normal 5 2 2 3 9 2" xfId="30122" xr:uid="{298B3174-FE71-4ADC-B88E-6DA42FEEB790}"/>
    <cellStyle name="Normal 5 2 2 3 9 3" xfId="21681" xr:uid="{F0B95630-53A5-4C42-9FE5-D4E5DEA0C829}"/>
    <cellStyle name="Normal 5 2 2 3 9 4" xfId="13240" xr:uid="{55867701-31D2-4899-BD2A-EFF258A09CCD}"/>
    <cellStyle name="Normal 5 2 2 4" xfId="421" xr:uid="{00000000-0005-0000-0000-0000E6170000}"/>
    <cellStyle name="Normal 5 2 2 4 10" xfId="17467" xr:uid="{A87A7EF9-A8F2-40E2-A424-E0FE18529D6E}"/>
    <cellStyle name="Normal 5 2 2 4 11" xfId="9026" xr:uid="{055199E7-DACC-420E-80BF-51AB21F20A85}"/>
    <cellStyle name="Normal 5 2 2 4 2" xfId="422" xr:uid="{00000000-0005-0000-0000-0000E7170000}"/>
    <cellStyle name="Normal 5 2 2 4 2 10" xfId="9027" xr:uid="{0F461484-EF1E-4795-86B2-093D15BE397A}"/>
    <cellStyle name="Normal 5 2 2 4 2 2" xfId="896" xr:uid="{00000000-0005-0000-0000-0000E8170000}"/>
    <cellStyle name="Normal 5 2 2 4 2 2 2" xfId="3131" xr:uid="{00000000-0005-0000-0000-0000E9170000}"/>
    <cellStyle name="Normal 5 2 2 4 2 2 2 2" xfId="7353" xr:uid="{00000000-0005-0000-0000-0000EA170000}"/>
    <cellStyle name="Normal 5 2 2 4 2 2 2 2 2" xfId="32685" xr:uid="{6B623729-31F0-4F3A-B301-69BE532048A5}"/>
    <cellStyle name="Normal 5 2 2 4 2 2 2 2 3" xfId="24244" xr:uid="{A70ACC47-49A9-4517-BACF-16076010B92A}"/>
    <cellStyle name="Normal 5 2 2 4 2 2 2 2 4" xfId="15803" xr:uid="{D0302D96-004F-4D8F-80B3-7955F111A074}"/>
    <cellStyle name="Normal 5 2 2 4 2 2 2 3" xfId="28467" xr:uid="{132703A8-E85B-4DE4-8DC6-B69524285A8E}"/>
    <cellStyle name="Normal 5 2 2 4 2 2 2 4" xfId="20026" xr:uid="{00CA9ACB-38E0-436C-B666-66C9C0B3284B}"/>
    <cellStyle name="Normal 5 2 2 4 2 2 2 5" xfId="11585" xr:uid="{9F7BF9F7-9908-40BF-93DD-F0E8E7377AF3}"/>
    <cellStyle name="Normal 5 2 2 4 2 2 3" xfId="5208" xr:uid="{00000000-0005-0000-0000-0000EB170000}"/>
    <cellStyle name="Normal 5 2 2 4 2 2 3 2" xfId="30540" xr:uid="{DA19E32A-CF83-48C2-BCE3-D9D184BB4CD2}"/>
    <cellStyle name="Normal 5 2 2 4 2 2 3 3" xfId="22099" xr:uid="{1C849E1A-9961-4189-984D-D0AB70E5DA8B}"/>
    <cellStyle name="Normal 5 2 2 4 2 2 3 4" xfId="13658" xr:uid="{B946A906-5D5C-44CD-A136-D65B0773DF17}"/>
    <cellStyle name="Normal 5 2 2 4 2 2 4" xfId="26322" xr:uid="{607C5530-0151-46F4-8133-C95F43D9E174}"/>
    <cellStyle name="Normal 5 2 2 4 2 2 5" xfId="17881" xr:uid="{1A288ADA-2E2D-4137-9639-40E922A40706}"/>
    <cellStyle name="Normal 5 2 2 4 2 2 6" xfId="9440" xr:uid="{A8C340DB-0F0F-4250-973B-67C67469ADA7}"/>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2 2 2" xfId="33098" xr:uid="{1283DAF0-51E5-4DF4-9B1F-C57F5FDEB017}"/>
    <cellStyle name="Normal 5 2 2 4 2 3 2 2 3" xfId="24657" xr:uid="{8655EF4B-CF77-485E-8C0B-252845AE0873}"/>
    <cellStyle name="Normal 5 2 2 4 2 3 2 2 4" xfId="16216" xr:uid="{EE6885D9-A6F5-482B-9EEB-19E44DCE9BE4}"/>
    <cellStyle name="Normal 5 2 2 4 2 3 2 3" xfId="28880" xr:uid="{3EA713C2-63AD-4940-9E96-6E0781AF2F9D}"/>
    <cellStyle name="Normal 5 2 2 4 2 3 2 4" xfId="20439" xr:uid="{151A538A-8C42-481A-9185-0E1FFCE2000F}"/>
    <cellStyle name="Normal 5 2 2 4 2 3 2 5" xfId="11998" xr:uid="{D0447E3E-9FE2-4242-BEBD-7E6662F4DB61}"/>
    <cellStyle name="Normal 5 2 2 4 2 3 3" xfId="5621" xr:uid="{00000000-0005-0000-0000-0000EF170000}"/>
    <cellStyle name="Normal 5 2 2 4 2 3 3 2" xfId="30953" xr:uid="{298E3112-BC12-4D6B-98B9-9CCEBB7CA750}"/>
    <cellStyle name="Normal 5 2 2 4 2 3 3 3" xfId="22512" xr:uid="{A3F110C0-E222-4817-BA0D-039FF6C20E65}"/>
    <cellStyle name="Normal 5 2 2 4 2 3 3 4" xfId="14071" xr:uid="{614DD4F9-424D-406C-8F36-2A608B198F45}"/>
    <cellStyle name="Normal 5 2 2 4 2 3 4" xfId="26735" xr:uid="{F3DB6B2B-2287-4576-8937-F22F07305D1A}"/>
    <cellStyle name="Normal 5 2 2 4 2 3 5" xfId="18294" xr:uid="{6CAEF9CE-1D03-409C-B297-02B17638956F}"/>
    <cellStyle name="Normal 5 2 2 4 2 3 6" xfId="9853" xr:uid="{3B294B4C-83F3-46E9-82B8-FAE152C7F1F5}"/>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2 2 2" xfId="33511" xr:uid="{BD8D0FF5-0BE5-4FB2-B489-A2B9EE418B07}"/>
    <cellStyle name="Normal 5 2 2 4 2 4 2 2 3" xfId="25070" xr:uid="{BF5AEC49-DCCD-4883-981B-77210D729062}"/>
    <cellStyle name="Normal 5 2 2 4 2 4 2 2 4" xfId="16629" xr:uid="{26E61592-56BD-43CB-8C9D-E270CB7E6A38}"/>
    <cellStyle name="Normal 5 2 2 4 2 4 2 3" xfId="29293" xr:uid="{F432B585-B1F6-41B6-86D0-CE441B77224D}"/>
    <cellStyle name="Normal 5 2 2 4 2 4 2 4" xfId="20852" xr:uid="{C8EFE261-212E-4130-A588-5708D385B043}"/>
    <cellStyle name="Normal 5 2 2 4 2 4 2 5" xfId="12411" xr:uid="{5D8C97A4-BBC5-404E-BE1B-81B8CCFB787E}"/>
    <cellStyle name="Normal 5 2 2 4 2 4 3" xfId="6034" xr:uid="{00000000-0005-0000-0000-0000F3170000}"/>
    <cellStyle name="Normal 5 2 2 4 2 4 3 2" xfId="31366" xr:uid="{4C857B5D-8A83-4081-8172-0637C930AB0A}"/>
    <cellStyle name="Normal 5 2 2 4 2 4 3 3" xfId="22925" xr:uid="{84AEFE39-6FE0-4AF8-8C90-157CDABED84D}"/>
    <cellStyle name="Normal 5 2 2 4 2 4 3 4" xfId="14484" xr:uid="{3ED26532-F8E7-4FB2-A632-DE605151F7AB}"/>
    <cellStyle name="Normal 5 2 2 4 2 4 4" xfId="27148" xr:uid="{9E851B67-DB4F-48F9-AB3D-0C99B9B51BE4}"/>
    <cellStyle name="Normal 5 2 2 4 2 4 5" xfId="18707" xr:uid="{E305C77B-317A-4067-9FD8-52F82F58D19F}"/>
    <cellStyle name="Normal 5 2 2 4 2 4 6" xfId="10266" xr:uid="{A1CC7981-6898-4CB1-A130-433C2C3BBD9B}"/>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2 2 2" xfId="33924" xr:uid="{B2035D7C-F7FB-4EC7-93A1-36637CC50F3F}"/>
    <cellStyle name="Normal 5 2 2 4 2 5 2 2 3" xfId="25483" xr:uid="{2815F7DA-1440-4523-B788-13751D735CF9}"/>
    <cellStyle name="Normal 5 2 2 4 2 5 2 2 4" xfId="17042" xr:uid="{CEF70A8F-EE1A-45C0-AD20-17534C7C35C9}"/>
    <cellStyle name="Normal 5 2 2 4 2 5 2 3" xfId="29706" xr:uid="{F324CE26-BA64-44F2-951F-EBC0F328B425}"/>
    <cellStyle name="Normal 5 2 2 4 2 5 2 4" xfId="21265" xr:uid="{7AA872B9-D02F-439A-A250-4B4DA1D9D758}"/>
    <cellStyle name="Normal 5 2 2 4 2 5 2 5" xfId="12824" xr:uid="{A196E119-EBBB-41D9-9033-08373FD1CBF8}"/>
    <cellStyle name="Normal 5 2 2 4 2 5 3" xfId="6447" xr:uid="{00000000-0005-0000-0000-0000F7170000}"/>
    <cellStyle name="Normal 5 2 2 4 2 5 3 2" xfId="31779" xr:uid="{C5418666-0E22-45B8-B3E1-FE20DBA4EF0C}"/>
    <cellStyle name="Normal 5 2 2 4 2 5 3 3" xfId="23338" xr:uid="{616DE48D-1D18-4E1D-8BEB-8516185F48FB}"/>
    <cellStyle name="Normal 5 2 2 4 2 5 3 4" xfId="14897" xr:uid="{B949178A-1416-49E1-8DD3-4E32F9A0D24F}"/>
    <cellStyle name="Normal 5 2 2 4 2 5 4" xfId="27561" xr:uid="{2B19A870-B4E8-4F15-9033-ED1CED279DA2}"/>
    <cellStyle name="Normal 5 2 2 4 2 5 5" xfId="19120" xr:uid="{4CE1C832-C10C-4122-87C4-CE9433E8AC93}"/>
    <cellStyle name="Normal 5 2 2 4 2 5 6" xfId="10679" xr:uid="{0D9E40B0-29AC-4CD6-8681-8864216BEFDA}"/>
    <cellStyle name="Normal 5 2 2 4 2 6" xfId="2577" xr:uid="{00000000-0005-0000-0000-0000F8170000}"/>
    <cellStyle name="Normal 5 2 2 4 2 6 2" xfId="6860" xr:uid="{00000000-0005-0000-0000-0000F9170000}"/>
    <cellStyle name="Normal 5 2 2 4 2 6 2 2" xfId="32192" xr:uid="{2C64AACC-21CB-4795-B24E-8BB5CD3BD548}"/>
    <cellStyle name="Normal 5 2 2 4 2 6 2 3" xfId="23751" xr:uid="{860B777A-F055-4FFD-852C-18107D321128}"/>
    <cellStyle name="Normal 5 2 2 4 2 6 2 4" xfId="15310" xr:uid="{D25A2854-C5B0-4F71-BD44-5B43819A7DF2}"/>
    <cellStyle name="Normal 5 2 2 4 2 6 3" xfId="27974" xr:uid="{54321DB5-AFE5-47BA-9DFD-A19AB07A0AA8}"/>
    <cellStyle name="Normal 5 2 2 4 2 6 4" xfId="19533" xr:uid="{7D4EC648-FBE4-4046-9764-ADE65DAC302C}"/>
    <cellStyle name="Normal 5 2 2 4 2 6 5" xfId="11092" xr:uid="{E95EFDF6-46FC-46DF-90EC-FE5F1E21ED7E}"/>
    <cellStyle name="Normal 5 2 2 4 2 7" xfId="4795" xr:uid="{00000000-0005-0000-0000-0000FA170000}"/>
    <cellStyle name="Normal 5 2 2 4 2 7 2" xfId="30127" xr:uid="{A8D29D24-742D-4114-A3DF-0F9A71A39FEB}"/>
    <cellStyle name="Normal 5 2 2 4 2 7 3" xfId="21686" xr:uid="{74610059-9B27-47C3-A9CC-0E9A6EDA6A3C}"/>
    <cellStyle name="Normal 5 2 2 4 2 7 4" xfId="13245" xr:uid="{AC8F7AAF-C0AA-41AA-A429-22FBADE6BE94}"/>
    <cellStyle name="Normal 5 2 2 4 2 8" xfId="25909" xr:uid="{CA75F7DB-FCB1-416D-ABF6-89A04BE1A58B}"/>
    <cellStyle name="Normal 5 2 2 4 2 9" xfId="17468" xr:uid="{03673622-C3C9-4604-82D8-69BB32527174}"/>
    <cellStyle name="Normal 5 2 2 4 3" xfId="895" xr:uid="{00000000-0005-0000-0000-0000FB170000}"/>
    <cellStyle name="Normal 5 2 2 4 3 2" xfId="3130" xr:uid="{00000000-0005-0000-0000-0000FC170000}"/>
    <cellStyle name="Normal 5 2 2 4 3 2 2" xfId="7352" xr:uid="{00000000-0005-0000-0000-0000FD170000}"/>
    <cellStyle name="Normal 5 2 2 4 3 2 2 2" xfId="32684" xr:uid="{3F126EB4-81D6-49F7-AFF5-513C762C56FB}"/>
    <cellStyle name="Normal 5 2 2 4 3 2 2 3" xfId="24243" xr:uid="{D4CA9C26-76A1-4B9A-BC5B-929C9D66D66C}"/>
    <cellStyle name="Normal 5 2 2 4 3 2 2 4" xfId="15802" xr:uid="{13304ECE-EE1E-49CF-BF5E-E9EC85339483}"/>
    <cellStyle name="Normal 5 2 2 4 3 2 3" xfId="28466" xr:uid="{0D7F981E-C869-41E0-ACE5-6CCC6F18E03C}"/>
    <cellStyle name="Normal 5 2 2 4 3 2 4" xfId="20025" xr:uid="{64F5AB65-209A-401E-8C3D-DB867BA16BD7}"/>
    <cellStyle name="Normal 5 2 2 4 3 2 5" xfId="11584" xr:uid="{4E523B84-8079-450D-BDEB-5B38272A9488}"/>
    <cellStyle name="Normal 5 2 2 4 3 3" xfId="5207" xr:uid="{00000000-0005-0000-0000-0000FE170000}"/>
    <cellStyle name="Normal 5 2 2 4 3 3 2" xfId="30539" xr:uid="{8F81EC19-BFA0-459E-9A1E-FB44415040A3}"/>
    <cellStyle name="Normal 5 2 2 4 3 3 3" xfId="22098" xr:uid="{0EBDE8A3-0028-4BB3-8F5A-6BC280B62AFD}"/>
    <cellStyle name="Normal 5 2 2 4 3 3 4" xfId="13657" xr:uid="{1DE5EBC2-211D-4338-A559-A5ECA4F38DAA}"/>
    <cellStyle name="Normal 5 2 2 4 3 4" xfId="26321" xr:uid="{4AB61E0C-F08E-444F-BA91-800EF816146B}"/>
    <cellStyle name="Normal 5 2 2 4 3 5" xfId="17880" xr:uid="{A09C404C-B54D-4095-87C8-661E142E4461}"/>
    <cellStyle name="Normal 5 2 2 4 3 6" xfId="9439" xr:uid="{759DDBD7-7F97-4394-A767-C6F2ED0242ED}"/>
    <cellStyle name="Normal 5 2 2 4 4" xfId="1313" xr:uid="{00000000-0005-0000-0000-0000FF170000}"/>
    <cellStyle name="Normal 5 2 2 4 4 2" xfId="3543" xr:uid="{00000000-0005-0000-0000-000000180000}"/>
    <cellStyle name="Normal 5 2 2 4 4 2 2" xfId="7765" xr:uid="{00000000-0005-0000-0000-000001180000}"/>
    <cellStyle name="Normal 5 2 2 4 4 2 2 2" xfId="33097" xr:uid="{133030B4-4F71-4096-9EE7-F477B9912AC0}"/>
    <cellStyle name="Normal 5 2 2 4 4 2 2 3" xfId="24656" xr:uid="{ECA2A8C4-E341-4D3B-9795-42251A61B3BD}"/>
    <cellStyle name="Normal 5 2 2 4 4 2 2 4" xfId="16215" xr:uid="{7F605E11-B004-441E-B047-A40141E564E4}"/>
    <cellStyle name="Normal 5 2 2 4 4 2 3" xfId="28879" xr:uid="{54224996-3DB5-4B94-88B3-2CBC7D7F6F7E}"/>
    <cellStyle name="Normal 5 2 2 4 4 2 4" xfId="20438" xr:uid="{0DA4B9CC-565A-4788-9276-2D14D9AC1959}"/>
    <cellStyle name="Normal 5 2 2 4 4 2 5" xfId="11997" xr:uid="{DB72CA2E-DD6A-4B0A-AB5E-711B2BD4FAE8}"/>
    <cellStyle name="Normal 5 2 2 4 4 3" xfId="5620" xr:uid="{00000000-0005-0000-0000-000002180000}"/>
    <cellStyle name="Normal 5 2 2 4 4 3 2" xfId="30952" xr:uid="{291E7419-1559-453D-8B36-35443D08976D}"/>
    <cellStyle name="Normal 5 2 2 4 4 3 3" xfId="22511" xr:uid="{19C04424-E133-4775-87FF-CBC2AEBD7F40}"/>
    <cellStyle name="Normal 5 2 2 4 4 3 4" xfId="14070" xr:uid="{E4C30BFD-ED70-4882-88DC-9B12F13DFF3F}"/>
    <cellStyle name="Normal 5 2 2 4 4 4" xfId="26734" xr:uid="{45713EE0-FA2D-4FD0-823A-38FA978C4226}"/>
    <cellStyle name="Normal 5 2 2 4 4 5" xfId="18293" xr:uid="{10E1FC46-7989-43C6-8449-3DC005082DA2}"/>
    <cellStyle name="Normal 5 2 2 4 4 6" xfId="9852" xr:uid="{AFF24826-5037-425D-AA50-FFDAA55283E8}"/>
    <cellStyle name="Normal 5 2 2 4 5" xfId="1726" xr:uid="{00000000-0005-0000-0000-000003180000}"/>
    <cellStyle name="Normal 5 2 2 4 5 2" xfId="3956" xr:uid="{00000000-0005-0000-0000-000004180000}"/>
    <cellStyle name="Normal 5 2 2 4 5 2 2" xfId="8178" xr:uid="{00000000-0005-0000-0000-000005180000}"/>
    <cellStyle name="Normal 5 2 2 4 5 2 2 2" xfId="33510" xr:uid="{B3FFFB01-79CC-44B9-BF71-9B5F5FCF5012}"/>
    <cellStyle name="Normal 5 2 2 4 5 2 2 3" xfId="25069" xr:uid="{28DB0254-1F6D-4196-86A4-0CE678F7F022}"/>
    <cellStyle name="Normal 5 2 2 4 5 2 2 4" xfId="16628" xr:uid="{CF566B20-B2E1-4CB2-9E76-2D25C32EAC59}"/>
    <cellStyle name="Normal 5 2 2 4 5 2 3" xfId="29292" xr:uid="{F44485E7-3C51-4A23-B1C9-6D1AA0BF63BA}"/>
    <cellStyle name="Normal 5 2 2 4 5 2 4" xfId="20851" xr:uid="{243AAC8A-CBBD-4DF9-8A88-40C330B1CAD8}"/>
    <cellStyle name="Normal 5 2 2 4 5 2 5" xfId="12410" xr:uid="{23080449-BDB3-4EF7-BFA6-4A1321CB51AC}"/>
    <cellStyle name="Normal 5 2 2 4 5 3" xfId="6033" xr:uid="{00000000-0005-0000-0000-000006180000}"/>
    <cellStyle name="Normal 5 2 2 4 5 3 2" xfId="31365" xr:uid="{F4175EDF-8E49-4172-934C-0A5E5AF8030A}"/>
    <cellStyle name="Normal 5 2 2 4 5 3 3" xfId="22924" xr:uid="{59A6C041-F8B8-4429-8E12-4CA50171E923}"/>
    <cellStyle name="Normal 5 2 2 4 5 3 4" xfId="14483" xr:uid="{004F4B06-5DCD-4FDA-A8B1-E3A27E74CB70}"/>
    <cellStyle name="Normal 5 2 2 4 5 4" xfId="27147" xr:uid="{D1C475B0-443B-4754-A5BF-7008FE246502}"/>
    <cellStyle name="Normal 5 2 2 4 5 5" xfId="18706" xr:uid="{9DEF5E08-5EDF-44E3-A61A-0BD8B217A3AA}"/>
    <cellStyle name="Normal 5 2 2 4 5 6" xfId="10265" xr:uid="{E510E562-534C-4C9C-A173-60617C872A6E}"/>
    <cellStyle name="Normal 5 2 2 4 6" xfId="2140" xr:uid="{00000000-0005-0000-0000-000007180000}"/>
    <cellStyle name="Normal 5 2 2 4 6 2" xfId="4369" xr:uid="{00000000-0005-0000-0000-000008180000}"/>
    <cellStyle name="Normal 5 2 2 4 6 2 2" xfId="8591" xr:uid="{00000000-0005-0000-0000-000009180000}"/>
    <cellStyle name="Normal 5 2 2 4 6 2 2 2" xfId="33923" xr:uid="{0B833CD9-6BE1-452A-A6DC-14BA37BCC456}"/>
    <cellStyle name="Normal 5 2 2 4 6 2 2 3" xfId="25482" xr:uid="{CE56085E-EBC3-416B-8F65-B98791D6F6B0}"/>
    <cellStyle name="Normal 5 2 2 4 6 2 2 4" xfId="17041" xr:uid="{34E8D9AB-B954-482B-B131-700B593D3111}"/>
    <cellStyle name="Normal 5 2 2 4 6 2 3" xfId="29705" xr:uid="{8E2BA79B-A42E-4C15-BC0B-FD28EABB10E8}"/>
    <cellStyle name="Normal 5 2 2 4 6 2 4" xfId="21264" xr:uid="{C8E02029-D94F-4FCB-8669-487F0ECFC69F}"/>
    <cellStyle name="Normal 5 2 2 4 6 2 5" xfId="12823" xr:uid="{BECF90F6-9951-4361-B354-CBE209B51704}"/>
    <cellStyle name="Normal 5 2 2 4 6 3" xfId="6446" xr:uid="{00000000-0005-0000-0000-00000A180000}"/>
    <cellStyle name="Normal 5 2 2 4 6 3 2" xfId="31778" xr:uid="{07E3A9A0-BD94-4710-9438-14BC86BD3F78}"/>
    <cellStyle name="Normal 5 2 2 4 6 3 3" xfId="23337" xr:uid="{24C729E7-E785-4F4B-A2AB-4E34241585BD}"/>
    <cellStyle name="Normal 5 2 2 4 6 3 4" xfId="14896" xr:uid="{37C4A492-1BF0-4E88-8D4B-F67B34A0EFCC}"/>
    <cellStyle name="Normal 5 2 2 4 6 4" xfId="27560" xr:uid="{0816EFAB-4EF4-48DB-9B8B-5205CC8E2E77}"/>
    <cellStyle name="Normal 5 2 2 4 6 5" xfId="19119" xr:uid="{5960C625-1824-43F0-A26D-FB70BC679208}"/>
    <cellStyle name="Normal 5 2 2 4 6 6" xfId="10678" xr:uid="{6998100F-F16A-4358-8433-ED3D37717DC3}"/>
    <cellStyle name="Normal 5 2 2 4 7" xfId="2576" xr:uid="{00000000-0005-0000-0000-00000B180000}"/>
    <cellStyle name="Normal 5 2 2 4 7 2" xfId="6859" xr:uid="{00000000-0005-0000-0000-00000C180000}"/>
    <cellStyle name="Normal 5 2 2 4 7 2 2" xfId="32191" xr:uid="{EF3F965D-6369-42A4-BD11-B2EFF2A3B1EC}"/>
    <cellStyle name="Normal 5 2 2 4 7 2 3" xfId="23750" xr:uid="{46C9A36E-638D-4CD9-9D4C-493754B64F3E}"/>
    <cellStyle name="Normal 5 2 2 4 7 2 4" xfId="15309" xr:uid="{80F45F20-DE42-4F2D-A28F-B8FC54B10D42}"/>
    <cellStyle name="Normal 5 2 2 4 7 3" xfId="27973" xr:uid="{316B79DC-6406-474E-B030-D58E63B2CBAA}"/>
    <cellStyle name="Normal 5 2 2 4 7 4" xfId="19532" xr:uid="{9CD2AAAA-3640-4F82-9789-2C5DDD1806FB}"/>
    <cellStyle name="Normal 5 2 2 4 7 5" xfId="11091" xr:uid="{05BF5B1C-6754-4B8A-BBE8-B163A7C071C6}"/>
    <cellStyle name="Normal 5 2 2 4 8" xfId="4794" xr:uid="{00000000-0005-0000-0000-00000D180000}"/>
    <cellStyle name="Normal 5 2 2 4 8 2" xfId="30126" xr:uid="{7BA95143-BB6F-4F3E-A9E6-9FEDA4A5F966}"/>
    <cellStyle name="Normal 5 2 2 4 8 3" xfId="21685" xr:uid="{7AF316DC-1DB0-45E9-A723-1999A8FA949E}"/>
    <cellStyle name="Normal 5 2 2 4 8 4" xfId="13244" xr:uid="{46574690-6A6D-4F4F-88DC-64FE588169E4}"/>
    <cellStyle name="Normal 5 2 2 4 9" xfId="25908" xr:uid="{CEC2CD8C-7AD9-4B6C-9300-A0516EC8ACE2}"/>
    <cellStyle name="Normal 5 2 2 5" xfId="423" xr:uid="{00000000-0005-0000-0000-00000E180000}"/>
    <cellStyle name="Normal 5 2 2 5 10" xfId="9028" xr:uid="{006A007C-5FF6-4634-B4A6-909CB09AAA7C}"/>
    <cellStyle name="Normal 5 2 2 5 2" xfId="897" xr:uid="{00000000-0005-0000-0000-00000F180000}"/>
    <cellStyle name="Normal 5 2 2 5 2 2" xfId="3132" xr:uid="{00000000-0005-0000-0000-000010180000}"/>
    <cellStyle name="Normal 5 2 2 5 2 2 2" xfId="7354" xr:uid="{00000000-0005-0000-0000-000011180000}"/>
    <cellStyle name="Normal 5 2 2 5 2 2 2 2" xfId="32686" xr:uid="{7E9387ED-F688-4BE7-B9CD-C837E12874DA}"/>
    <cellStyle name="Normal 5 2 2 5 2 2 2 3" xfId="24245" xr:uid="{01B90E03-C2A1-4C7D-8F9B-C505D491B6BB}"/>
    <cellStyle name="Normal 5 2 2 5 2 2 2 4" xfId="15804" xr:uid="{74DD1D7C-04B8-4558-8CDD-C73740FE9B3B}"/>
    <cellStyle name="Normal 5 2 2 5 2 2 3" xfId="28468" xr:uid="{068FA146-814E-49B6-8D82-0F60C9D6952C}"/>
    <cellStyle name="Normal 5 2 2 5 2 2 4" xfId="20027" xr:uid="{F01145AF-F246-4465-83C4-1EC7C2AF523D}"/>
    <cellStyle name="Normal 5 2 2 5 2 2 5" xfId="11586" xr:uid="{23314A7E-9FF5-41FF-A7AF-64D15055BA18}"/>
    <cellStyle name="Normal 5 2 2 5 2 3" xfId="5209" xr:uid="{00000000-0005-0000-0000-000012180000}"/>
    <cellStyle name="Normal 5 2 2 5 2 3 2" xfId="30541" xr:uid="{0A2DB9C0-9366-4390-99DA-EE59B83476E8}"/>
    <cellStyle name="Normal 5 2 2 5 2 3 3" xfId="22100" xr:uid="{E5F89C1B-88B3-4702-8F31-A6509EE31B85}"/>
    <cellStyle name="Normal 5 2 2 5 2 3 4" xfId="13659" xr:uid="{A3D372DF-26B6-4E43-A81E-45D450BDE402}"/>
    <cellStyle name="Normal 5 2 2 5 2 4" xfId="26323" xr:uid="{AA14B8FC-F9B0-4B18-8DF3-658F888EA44F}"/>
    <cellStyle name="Normal 5 2 2 5 2 5" xfId="17882" xr:uid="{594008FD-9695-48F3-919B-2D0546362E97}"/>
    <cellStyle name="Normal 5 2 2 5 2 6" xfId="9441" xr:uid="{6F0B662C-45D1-4C1B-B801-4A53530DD04E}"/>
    <cellStyle name="Normal 5 2 2 5 3" xfId="1315" xr:uid="{00000000-0005-0000-0000-000013180000}"/>
    <cellStyle name="Normal 5 2 2 5 3 2" xfId="3545" xr:uid="{00000000-0005-0000-0000-000014180000}"/>
    <cellStyle name="Normal 5 2 2 5 3 2 2" xfId="7767" xr:uid="{00000000-0005-0000-0000-000015180000}"/>
    <cellStyle name="Normal 5 2 2 5 3 2 2 2" xfId="33099" xr:uid="{79B5305F-E9FA-45F3-8741-E6824401AB38}"/>
    <cellStyle name="Normal 5 2 2 5 3 2 2 3" xfId="24658" xr:uid="{72E528D7-67B3-476D-8DA6-2D5714A7AC41}"/>
    <cellStyle name="Normal 5 2 2 5 3 2 2 4" xfId="16217" xr:uid="{98FFCB1C-8544-463E-ADA3-DE180A412E35}"/>
    <cellStyle name="Normal 5 2 2 5 3 2 3" xfId="28881" xr:uid="{358A22DB-D0D5-4B03-BCC9-E8F846E6B66B}"/>
    <cellStyle name="Normal 5 2 2 5 3 2 4" xfId="20440" xr:uid="{AC037B84-75F9-47EE-9034-E4A1FDA4C8EF}"/>
    <cellStyle name="Normal 5 2 2 5 3 2 5" xfId="11999" xr:uid="{E3709ED0-FE45-4AD1-9C38-37D1E2FEDBB1}"/>
    <cellStyle name="Normal 5 2 2 5 3 3" xfId="5622" xr:uid="{00000000-0005-0000-0000-000016180000}"/>
    <cellStyle name="Normal 5 2 2 5 3 3 2" xfId="30954" xr:uid="{A6C1A69E-5367-46C8-9180-0769DE69290E}"/>
    <cellStyle name="Normal 5 2 2 5 3 3 3" xfId="22513" xr:uid="{D45F24A6-B340-43E2-A698-DDCB34361C4D}"/>
    <cellStyle name="Normal 5 2 2 5 3 3 4" xfId="14072" xr:uid="{085AA035-EBC3-4DA4-916C-29F516A054C1}"/>
    <cellStyle name="Normal 5 2 2 5 3 4" xfId="26736" xr:uid="{BBB3D8F7-B966-46F0-83E0-08BFEED6926D}"/>
    <cellStyle name="Normal 5 2 2 5 3 5" xfId="18295" xr:uid="{E7405297-2BB5-4B8E-8A81-D5FDA1C6A53E}"/>
    <cellStyle name="Normal 5 2 2 5 3 6" xfId="9854" xr:uid="{3514A854-59C9-468E-A81E-E3B9232D186C}"/>
    <cellStyle name="Normal 5 2 2 5 4" xfId="1728" xr:uid="{00000000-0005-0000-0000-000017180000}"/>
    <cellStyle name="Normal 5 2 2 5 4 2" xfId="3958" xr:uid="{00000000-0005-0000-0000-000018180000}"/>
    <cellStyle name="Normal 5 2 2 5 4 2 2" xfId="8180" xr:uid="{00000000-0005-0000-0000-000019180000}"/>
    <cellStyle name="Normal 5 2 2 5 4 2 2 2" xfId="33512" xr:uid="{9B85689E-1588-4161-A725-45E27BECBFF6}"/>
    <cellStyle name="Normal 5 2 2 5 4 2 2 3" xfId="25071" xr:uid="{FA1CC94A-149A-458C-BE29-56E10365D954}"/>
    <cellStyle name="Normal 5 2 2 5 4 2 2 4" xfId="16630" xr:uid="{D8319CA4-01B6-4EF4-B7C4-F5B2ADEAA934}"/>
    <cellStyle name="Normal 5 2 2 5 4 2 3" xfId="29294" xr:uid="{4320ED87-C736-4AC2-BD52-698F45CF08E7}"/>
    <cellStyle name="Normal 5 2 2 5 4 2 4" xfId="20853" xr:uid="{2298C196-0ABD-43C8-8020-AAAC1F2AC808}"/>
    <cellStyle name="Normal 5 2 2 5 4 2 5" xfId="12412" xr:uid="{A30762BD-B545-4566-9CD0-8925BDB3CD57}"/>
    <cellStyle name="Normal 5 2 2 5 4 3" xfId="6035" xr:uid="{00000000-0005-0000-0000-00001A180000}"/>
    <cellStyle name="Normal 5 2 2 5 4 3 2" xfId="31367" xr:uid="{7BC0530E-CFCE-4388-9890-A38322BB6A79}"/>
    <cellStyle name="Normal 5 2 2 5 4 3 3" xfId="22926" xr:uid="{8DA55302-59F9-4028-8289-59627F47FF07}"/>
    <cellStyle name="Normal 5 2 2 5 4 3 4" xfId="14485" xr:uid="{1DCEBB29-A8E4-41BC-8BD9-EE12A0740177}"/>
    <cellStyle name="Normal 5 2 2 5 4 4" xfId="27149" xr:uid="{AD079F51-6C53-4CB7-8F27-7519D9E3C68D}"/>
    <cellStyle name="Normal 5 2 2 5 4 5" xfId="18708" xr:uid="{9896F3D8-D278-4D2F-9677-81D56F24ADD3}"/>
    <cellStyle name="Normal 5 2 2 5 4 6" xfId="10267" xr:uid="{C85E724C-25C4-4953-896F-E9A046CAC771}"/>
    <cellStyle name="Normal 5 2 2 5 5" xfId="2142" xr:uid="{00000000-0005-0000-0000-00001B180000}"/>
    <cellStyle name="Normal 5 2 2 5 5 2" xfId="4371" xr:uid="{00000000-0005-0000-0000-00001C180000}"/>
    <cellStyle name="Normal 5 2 2 5 5 2 2" xfId="8593" xr:uid="{00000000-0005-0000-0000-00001D180000}"/>
    <cellStyle name="Normal 5 2 2 5 5 2 2 2" xfId="33925" xr:uid="{514F7765-F37C-4E66-B860-82AF09F5FED4}"/>
    <cellStyle name="Normal 5 2 2 5 5 2 2 3" xfId="25484" xr:uid="{D10D63D4-6FFC-451B-952A-2CB532346496}"/>
    <cellStyle name="Normal 5 2 2 5 5 2 2 4" xfId="17043" xr:uid="{9E076BCF-2AC8-46B2-A7E4-0E1F0579A017}"/>
    <cellStyle name="Normal 5 2 2 5 5 2 3" xfId="29707" xr:uid="{B370D901-04E1-4944-91AB-2F5671CE0293}"/>
    <cellStyle name="Normal 5 2 2 5 5 2 4" xfId="21266" xr:uid="{5848A214-B825-40BB-B275-2901FD9A90FA}"/>
    <cellStyle name="Normal 5 2 2 5 5 2 5" xfId="12825" xr:uid="{665213ED-61FE-4C9A-BC0A-C38AEA9E3873}"/>
    <cellStyle name="Normal 5 2 2 5 5 3" xfId="6448" xr:uid="{00000000-0005-0000-0000-00001E180000}"/>
    <cellStyle name="Normal 5 2 2 5 5 3 2" xfId="31780" xr:uid="{635E8ED3-3041-4159-B428-9AF45403374F}"/>
    <cellStyle name="Normal 5 2 2 5 5 3 3" xfId="23339" xr:uid="{E90F4218-59EF-49C5-82C8-DA0017A98F0D}"/>
    <cellStyle name="Normal 5 2 2 5 5 3 4" xfId="14898" xr:uid="{EF92C31B-2153-441F-9AFB-9B7FC84235D3}"/>
    <cellStyle name="Normal 5 2 2 5 5 4" xfId="27562" xr:uid="{E52CCA81-8496-405F-AE99-045F408116CE}"/>
    <cellStyle name="Normal 5 2 2 5 5 5" xfId="19121" xr:uid="{527F357C-3906-4799-81AA-2BC16C15E1F1}"/>
    <cellStyle name="Normal 5 2 2 5 5 6" xfId="10680" xr:uid="{DB129FAC-DD94-4175-BE78-2FDBB098D73B}"/>
    <cellStyle name="Normal 5 2 2 5 6" xfId="2578" xr:uid="{00000000-0005-0000-0000-00001F180000}"/>
    <cellStyle name="Normal 5 2 2 5 6 2" xfId="6861" xr:uid="{00000000-0005-0000-0000-000020180000}"/>
    <cellStyle name="Normal 5 2 2 5 6 2 2" xfId="32193" xr:uid="{D6E688AC-07BA-409B-9043-2C8DB59179C5}"/>
    <cellStyle name="Normal 5 2 2 5 6 2 3" xfId="23752" xr:uid="{92A18C14-B239-4F00-9761-F49E1B1C5819}"/>
    <cellStyle name="Normal 5 2 2 5 6 2 4" xfId="15311" xr:uid="{21179279-61F8-4479-AF07-B4101194A715}"/>
    <cellStyle name="Normal 5 2 2 5 6 3" xfId="27975" xr:uid="{80D52422-6F19-4F10-B35C-E97AD1D70D47}"/>
    <cellStyle name="Normal 5 2 2 5 6 4" xfId="19534" xr:uid="{7F088D16-37FD-46D0-967E-815C3F400F7E}"/>
    <cellStyle name="Normal 5 2 2 5 6 5" xfId="11093" xr:uid="{0C80A75C-2932-4783-A65D-B1870A376939}"/>
    <cellStyle name="Normal 5 2 2 5 7" xfId="4796" xr:uid="{00000000-0005-0000-0000-000021180000}"/>
    <cellStyle name="Normal 5 2 2 5 7 2" xfId="30128" xr:uid="{6B34841C-6448-4D0E-A414-4FD74926063D}"/>
    <cellStyle name="Normal 5 2 2 5 7 3" xfId="21687" xr:uid="{446BC789-B57B-45FA-9682-ABF01CAE5D3C}"/>
    <cellStyle name="Normal 5 2 2 5 7 4" xfId="13246" xr:uid="{C3878FA2-6BCD-444E-BB7F-C9BF303D5BB1}"/>
    <cellStyle name="Normal 5 2 2 5 8" xfId="25910" xr:uid="{9F2B02B7-9823-4F63-9E9E-A7207C6996AB}"/>
    <cellStyle name="Normal 5 2 2 5 9" xfId="17469" xr:uid="{A5E1F871-3B42-4ABB-A493-60C643D7DC7F}"/>
    <cellStyle name="Normal 5 2 2 6" xfId="882" xr:uid="{00000000-0005-0000-0000-000022180000}"/>
    <cellStyle name="Normal 5 2 2 6 2" xfId="3117" xr:uid="{00000000-0005-0000-0000-000023180000}"/>
    <cellStyle name="Normal 5 2 2 6 2 2" xfId="7339" xr:uid="{00000000-0005-0000-0000-000024180000}"/>
    <cellStyle name="Normal 5 2 2 6 2 2 2" xfId="32671" xr:uid="{4F5177D0-FB30-43D1-BA0E-75066444CF06}"/>
    <cellStyle name="Normal 5 2 2 6 2 2 3" xfId="24230" xr:uid="{32E5700A-C2BA-4260-9BFE-773B2E5C11D5}"/>
    <cellStyle name="Normal 5 2 2 6 2 2 4" xfId="15789" xr:uid="{C7BDCB7D-7F05-48AD-8D9C-3E0401E86592}"/>
    <cellStyle name="Normal 5 2 2 6 2 3" xfId="28453" xr:uid="{14C49182-F258-49A0-83BA-7692C8C1B162}"/>
    <cellStyle name="Normal 5 2 2 6 2 4" xfId="20012" xr:uid="{3083CF30-4E5B-496D-9B09-A34A2BF9E292}"/>
    <cellStyle name="Normal 5 2 2 6 2 5" xfId="11571" xr:uid="{78E30C37-B9E0-411D-942D-B9DD4EA3BB2B}"/>
    <cellStyle name="Normal 5 2 2 6 3" xfId="5194" xr:uid="{00000000-0005-0000-0000-000025180000}"/>
    <cellStyle name="Normal 5 2 2 6 3 2" xfId="30526" xr:uid="{D42B0858-04BF-428E-9C0D-CB20FAFD4039}"/>
    <cellStyle name="Normal 5 2 2 6 3 3" xfId="22085" xr:uid="{7A3FFD5C-11A8-4D0F-BC63-E970602DDFA1}"/>
    <cellStyle name="Normal 5 2 2 6 3 4" xfId="13644" xr:uid="{7956827A-2BAF-4482-8EE6-AA7A6CEBAD77}"/>
    <cellStyle name="Normal 5 2 2 6 4" xfId="26308" xr:uid="{40EFF294-A6C6-4B3F-91E8-DC684F820F29}"/>
    <cellStyle name="Normal 5 2 2 6 5" xfId="17867" xr:uid="{FDA47703-3103-4654-8AEE-EF2E3EB5245B}"/>
    <cellStyle name="Normal 5 2 2 6 6" xfId="9426" xr:uid="{A1CB1355-FC55-4307-8671-0AAF4ADA0150}"/>
    <cellStyle name="Normal 5 2 2 7" xfId="1300" xr:uid="{00000000-0005-0000-0000-000026180000}"/>
    <cellStyle name="Normal 5 2 2 7 2" xfId="3530" xr:uid="{00000000-0005-0000-0000-000027180000}"/>
    <cellStyle name="Normal 5 2 2 7 2 2" xfId="7752" xr:uid="{00000000-0005-0000-0000-000028180000}"/>
    <cellStyle name="Normal 5 2 2 7 2 2 2" xfId="33084" xr:uid="{7F3A3850-72B3-4119-AA5E-3602D9E7427C}"/>
    <cellStyle name="Normal 5 2 2 7 2 2 3" xfId="24643" xr:uid="{8B6898F9-DAF8-442F-83F9-323E7EA7D8D3}"/>
    <cellStyle name="Normal 5 2 2 7 2 2 4" xfId="16202" xr:uid="{23CD8971-ADA4-4A09-B415-0101540A4A77}"/>
    <cellStyle name="Normal 5 2 2 7 2 3" xfId="28866" xr:uid="{AAE06A72-01E6-48EC-A635-A357F2958605}"/>
    <cellStyle name="Normal 5 2 2 7 2 4" xfId="20425" xr:uid="{014F06DF-A6D7-4EFB-9662-DBF639ADA44C}"/>
    <cellStyle name="Normal 5 2 2 7 2 5" xfId="11984" xr:uid="{FC53DC41-2CEA-4B17-8166-C76AFED6EDE6}"/>
    <cellStyle name="Normal 5 2 2 7 3" xfId="5607" xr:uid="{00000000-0005-0000-0000-000029180000}"/>
    <cellStyle name="Normal 5 2 2 7 3 2" xfId="30939" xr:uid="{BD4F578A-1901-40DD-AD4A-34B2CE8E8756}"/>
    <cellStyle name="Normal 5 2 2 7 3 3" xfId="22498" xr:uid="{9FDC1B1D-82AF-4173-AAC8-6E500DB99EA1}"/>
    <cellStyle name="Normal 5 2 2 7 3 4" xfId="14057" xr:uid="{A15857C9-6E62-4422-9112-77C8BFBC9846}"/>
    <cellStyle name="Normal 5 2 2 7 4" xfId="26721" xr:uid="{4EFE24F8-0AC3-4218-9D04-3C1E4D492A03}"/>
    <cellStyle name="Normal 5 2 2 7 5" xfId="18280" xr:uid="{37CA38F3-833A-4EB5-847A-71C72AD6D818}"/>
    <cellStyle name="Normal 5 2 2 7 6" xfId="9839" xr:uid="{A0DC8ED7-B757-4891-B850-9BFF53141A52}"/>
    <cellStyle name="Normal 5 2 2 8" xfId="1713" xr:uid="{00000000-0005-0000-0000-00002A180000}"/>
    <cellStyle name="Normal 5 2 2 8 2" xfId="3943" xr:uid="{00000000-0005-0000-0000-00002B180000}"/>
    <cellStyle name="Normal 5 2 2 8 2 2" xfId="8165" xr:uid="{00000000-0005-0000-0000-00002C180000}"/>
    <cellStyle name="Normal 5 2 2 8 2 2 2" xfId="33497" xr:uid="{FFB4133D-27EE-4627-BA0F-F8FBEEA877C2}"/>
    <cellStyle name="Normal 5 2 2 8 2 2 3" xfId="25056" xr:uid="{EACDDA32-7CE8-4213-B3A3-4ACAA2803EB4}"/>
    <cellStyle name="Normal 5 2 2 8 2 2 4" xfId="16615" xr:uid="{73BE0AA5-18F4-45A5-AC24-B7F79DB0407E}"/>
    <cellStyle name="Normal 5 2 2 8 2 3" xfId="29279" xr:uid="{202F3650-FE59-4A80-8E37-A0FDFB968336}"/>
    <cellStyle name="Normal 5 2 2 8 2 4" xfId="20838" xr:uid="{CDF6BDC8-287D-4605-AD7E-9F5B0B5704F1}"/>
    <cellStyle name="Normal 5 2 2 8 2 5" xfId="12397" xr:uid="{9409984B-7238-4BD3-B42D-4C7AE6F490CB}"/>
    <cellStyle name="Normal 5 2 2 8 3" xfId="6020" xr:uid="{00000000-0005-0000-0000-00002D180000}"/>
    <cellStyle name="Normal 5 2 2 8 3 2" xfId="31352" xr:uid="{B8133814-03E1-4AD1-BEC1-F183C24E73A9}"/>
    <cellStyle name="Normal 5 2 2 8 3 3" xfId="22911" xr:uid="{C4F7100B-70BD-4EB0-BCBA-731AE33C9035}"/>
    <cellStyle name="Normal 5 2 2 8 3 4" xfId="14470" xr:uid="{E519CAB1-4780-49DE-B00F-3135573023AF}"/>
    <cellStyle name="Normal 5 2 2 8 4" xfId="27134" xr:uid="{9D0C9B2F-40FD-4C19-B49C-9C885D252FDA}"/>
    <cellStyle name="Normal 5 2 2 8 5" xfId="18693" xr:uid="{13ACCAE7-39BC-4485-873C-1C832835E5B9}"/>
    <cellStyle name="Normal 5 2 2 8 6" xfId="10252" xr:uid="{21CE7778-6C44-4302-ACEC-6BAE47019661}"/>
    <cellStyle name="Normal 5 2 2 9" xfId="2127" xr:uid="{00000000-0005-0000-0000-00002E180000}"/>
    <cellStyle name="Normal 5 2 2 9 2" xfId="4356" xr:uid="{00000000-0005-0000-0000-00002F180000}"/>
    <cellStyle name="Normal 5 2 2 9 2 2" xfId="8578" xr:uid="{00000000-0005-0000-0000-000030180000}"/>
    <cellStyle name="Normal 5 2 2 9 2 2 2" xfId="33910" xr:uid="{D6A72C52-9407-46C1-BA7D-82337173E619}"/>
    <cellStyle name="Normal 5 2 2 9 2 2 3" xfId="25469" xr:uid="{BF02F303-8D2F-4FDB-A2B2-E43707EC13D3}"/>
    <cellStyle name="Normal 5 2 2 9 2 2 4" xfId="17028" xr:uid="{FC9E64A0-6C35-4248-A207-B6F89DAFA9CA}"/>
    <cellStyle name="Normal 5 2 2 9 2 3" xfId="29692" xr:uid="{B99A2CC1-22F5-4AF4-B7F3-1D26023B279F}"/>
    <cellStyle name="Normal 5 2 2 9 2 4" xfId="21251" xr:uid="{360902DE-C292-41C3-97A9-F8CC6295F57F}"/>
    <cellStyle name="Normal 5 2 2 9 2 5" xfId="12810" xr:uid="{83DE96F0-8091-4EB6-B9E0-D7D9ACC339C8}"/>
    <cellStyle name="Normal 5 2 2 9 3" xfId="6433" xr:uid="{00000000-0005-0000-0000-000031180000}"/>
    <cellStyle name="Normal 5 2 2 9 3 2" xfId="31765" xr:uid="{6D925AD8-121C-4AD3-9EC7-D52432B60270}"/>
    <cellStyle name="Normal 5 2 2 9 3 3" xfId="23324" xr:uid="{5F221ACA-9461-4E20-9AF7-A12712292EA7}"/>
    <cellStyle name="Normal 5 2 2 9 3 4" xfId="14883" xr:uid="{B750B227-E74D-4FC7-B146-F9805D3C7402}"/>
    <cellStyle name="Normal 5 2 2 9 4" xfId="27547" xr:uid="{54876874-BED7-4E52-A4FC-840248D8BA78}"/>
    <cellStyle name="Normal 5 2 2 9 5" xfId="19106" xr:uid="{94550A83-0F56-4B31-BC5D-A867BA41C2DF}"/>
    <cellStyle name="Normal 5 2 2 9 6" xfId="10665" xr:uid="{4092CBCD-64FC-4613-8229-654415E2DAEE}"/>
    <cellStyle name="Normal 5 2 3" xfId="424" xr:uid="{00000000-0005-0000-0000-000032180000}"/>
    <cellStyle name="Normal 5 2 3 10" xfId="4797" xr:uid="{00000000-0005-0000-0000-000033180000}"/>
    <cellStyle name="Normal 5 2 3 10 2" xfId="30129" xr:uid="{D6A54C33-00DD-41E8-89AB-474F2A0E83D6}"/>
    <cellStyle name="Normal 5 2 3 10 3" xfId="21688" xr:uid="{313CB886-FDEA-45EF-A8F8-C7A92DD9E53E}"/>
    <cellStyle name="Normal 5 2 3 10 4" xfId="13247" xr:uid="{2DB3E9A5-70E8-4818-A3FA-84B4DFE1D788}"/>
    <cellStyle name="Normal 5 2 3 11" xfId="25911" xr:uid="{41205547-E1B7-42B7-8F3D-D92E0058AAA8}"/>
    <cellStyle name="Normal 5 2 3 12" xfId="17470" xr:uid="{CB69161B-5C68-41E3-8EF9-37F59D43A87A}"/>
    <cellStyle name="Normal 5 2 3 13" xfId="9029" xr:uid="{5C1D8358-0728-4501-84D5-C7CD621C0E6C}"/>
    <cellStyle name="Normal 5 2 3 2" xfId="425" xr:uid="{00000000-0005-0000-0000-000034180000}"/>
    <cellStyle name="Normal 5 2 3 2 10" xfId="25912" xr:uid="{6208EC61-5713-40BA-9D65-9C358D951740}"/>
    <cellStyle name="Normal 5 2 3 2 11" xfId="17471" xr:uid="{946BC4AD-CC00-4E01-80A9-51C5A1BD7D6B}"/>
    <cellStyle name="Normal 5 2 3 2 12" xfId="9030" xr:uid="{2762022E-FCD3-4216-B12C-BCE48A3606F2}"/>
    <cellStyle name="Normal 5 2 3 2 2" xfId="426" xr:uid="{00000000-0005-0000-0000-000035180000}"/>
    <cellStyle name="Normal 5 2 3 2 2 10" xfId="17472" xr:uid="{529C64B3-7258-49FB-95AF-3C1973011A15}"/>
    <cellStyle name="Normal 5 2 3 2 2 11" xfId="9031" xr:uid="{05A48968-AA57-402D-8448-B78232E81A23}"/>
    <cellStyle name="Normal 5 2 3 2 2 2" xfId="427" xr:uid="{00000000-0005-0000-0000-000036180000}"/>
    <cellStyle name="Normal 5 2 3 2 2 2 10" xfId="9032" xr:uid="{B8F023DA-74A6-479A-A36C-A224F6CF18EF}"/>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2 2 2" xfId="32690" xr:uid="{EF5958C2-AA09-4346-A56A-AA47BCAFE875}"/>
    <cellStyle name="Normal 5 2 3 2 2 2 2 2 2 3" xfId="24249" xr:uid="{49AADA7F-444C-42AC-B936-1845E59AE858}"/>
    <cellStyle name="Normal 5 2 3 2 2 2 2 2 2 4" xfId="15808" xr:uid="{E7495D4A-1165-4B9E-AE1E-B167ECC04AE5}"/>
    <cellStyle name="Normal 5 2 3 2 2 2 2 2 3" xfId="28472" xr:uid="{063290AA-83A4-4532-B281-2DAAAE31EE42}"/>
    <cellStyle name="Normal 5 2 3 2 2 2 2 2 4" xfId="20031" xr:uid="{3ADE2358-C906-429C-A73C-0C3ACFD800BD}"/>
    <cellStyle name="Normal 5 2 3 2 2 2 2 2 5" xfId="11590" xr:uid="{9599DFDA-6AF0-4BBC-8B80-0D8A4246CA0F}"/>
    <cellStyle name="Normal 5 2 3 2 2 2 2 3" xfId="5213" xr:uid="{00000000-0005-0000-0000-00003A180000}"/>
    <cellStyle name="Normal 5 2 3 2 2 2 2 3 2" xfId="30545" xr:uid="{8E1BF64E-A5D2-4C6D-BE9C-6B8E060295AC}"/>
    <cellStyle name="Normal 5 2 3 2 2 2 2 3 3" xfId="22104" xr:uid="{874CCE2C-BD99-4EBB-9FC9-D62B5BDCDADE}"/>
    <cellStyle name="Normal 5 2 3 2 2 2 2 3 4" xfId="13663" xr:uid="{7A02759B-EA16-472C-A42C-5D454428AB44}"/>
    <cellStyle name="Normal 5 2 3 2 2 2 2 4" xfId="26327" xr:uid="{4B01B396-AD32-4ACF-99A6-F13EEE012C29}"/>
    <cellStyle name="Normal 5 2 3 2 2 2 2 5" xfId="17886" xr:uid="{F757F74B-7517-4AC8-8C19-1DB44B2DC4FD}"/>
    <cellStyle name="Normal 5 2 3 2 2 2 2 6" xfId="9445" xr:uid="{84F328A8-7C10-4A11-83DC-C7630EF8BD2C}"/>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2 2 2" xfId="33103" xr:uid="{9D04A3D4-2C12-4AEF-9C1C-5B72443366E6}"/>
    <cellStyle name="Normal 5 2 3 2 2 2 3 2 2 3" xfId="24662" xr:uid="{925219B8-01F5-46E8-999F-5C0048FB1333}"/>
    <cellStyle name="Normal 5 2 3 2 2 2 3 2 2 4" xfId="16221" xr:uid="{B854A663-8811-40F9-B22E-113D4B074147}"/>
    <cellStyle name="Normal 5 2 3 2 2 2 3 2 3" xfId="28885" xr:uid="{6B038F13-A017-4F87-BBC7-E0C100C7CAB9}"/>
    <cellStyle name="Normal 5 2 3 2 2 2 3 2 4" xfId="20444" xr:uid="{6A331A82-FA18-4BEF-A4FF-C231D31576E3}"/>
    <cellStyle name="Normal 5 2 3 2 2 2 3 2 5" xfId="12003" xr:uid="{7A7F6988-6647-4FD4-BF69-0A7B7156AE35}"/>
    <cellStyle name="Normal 5 2 3 2 2 2 3 3" xfId="5626" xr:uid="{00000000-0005-0000-0000-00003E180000}"/>
    <cellStyle name="Normal 5 2 3 2 2 2 3 3 2" xfId="30958" xr:uid="{857C2138-2B31-43CF-88F5-44FC687B81FF}"/>
    <cellStyle name="Normal 5 2 3 2 2 2 3 3 3" xfId="22517" xr:uid="{4D4B2D6A-7447-4DF7-BD59-F1C574596BB5}"/>
    <cellStyle name="Normal 5 2 3 2 2 2 3 3 4" xfId="14076" xr:uid="{A95CB855-BD84-47D1-9E74-0BD67F47AB6E}"/>
    <cellStyle name="Normal 5 2 3 2 2 2 3 4" xfId="26740" xr:uid="{7B20418A-9977-4EEF-84EC-C2BBA43555DA}"/>
    <cellStyle name="Normal 5 2 3 2 2 2 3 5" xfId="18299" xr:uid="{7B3481BC-5696-4680-A50D-23881FD70E36}"/>
    <cellStyle name="Normal 5 2 3 2 2 2 3 6" xfId="9858" xr:uid="{E696E9FF-33D7-4CEC-91EC-5CD4969CEAF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2 2 2" xfId="33516" xr:uid="{F164CC06-0C59-4E6E-9513-342FA392DAD1}"/>
    <cellStyle name="Normal 5 2 3 2 2 2 4 2 2 3" xfId="25075" xr:uid="{776AE915-163F-4E70-A31D-274829C13951}"/>
    <cellStyle name="Normal 5 2 3 2 2 2 4 2 2 4" xfId="16634" xr:uid="{77CCA221-1B48-42B6-8F65-37655B2FE8A9}"/>
    <cellStyle name="Normal 5 2 3 2 2 2 4 2 3" xfId="29298" xr:uid="{EF1A4405-29E8-4803-95EC-A39F50171789}"/>
    <cellStyle name="Normal 5 2 3 2 2 2 4 2 4" xfId="20857" xr:uid="{01A27E22-9923-4DF9-8205-071ED733A2F7}"/>
    <cellStyle name="Normal 5 2 3 2 2 2 4 2 5" xfId="12416" xr:uid="{D169ABB1-EB15-47D9-8F49-7D850C0D9A5E}"/>
    <cellStyle name="Normal 5 2 3 2 2 2 4 3" xfId="6039" xr:uid="{00000000-0005-0000-0000-000042180000}"/>
    <cellStyle name="Normal 5 2 3 2 2 2 4 3 2" xfId="31371" xr:uid="{23811DF4-15CF-46CA-87FA-4694A823E2F8}"/>
    <cellStyle name="Normal 5 2 3 2 2 2 4 3 3" xfId="22930" xr:uid="{69B9077D-6EE1-44BF-B640-22D90FEB39FC}"/>
    <cellStyle name="Normal 5 2 3 2 2 2 4 3 4" xfId="14489" xr:uid="{A0E84F5A-F5B5-4D7D-BDFE-E33ADF4C249B}"/>
    <cellStyle name="Normal 5 2 3 2 2 2 4 4" xfId="27153" xr:uid="{1C748793-6825-4CD3-A84D-19A655A8B3EE}"/>
    <cellStyle name="Normal 5 2 3 2 2 2 4 5" xfId="18712" xr:uid="{0FA2E49A-D741-4A23-A3BD-1D4B20C9DCBA}"/>
    <cellStyle name="Normal 5 2 3 2 2 2 4 6" xfId="10271" xr:uid="{C8A69C3D-5BF4-4843-8AD0-B3B9343611B5}"/>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2 2 2" xfId="33929" xr:uid="{EA2D9CDF-0341-40F5-91A7-27BA03B51924}"/>
    <cellStyle name="Normal 5 2 3 2 2 2 5 2 2 3" xfId="25488" xr:uid="{0C26F0B6-A65C-4060-83B6-F70C7DB54102}"/>
    <cellStyle name="Normal 5 2 3 2 2 2 5 2 2 4" xfId="17047" xr:uid="{FF259F54-9322-4BDA-9239-1B88D833AC14}"/>
    <cellStyle name="Normal 5 2 3 2 2 2 5 2 3" xfId="29711" xr:uid="{CB35545F-82DB-4D7C-8EFC-D898928AB032}"/>
    <cellStyle name="Normal 5 2 3 2 2 2 5 2 4" xfId="21270" xr:uid="{477FF5CF-BF61-4E90-BB20-650FFE9340FB}"/>
    <cellStyle name="Normal 5 2 3 2 2 2 5 2 5" xfId="12829" xr:uid="{B18B571B-7CEF-4116-A369-33F3137F7538}"/>
    <cellStyle name="Normal 5 2 3 2 2 2 5 3" xfId="6452" xr:uid="{00000000-0005-0000-0000-000046180000}"/>
    <cellStyle name="Normal 5 2 3 2 2 2 5 3 2" xfId="31784" xr:uid="{C6965E1B-B143-4F86-9C62-7D35C78CEC39}"/>
    <cellStyle name="Normal 5 2 3 2 2 2 5 3 3" xfId="23343" xr:uid="{B70A0C0E-90FE-4A9A-BF28-31C7495E61D8}"/>
    <cellStyle name="Normal 5 2 3 2 2 2 5 3 4" xfId="14902" xr:uid="{2D113BBF-CF6E-46CD-A8E3-4B9B110ED287}"/>
    <cellStyle name="Normal 5 2 3 2 2 2 5 4" xfId="27566" xr:uid="{E398BDEE-D496-4ECF-B790-A6219DA6DF13}"/>
    <cellStyle name="Normal 5 2 3 2 2 2 5 5" xfId="19125" xr:uid="{5AB26AAC-2754-4C13-BB7A-8CB52F960EB5}"/>
    <cellStyle name="Normal 5 2 3 2 2 2 5 6" xfId="10684" xr:uid="{50DA6A69-6A9C-4CCC-992A-538A312C9C90}"/>
    <cellStyle name="Normal 5 2 3 2 2 2 6" xfId="2582" xr:uid="{00000000-0005-0000-0000-000047180000}"/>
    <cellStyle name="Normal 5 2 3 2 2 2 6 2" xfId="6865" xr:uid="{00000000-0005-0000-0000-000048180000}"/>
    <cellStyle name="Normal 5 2 3 2 2 2 6 2 2" xfId="32197" xr:uid="{D9510D13-1C5B-4843-A500-F3BD8FC3205C}"/>
    <cellStyle name="Normal 5 2 3 2 2 2 6 2 3" xfId="23756" xr:uid="{92944889-F881-48B3-8B93-FB3A41B23B63}"/>
    <cellStyle name="Normal 5 2 3 2 2 2 6 2 4" xfId="15315" xr:uid="{848B467B-57D2-4628-91BE-07C2070D3C6C}"/>
    <cellStyle name="Normal 5 2 3 2 2 2 6 3" xfId="27979" xr:uid="{1ABACA86-ECD8-4B5F-AF82-3E3F9E197DEC}"/>
    <cellStyle name="Normal 5 2 3 2 2 2 6 4" xfId="19538" xr:uid="{269AD145-747E-4724-9AA8-CA1EB5559FCB}"/>
    <cellStyle name="Normal 5 2 3 2 2 2 6 5" xfId="11097" xr:uid="{FFC6E77C-F677-4F6A-B3BC-33A75D8FA42D}"/>
    <cellStyle name="Normal 5 2 3 2 2 2 7" xfId="4800" xr:uid="{00000000-0005-0000-0000-000049180000}"/>
    <cellStyle name="Normal 5 2 3 2 2 2 7 2" xfId="30132" xr:uid="{5B3A4093-6955-4240-8AE7-BC8C9F80E171}"/>
    <cellStyle name="Normal 5 2 3 2 2 2 7 3" xfId="21691" xr:uid="{2455B349-720B-43B7-A4F0-2D956C5E97C0}"/>
    <cellStyle name="Normal 5 2 3 2 2 2 7 4" xfId="13250" xr:uid="{D7C4F9E1-6CDD-443B-B74A-B73CD94A650C}"/>
    <cellStyle name="Normal 5 2 3 2 2 2 8" xfId="25914" xr:uid="{C4E54BEC-4E9F-46E7-8A78-EF877271EED6}"/>
    <cellStyle name="Normal 5 2 3 2 2 2 9" xfId="17473" xr:uid="{010F5351-3DF8-4406-9542-462EEA335763}"/>
    <cellStyle name="Normal 5 2 3 2 2 3" xfId="900" xr:uid="{00000000-0005-0000-0000-00004A180000}"/>
    <cellStyle name="Normal 5 2 3 2 2 3 2" xfId="3135" xr:uid="{00000000-0005-0000-0000-00004B180000}"/>
    <cellStyle name="Normal 5 2 3 2 2 3 2 2" xfId="7357" xr:uid="{00000000-0005-0000-0000-00004C180000}"/>
    <cellStyle name="Normal 5 2 3 2 2 3 2 2 2" xfId="32689" xr:uid="{4F999314-6E97-4FF0-9DAD-A1682AAA2C18}"/>
    <cellStyle name="Normal 5 2 3 2 2 3 2 2 3" xfId="24248" xr:uid="{CC73DBBA-51F5-4C67-AA1A-127A93391168}"/>
    <cellStyle name="Normal 5 2 3 2 2 3 2 2 4" xfId="15807" xr:uid="{CA64407B-5740-454D-8BEE-24B58EF87837}"/>
    <cellStyle name="Normal 5 2 3 2 2 3 2 3" xfId="28471" xr:uid="{D47BBC3F-F302-4E46-BCA3-FE75E4A851E1}"/>
    <cellStyle name="Normal 5 2 3 2 2 3 2 4" xfId="20030" xr:uid="{7C59483B-FA39-49CF-9515-A4FB3DC678E2}"/>
    <cellStyle name="Normal 5 2 3 2 2 3 2 5" xfId="11589" xr:uid="{2BE4F832-1B78-4268-86AE-FC9FEF217AB0}"/>
    <cellStyle name="Normal 5 2 3 2 2 3 3" xfId="5212" xr:uid="{00000000-0005-0000-0000-00004D180000}"/>
    <cellStyle name="Normal 5 2 3 2 2 3 3 2" xfId="30544" xr:uid="{B0ECA9DD-76E3-468E-8F15-1FF58C12C80C}"/>
    <cellStyle name="Normal 5 2 3 2 2 3 3 3" xfId="22103" xr:uid="{E4E21DBE-3E54-4AFE-B683-99432D5DB052}"/>
    <cellStyle name="Normal 5 2 3 2 2 3 3 4" xfId="13662" xr:uid="{DC42E319-7E26-48AC-81A2-BE0849D18D02}"/>
    <cellStyle name="Normal 5 2 3 2 2 3 4" xfId="26326" xr:uid="{E386B750-66B9-43D6-A299-0FA93CB6877F}"/>
    <cellStyle name="Normal 5 2 3 2 2 3 5" xfId="17885" xr:uid="{B4C2FA4D-8764-4922-9FE7-CE01E50937BB}"/>
    <cellStyle name="Normal 5 2 3 2 2 3 6" xfId="9444" xr:uid="{5BE6F0A8-7004-471A-8345-FFDE0F3067A6}"/>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2 2 2" xfId="33102" xr:uid="{DDCF24F6-23CF-406E-9C24-2CE0E5F5B905}"/>
    <cellStyle name="Normal 5 2 3 2 2 4 2 2 3" xfId="24661" xr:uid="{76A68C94-CADF-4FB7-83A0-43903141191E}"/>
    <cellStyle name="Normal 5 2 3 2 2 4 2 2 4" xfId="16220" xr:uid="{E9A63E58-AFE8-4F7D-BB3D-D9C7102125C3}"/>
    <cellStyle name="Normal 5 2 3 2 2 4 2 3" xfId="28884" xr:uid="{CD630D01-AF16-4775-BF4C-9F4473255AAF}"/>
    <cellStyle name="Normal 5 2 3 2 2 4 2 4" xfId="20443" xr:uid="{5B5DF31C-B954-480A-89A3-2B8EF091F377}"/>
    <cellStyle name="Normal 5 2 3 2 2 4 2 5" xfId="12002" xr:uid="{41AEED01-671A-4B83-8C91-481A119B9375}"/>
    <cellStyle name="Normal 5 2 3 2 2 4 3" xfId="5625" xr:uid="{00000000-0005-0000-0000-000051180000}"/>
    <cellStyle name="Normal 5 2 3 2 2 4 3 2" xfId="30957" xr:uid="{9925B288-E35F-4151-9C03-DCE1C3A6846F}"/>
    <cellStyle name="Normal 5 2 3 2 2 4 3 3" xfId="22516" xr:uid="{09D15E86-435C-4079-A316-C1569902660F}"/>
    <cellStyle name="Normal 5 2 3 2 2 4 3 4" xfId="14075" xr:uid="{7AC21DFD-6493-4F2A-B6C4-3F863DBAD6CD}"/>
    <cellStyle name="Normal 5 2 3 2 2 4 4" xfId="26739" xr:uid="{04851F6E-D39D-4484-BCC8-3FE4CCF56C77}"/>
    <cellStyle name="Normal 5 2 3 2 2 4 5" xfId="18298" xr:uid="{94FEEC60-1DD5-4BD9-BC27-679E2F2D22C0}"/>
    <cellStyle name="Normal 5 2 3 2 2 4 6" xfId="9857" xr:uid="{DB93EAD6-88E6-4376-AC41-41D5AB0FCDD9}"/>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2 2 2" xfId="33515" xr:uid="{4856370B-C7BE-4896-AEB8-0FDA8DF2CF93}"/>
    <cellStyle name="Normal 5 2 3 2 2 5 2 2 3" xfId="25074" xr:uid="{6DD78FB1-76EF-492E-A3D5-76528260947B}"/>
    <cellStyle name="Normal 5 2 3 2 2 5 2 2 4" xfId="16633" xr:uid="{936E690D-5A48-43C4-B5A7-908BFF3D8430}"/>
    <cellStyle name="Normal 5 2 3 2 2 5 2 3" xfId="29297" xr:uid="{AE052D53-4408-405C-B9D9-1B8632EC7DA1}"/>
    <cellStyle name="Normal 5 2 3 2 2 5 2 4" xfId="20856" xr:uid="{249012A1-8679-4861-9B2C-DFFFAB918B6A}"/>
    <cellStyle name="Normal 5 2 3 2 2 5 2 5" xfId="12415" xr:uid="{63CABF3E-C4FD-4391-8412-CF700CD18739}"/>
    <cellStyle name="Normal 5 2 3 2 2 5 3" xfId="6038" xr:uid="{00000000-0005-0000-0000-000055180000}"/>
    <cellStyle name="Normal 5 2 3 2 2 5 3 2" xfId="31370" xr:uid="{CD5A638E-B4AF-4C91-B7AB-60DF905CFDCE}"/>
    <cellStyle name="Normal 5 2 3 2 2 5 3 3" xfId="22929" xr:uid="{6D76FA54-68D8-44E6-9F34-08AC425F3012}"/>
    <cellStyle name="Normal 5 2 3 2 2 5 3 4" xfId="14488" xr:uid="{D2B4BF32-B4B7-4C6F-8E36-AE42EB262D75}"/>
    <cellStyle name="Normal 5 2 3 2 2 5 4" xfId="27152" xr:uid="{4CDDC5C8-2A8F-4612-8493-AEA45BD7D3DE}"/>
    <cellStyle name="Normal 5 2 3 2 2 5 5" xfId="18711" xr:uid="{1EA0B3BE-D28A-47F2-9615-1358D6031D22}"/>
    <cellStyle name="Normal 5 2 3 2 2 5 6" xfId="10270" xr:uid="{859C17B9-30B6-45FE-9AA2-17F222EF8EC1}"/>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2 2 2" xfId="33928" xr:uid="{F30D07CB-E773-46B5-B303-0CDE0B8BE33B}"/>
    <cellStyle name="Normal 5 2 3 2 2 6 2 2 3" xfId="25487" xr:uid="{5E3B4D3A-51D3-47B6-9C45-623BF55CBE2C}"/>
    <cellStyle name="Normal 5 2 3 2 2 6 2 2 4" xfId="17046" xr:uid="{C0F85486-D98F-4F9F-9EDB-CD09D2F54317}"/>
    <cellStyle name="Normal 5 2 3 2 2 6 2 3" xfId="29710" xr:uid="{FA3862FD-9DAE-4FD7-8A78-D87BD89F8416}"/>
    <cellStyle name="Normal 5 2 3 2 2 6 2 4" xfId="21269" xr:uid="{3C63A596-C256-4617-931E-D29ED260862D}"/>
    <cellStyle name="Normal 5 2 3 2 2 6 2 5" xfId="12828" xr:uid="{D1F43694-DCE7-47F3-A852-D55EB9FF5CDE}"/>
    <cellStyle name="Normal 5 2 3 2 2 6 3" xfId="6451" xr:uid="{00000000-0005-0000-0000-000059180000}"/>
    <cellStyle name="Normal 5 2 3 2 2 6 3 2" xfId="31783" xr:uid="{FCF235DE-1C40-4824-860C-573F65F7CFF7}"/>
    <cellStyle name="Normal 5 2 3 2 2 6 3 3" xfId="23342" xr:uid="{8D24507F-D460-415E-B423-E3A0CD0E1717}"/>
    <cellStyle name="Normal 5 2 3 2 2 6 3 4" xfId="14901" xr:uid="{856D1725-C0C7-46DF-BB76-3EF6A0BC811A}"/>
    <cellStyle name="Normal 5 2 3 2 2 6 4" xfId="27565" xr:uid="{A55F0A63-5314-4552-854D-23ADEFEA79FD}"/>
    <cellStyle name="Normal 5 2 3 2 2 6 5" xfId="19124" xr:uid="{796FB912-D2DE-4547-A8EC-B0C5B8D26F5A}"/>
    <cellStyle name="Normal 5 2 3 2 2 6 6" xfId="10683" xr:uid="{D4D2BE0A-92B4-4B48-A2DF-0CC729096765}"/>
    <cellStyle name="Normal 5 2 3 2 2 7" xfId="2581" xr:uid="{00000000-0005-0000-0000-00005A180000}"/>
    <cellStyle name="Normal 5 2 3 2 2 7 2" xfId="6864" xr:uid="{00000000-0005-0000-0000-00005B180000}"/>
    <cellStyle name="Normal 5 2 3 2 2 7 2 2" xfId="32196" xr:uid="{E0A5D033-63F5-4A10-AEA3-1107000BA637}"/>
    <cellStyle name="Normal 5 2 3 2 2 7 2 3" xfId="23755" xr:uid="{9CA40185-0612-47C4-8C30-264972342075}"/>
    <cellStyle name="Normal 5 2 3 2 2 7 2 4" xfId="15314" xr:uid="{71CC3B91-D441-4501-B3FD-BC8D8973E157}"/>
    <cellStyle name="Normal 5 2 3 2 2 7 3" xfId="27978" xr:uid="{1927365C-4EBF-4FDE-9E98-0BF361168D30}"/>
    <cellStyle name="Normal 5 2 3 2 2 7 4" xfId="19537" xr:uid="{DBE0BFC7-191D-4AAC-A8EF-B3D472B76D86}"/>
    <cellStyle name="Normal 5 2 3 2 2 7 5" xfId="11096" xr:uid="{AD6F607A-2AB8-4F1F-A069-D12FDE07E9DA}"/>
    <cellStyle name="Normal 5 2 3 2 2 8" xfId="4799" xr:uid="{00000000-0005-0000-0000-00005C180000}"/>
    <cellStyle name="Normal 5 2 3 2 2 8 2" xfId="30131" xr:uid="{C561C2F7-EB5B-45CB-853E-A4A0FD4E35C0}"/>
    <cellStyle name="Normal 5 2 3 2 2 8 3" xfId="21690" xr:uid="{3E717FA6-BC0D-4A47-9DF4-AE686260CCCF}"/>
    <cellStyle name="Normal 5 2 3 2 2 8 4" xfId="13249" xr:uid="{1FAC58CA-6E2D-4CCA-AC80-3A26738139F9}"/>
    <cellStyle name="Normal 5 2 3 2 2 9" xfId="25913" xr:uid="{A7DFDD76-B251-42C1-A6DB-DAEA6DDF3CE4}"/>
    <cellStyle name="Normal 5 2 3 2 3" xfId="428" xr:uid="{00000000-0005-0000-0000-00005D180000}"/>
    <cellStyle name="Normal 5 2 3 2 3 10" xfId="9033" xr:uid="{676D14B6-EA1B-4224-A11D-C5CC792BD7EA}"/>
    <cellStyle name="Normal 5 2 3 2 3 2" xfId="902" xr:uid="{00000000-0005-0000-0000-00005E180000}"/>
    <cellStyle name="Normal 5 2 3 2 3 2 2" xfId="3137" xr:uid="{00000000-0005-0000-0000-00005F180000}"/>
    <cellStyle name="Normal 5 2 3 2 3 2 2 2" xfId="7359" xr:uid="{00000000-0005-0000-0000-000060180000}"/>
    <cellStyle name="Normal 5 2 3 2 3 2 2 2 2" xfId="32691" xr:uid="{AE02ECEA-8A87-44E6-BBB0-AC451CB5BD2A}"/>
    <cellStyle name="Normal 5 2 3 2 3 2 2 2 3" xfId="24250" xr:uid="{D891EE02-822A-4516-8AF1-7371B52F062A}"/>
    <cellStyle name="Normal 5 2 3 2 3 2 2 2 4" xfId="15809" xr:uid="{516B86FA-C5E1-4E6C-A2E9-EA018A84D732}"/>
    <cellStyle name="Normal 5 2 3 2 3 2 2 3" xfId="28473" xr:uid="{F3B30E03-F17C-4705-99B3-59DD154ECE5F}"/>
    <cellStyle name="Normal 5 2 3 2 3 2 2 4" xfId="20032" xr:uid="{4E55CA6F-A244-4B02-99E2-E4619C097B95}"/>
    <cellStyle name="Normal 5 2 3 2 3 2 2 5" xfId="11591" xr:uid="{1E2B3935-6DDF-4AE6-AF63-A82D15F1943B}"/>
    <cellStyle name="Normal 5 2 3 2 3 2 3" xfId="5214" xr:uid="{00000000-0005-0000-0000-000061180000}"/>
    <cellStyle name="Normal 5 2 3 2 3 2 3 2" xfId="30546" xr:uid="{50FD7258-B75F-41BC-83E1-998ABFCAE0FE}"/>
    <cellStyle name="Normal 5 2 3 2 3 2 3 3" xfId="22105" xr:uid="{9791AF2D-D62D-4DB2-9FEC-699CAA45C71C}"/>
    <cellStyle name="Normal 5 2 3 2 3 2 3 4" xfId="13664" xr:uid="{DB1A2E61-B489-4F33-B58D-08A12E2EC01E}"/>
    <cellStyle name="Normal 5 2 3 2 3 2 4" xfId="26328" xr:uid="{3CC6027F-59D5-451A-BC01-F0CC60D962F8}"/>
    <cellStyle name="Normal 5 2 3 2 3 2 5" xfId="17887" xr:uid="{1D5EAD3B-2E19-4CF4-87F3-EDD933A8AF67}"/>
    <cellStyle name="Normal 5 2 3 2 3 2 6" xfId="9446" xr:uid="{E4DB43A9-64D2-47B7-90E6-31302AC3366C}"/>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2 2 2" xfId="33104" xr:uid="{82049BC9-F23D-4CB8-888E-E5D3EA8A54CF}"/>
    <cellStyle name="Normal 5 2 3 2 3 3 2 2 3" xfId="24663" xr:uid="{D7E603AB-D52E-487A-AAE8-6F2FED57DE0B}"/>
    <cellStyle name="Normal 5 2 3 2 3 3 2 2 4" xfId="16222" xr:uid="{FC9F13B2-FF20-478C-B8C6-EE619534C719}"/>
    <cellStyle name="Normal 5 2 3 2 3 3 2 3" xfId="28886" xr:uid="{2039D7BC-997A-4804-8A63-D5F869ECD4DA}"/>
    <cellStyle name="Normal 5 2 3 2 3 3 2 4" xfId="20445" xr:uid="{17B003CD-1229-436B-98E9-2B161028F772}"/>
    <cellStyle name="Normal 5 2 3 2 3 3 2 5" xfId="12004" xr:uid="{71F2C5C8-39F9-4698-B39E-06C56514A9E3}"/>
    <cellStyle name="Normal 5 2 3 2 3 3 3" xfId="5627" xr:uid="{00000000-0005-0000-0000-000065180000}"/>
    <cellStyle name="Normal 5 2 3 2 3 3 3 2" xfId="30959" xr:uid="{7944B98E-DA0F-4EE6-A86C-324C462536BD}"/>
    <cellStyle name="Normal 5 2 3 2 3 3 3 3" xfId="22518" xr:uid="{889D5408-EABB-4920-B985-EAF5A0028126}"/>
    <cellStyle name="Normal 5 2 3 2 3 3 3 4" xfId="14077" xr:uid="{F089999F-FF8B-48CE-AA7B-AD89A9631D1D}"/>
    <cellStyle name="Normal 5 2 3 2 3 3 4" xfId="26741" xr:uid="{40B05027-2E70-4242-AD35-CBC66932039E}"/>
    <cellStyle name="Normal 5 2 3 2 3 3 5" xfId="18300" xr:uid="{DAC75C0C-07E5-4451-99C2-4A85D9297E20}"/>
    <cellStyle name="Normal 5 2 3 2 3 3 6" xfId="9859" xr:uid="{B0F35117-CFFD-42EC-A8D7-597847F28266}"/>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2 2 2" xfId="33517" xr:uid="{397DB0B3-1C9B-4E91-8A5A-280CC9265303}"/>
    <cellStyle name="Normal 5 2 3 2 3 4 2 2 3" xfId="25076" xr:uid="{C3D5BB59-AE4B-41DF-A78C-8469F4D39D99}"/>
    <cellStyle name="Normal 5 2 3 2 3 4 2 2 4" xfId="16635" xr:uid="{A094D1C0-1D6A-4D40-8B09-68D4F27C9589}"/>
    <cellStyle name="Normal 5 2 3 2 3 4 2 3" xfId="29299" xr:uid="{C1562AF1-D3CC-4F3F-BAE3-C7A98B9695E6}"/>
    <cellStyle name="Normal 5 2 3 2 3 4 2 4" xfId="20858" xr:uid="{27946063-6AD6-4AE4-B810-483107EDCE03}"/>
    <cellStyle name="Normal 5 2 3 2 3 4 2 5" xfId="12417" xr:uid="{0F932A7E-BB88-4C57-B37A-A81AB8F24E1B}"/>
    <cellStyle name="Normal 5 2 3 2 3 4 3" xfId="6040" xr:uid="{00000000-0005-0000-0000-000069180000}"/>
    <cellStyle name="Normal 5 2 3 2 3 4 3 2" xfId="31372" xr:uid="{D9A5449E-75E7-464E-8019-DCAF53B0FF1C}"/>
    <cellStyle name="Normal 5 2 3 2 3 4 3 3" xfId="22931" xr:uid="{5D6ADE63-E6B1-4AE5-A9AD-EDD571ED25F3}"/>
    <cellStyle name="Normal 5 2 3 2 3 4 3 4" xfId="14490" xr:uid="{5174F5E6-28E2-4158-9BA6-C22F95F38461}"/>
    <cellStyle name="Normal 5 2 3 2 3 4 4" xfId="27154" xr:uid="{09CA26DD-52FC-4CE4-8B12-A0C9CE50DE42}"/>
    <cellStyle name="Normal 5 2 3 2 3 4 5" xfId="18713" xr:uid="{7A2E3471-5F8B-423D-96B4-A07306F7A6F6}"/>
    <cellStyle name="Normal 5 2 3 2 3 4 6" xfId="10272" xr:uid="{3F39CED6-BE50-431D-96E1-B308AC28272D}"/>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2 2 2" xfId="33930" xr:uid="{A96E6122-42BC-466B-90B8-03103AAE3C9D}"/>
    <cellStyle name="Normal 5 2 3 2 3 5 2 2 3" xfId="25489" xr:uid="{8CC019BB-907A-4935-A488-21FFD6092B60}"/>
    <cellStyle name="Normal 5 2 3 2 3 5 2 2 4" xfId="17048" xr:uid="{3609507D-9FBB-4806-8898-77D8C8159C57}"/>
    <cellStyle name="Normal 5 2 3 2 3 5 2 3" xfId="29712" xr:uid="{79BFE802-B13A-4B5B-9C78-E50D6BE005A4}"/>
    <cellStyle name="Normal 5 2 3 2 3 5 2 4" xfId="21271" xr:uid="{8A8D7974-2BE7-4F99-A931-AA6D1563797F}"/>
    <cellStyle name="Normal 5 2 3 2 3 5 2 5" xfId="12830" xr:uid="{DD72F5CE-DC6A-44C1-AACC-F19F836A0609}"/>
    <cellStyle name="Normal 5 2 3 2 3 5 3" xfId="6453" xr:uid="{00000000-0005-0000-0000-00006D180000}"/>
    <cellStyle name="Normal 5 2 3 2 3 5 3 2" xfId="31785" xr:uid="{1CDD07A1-3EDF-4AF3-BE23-682C739154E4}"/>
    <cellStyle name="Normal 5 2 3 2 3 5 3 3" xfId="23344" xr:uid="{3BD85CDC-731F-490C-AD76-560915CBA7DB}"/>
    <cellStyle name="Normal 5 2 3 2 3 5 3 4" xfId="14903" xr:uid="{842E1D10-94B5-4BCF-B428-74780EBF71D2}"/>
    <cellStyle name="Normal 5 2 3 2 3 5 4" xfId="27567" xr:uid="{C4063091-25BB-4C98-A280-E5C53E896870}"/>
    <cellStyle name="Normal 5 2 3 2 3 5 5" xfId="19126" xr:uid="{CC565ABA-A260-42C3-983D-ED08CDDEC2E8}"/>
    <cellStyle name="Normal 5 2 3 2 3 5 6" xfId="10685" xr:uid="{D6392FC8-168F-45CC-ABD0-BF3EE4E6FBDB}"/>
    <cellStyle name="Normal 5 2 3 2 3 6" xfId="2583" xr:uid="{00000000-0005-0000-0000-00006E180000}"/>
    <cellStyle name="Normal 5 2 3 2 3 6 2" xfId="6866" xr:uid="{00000000-0005-0000-0000-00006F180000}"/>
    <cellStyle name="Normal 5 2 3 2 3 6 2 2" xfId="32198" xr:uid="{DB7D51CF-3802-4E53-A0C2-D582773758D2}"/>
    <cellStyle name="Normal 5 2 3 2 3 6 2 3" xfId="23757" xr:uid="{52477A0E-DE83-4D75-A670-76D55BE5DC38}"/>
    <cellStyle name="Normal 5 2 3 2 3 6 2 4" xfId="15316" xr:uid="{C9A67A62-688F-492C-A54A-2DE22820740C}"/>
    <cellStyle name="Normal 5 2 3 2 3 6 3" xfId="27980" xr:uid="{1AAABB23-C7AE-47B6-BAA0-68AD8871CAA5}"/>
    <cellStyle name="Normal 5 2 3 2 3 6 4" xfId="19539" xr:uid="{39787116-91F2-4464-8328-18CAFA2B2FC5}"/>
    <cellStyle name="Normal 5 2 3 2 3 6 5" xfId="11098" xr:uid="{09A26C0B-EAE1-48F4-89D7-C42E59142296}"/>
    <cellStyle name="Normal 5 2 3 2 3 7" xfId="4801" xr:uid="{00000000-0005-0000-0000-000070180000}"/>
    <cellStyle name="Normal 5 2 3 2 3 7 2" xfId="30133" xr:uid="{7EB01A29-9241-4D4C-BCBF-6DBF2242DF06}"/>
    <cellStyle name="Normal 5 2 3 2 3 7 3" xfId="21692" xr:uid="{139C8567-04F5-4160-8F45-9C9EA60CF60C}"/>
    <cellStyle name="Normal 5 2 3 2 3 7 4" xfId="13251" xr:uid="{A897C9FA-EE8B-41F3-8555-B6EE09B007FE}"/>
    <cellStyle name="Normal 5 2 3 2 3 8" xfId="25915" xr:uid="{ECC5AA70-6CD2-4238-AA18-0F28187B1502}"/>
    <cellStyle name="Normal 5 2 3 2 3 9" xfId="17474" xr:uid="{5BE2D31E-FBCD-4159-B43E-0636EE85118D}"/>
    <cellStyle name="Normal 5 2 3 2 4" xfId="899" xr:uid="{00000000-0005-0000-0000-000071180000}"/>
    <cellStyle name="Normal 5 2 3 2 4 2" xfId="3134" xr:uid="{00000000-0005-0000-0000-000072180000}"/>
    <cellStyle name="Normal 5 2 3 2 4 2 2" xfId="7356" xr:uid="{00000000-0005-0000-0000-000073180000}"/>
    <cellStyle name="Normal 5 2 3 2 4 2 2 2" xfId="32688" xr:uid="{056D0698-16DA-46CF-A448-694A21498D7E}"/>
    <cellStyle name="Normal 5 2 3 2 4 2 2 3" xfId="24247" xr:uid="{E7036EDC-9F08-4E27-ACC9-7984E9EEA0AB}"/>
    <cellStyle name="Normal 5 2 3 2 4 2 2 4" xfId="15806" xr:uid="{4A05AA7A-2C0D-4F9B-AA20-CB0180BA37F0}"/>
    <cellStyle name="Normal 5 2 3 2 4 2 3" xfId="28470" xr:uid="{3B72A982-4A6D-4658-885F-6F93354387D6}"/>
    <cellStyle name="Normal 5 2 3 2 4 2 4" xfId="20029" xr:uid="{BFF6EFEE-A9A7-4092-A457-33EE9BEECF28}"/>
    <cellStyle name="Normal 5 2 3 2 4 2 5" xfId="11588" xr:uid="{E98122A0-4F4B-43A5-9F47-E7BAEC4980CF}"/>
    <cellStyle name="Normal 5 2 3 2 4 3" xfId="5211" xr:uid="{00000000-0005-0000-0000-000074180000}"/>
    <cellStyle name="Normal 5 2 3 2 4 3 2" xfId="30543" xr:uid="{5852BD8B-AA15-4E1E-8BD3-9AFDAB90995B}"/>
    <cellStyle name="Normal 5 2 3 2 4 3 3" xfId="22102" xr:uid="{C2C8F312-801F-42EF-B03D-46BE7198F94A}"/>
    <cellStyle name="Normal 5 2 3 2 4 3 4" xfId="13661" xr:uid="{B61B8D9E-EE81-4E7A-B2F2-61FF38938A23}"/>
    <cellStyle name="Normal 5 2 3 2 4 4" xfId="26325" xr:uid="{13E691F6-1B15-4A6A-980F-A63E6CFA0628}"/>
    <cellStyle name="Normal 5 2 3 2 4 5" xfId="17884" xr:uid="{23C97F41-D060-4C9B-89B6-027515E5C3EB}"/>
    <cellStyle name="Normal 5 2 3 2 4 6" xfId="9443" xr:uid="{16E59AA1-2CED-4DE6-A9D1-01D4B1FDA166}"/>
    <cellStyle name="Normal 5 2 3 2 5" xfId="1317" xr:uid="{00000000-0005-0000-0000-000075180000}"/>
    <cellStyle name="Normal 5 2 3 2 5 2" xfId="3547" xr:uid="{00000000-0005-0000-0000-000076180000}"/>
    <cellStyle name="Normal 5 2 3 2 5 2 2" xfId="7769" xr:uid="{00000000-0005-0000-0000-000077180000}"/>
    <cellStyle name="Normal 5 2 3 2 5 2 2 2" xfId="33101" xr:uid="{B7A04E67-284B-47FF-96C4-516BD148B940}"/>
    <cellStyle name="Normal 5 2 3 2 5 2 2 3" xfId="24660" xr:uid="{AA3E7E05-2D08-4D69-986C-989217344086}"/>
    <cellStyle name="Normal 5 2 3 2 5 2 2 4" xfId="16219" xr:uid="{1C14F44D-52F8-4C96-BCB5-588269D6ED09}"/>
    <cellStyle name="Normal 5 2 3 2 5 2 3" xfId="28883" xr:uid="{8C16D8EC-19B5-4FFF-8A92-FF952912B091}"/>
    <cellStyle name="Normal 5 2 3 2 5 2 4" xfId="20442" xr:uid="{47FE1C4D-ACC3-4EC2-8E8E-D5AD656DC346}"/>
    <cellStyle name="Normal 5 2 3 2 5 2 5" xfId="12001" xr:uid="{5652F491-6581-416B-88CA-07EA7A21654F}"/>
    <cellStyle name="Normal 5 2 3 2 5 3" xfId="5624" xr:uid="{00000000-0005-0000-0000-000078180000}"/>
    <cellStyle name="Normal 5 2 3 2 5 3 2" xfId="30956" xr:uid="{A763698D-D513-4E54-8524-0BB3E22EA61D}"/>
    <cellStyle name="Normal 5 2 3 2 5 3 3" xfId="22515" xr:uid="{238C3EC8-5B35-4408-8F82-346FA6CEA9FE}"/>
    <cellStyle name="Normal 5 2 3 2 5 3 4" xfId="14074" xr:uid="{AAA9460A-009D-4CF0-A0D2-FDBDBF167A31}"/>
    <cellStyle name="Normal 5 2 3 2 5 4" xfId="26738" xr:uid="{92ABDFA7-75CA-41E5-AE80-CB57565188D8}"/>
    <cellStyle name="Normal 5 2 3 2 5 5" xfId="18297" xr:uid="{61F73C6E-B4ED-4D1A-B1CA-754248922F42}"/>
    <cellStyle name="Normal 5 2 3 2 5 6" xfId="9856" xr:uid="{D3698173-A1CC-44A8-B2C6-F8AA7101B87C}"/>
    <cellStyle name="Normal 5 2 3 2 6" xfId="1730" xr:uid="{00000000-0005-0000-0000-000079180000}"/>
    <cellStyle name="Normal 5 2 3 2 6 2" xfId="3960" xr:uid="{00000000-0005-0000-0000-00007A180000}"/>
    <cellStyle name="Normal 5 2 3 2 6 2 2" xfId="8182" xr:uid="{00000000-0005-0000-0000-00007B180000}"/>
    <cellStyle name="Normal 5 2 3 2 6 2 2 2" xfId="33514" xr:uid="{9F66D67B-DB65-4BC8-B8ED-E83BE2DDC8B1}"/>
    <cellStyle name="Normal 5 2 3 2 6 2 2 3" xfId="25073" xr:uid="{82F01121-DCD3-4DDF-89C5-5A4B4A6AA180}"/>
    <cellStyle name="Normal 5 2 3 2 6 2 2 4" xfId="16632" xr:uid="{CA8F5813-109A-4C0F-A5A0-8EF5583312BC}"/>
    <cellStyle name="Normal 5 2 3 2 6 2 3" xfId="29296" xr:uid="{05D98C60-1CB0-4017-B096-D0D0EACA1A31}"/>
    <cellStyle name="Normal 5 2 3 2 6 2 4" xfId="20855" xr:uid="{2B08194D-0757-4651-BDEB-BBE590D72BA0}"/>
    <cellStyle name="Normal 5 2 3 2 6 2 5" xfId="12414" xr:uid="{4BAC257C-55C1-463E-8AA4-9542D675071C}"/>
    <cellStyle name="Normal 5 2 3 2 6 3" xfId="6037" xr:uid="{00000000-0005-0000-0000-00007C180000}"/>
    <cellStyle name="Normal 5 2 3 2 6 3 2" xfId="31369" xr:uid="{D5999F3C-B5C8-4005-BDCC-568D2B05C5BC}"/>
    <cellStyle name="Normal 5 2 3 2 6 3 3" xfId="22928" xr:uid="{B91D382A-AE9A-4BA2-86BB-4279AE27E8F0}"/>
    <cellStyle name="Normal 5 2 3 2 6 3 4" xfId="14487" xr:uid="{B4A574FC-D088-4237-BC70-9731ACEF0BCE}"/>
    <cellStyle name="Normal 5 2 3 2 6 4" xfId="27151" xr:uid="{B70EB794-E3B3-43A2-8B72-25A53ADDB34F}"/>
    <cellStyle name="Normal 5 2 3 2 6 5" xfId="18710" xr:uid="{E1D5A717-363E-4ECE-B0DC-A5FD2792D002}"/>
    <cellStyle name="Normal 5 2 3 2 6 6" xfId="10269" xr:uid="{39453CF5-36B1-40F1-A1DA-7F26B397A1BD}"/>
    <cellStyle name="Normal 5 2 3 2 7" xfId="2144" xr:uid="{00000000-0005-0000-0000-00007D180000}"/>
    <cellStyle name="Normal 5 2 3 2 7 2" xfId="4373" xr:uid="{00000000-0005-0000-0000-00007E180000}"/>
    <cellStyle name="Normal 5 2 3 2 7 2 2" xfId="8595" xr:uid="{00000000-0005-0000-0000-00007F180000}"/>
    <cellStyle name="Normal 5 2 3 2 7 2 2 2" xfId="33927" xr:uid="{DCA32C7F-5079-4605-BAE8-7367B904096D}"/>
    <cellStyle name="Normal 5 2 3 2 7 2 2 3" xfId="25486" xr:uid="{36504661-B80B-489D-81A4-6FBA9618D79D}"/>
    <cellStyle name="Normal 5 2 3 2 7 2 2 4" xfId="17045" xr:uid="{5961B352-F5E9-4EAA-9257-9E9685F81F46}"/>
    <cellStyle name="Normal 5 2 3 2 7 2 3" xfId="29709" xr:uid="{2346927C-EDA9-4B4F-B164-864D40E0A82D}"/>
    <cellStyle name="Normal 5 2 3 2 7 2 4" xfId="21268" xr:uid="{AF57154A-22E6-4794-8764-E07DB5AFAEDF}"/>
    <cellStyle name="Normal 5 2 3 2 7 2 5" xfId="12827" xr:uid="{08C715A5-C471-4C7E-BB18-32C97B6859C1}"/>
    <cellStyle name="Normal 5 2 3 2 7 3" xfId="6450" xr:uid="{00000000-0005-0000-0000-000080180000}"/>
    <cellStyle name="Normal 5 2 3 2 7 3 2" xfId="31782" xr:uid="{528EECCC-744B-4F7F-96E1-9A593F6A2080}"/>
    <cellStyle name="Normal 5 2 3 2 7 3 3" xfId="23341" xr:uid="{E1BC9F89-96A0-4AF3-B517-B75BB7298CF0}"/>
    <cellStyle name="Normal 5 2 3 2 7 3 4" xfId="14900" xr:uid="{95422653-DA6D-4000-BC03-C5867456CB7B}"/>
    <cellStyle name="Normal 5 2 3 2 7 4" xfId="27564" xr:uid="{13FF6615-C4CA-4CCD-BD00-BAE68FB8FFD1}"/>
    <cellStyle name="Normal 5 2 3 2 7 5" xfId="19123" xr:uid="{B5D93043-0298-4D94-BEEB-028C31150F9D}"/>
    <cellStyle name="Normal 5 2 3 2 7 6" xfId="10682" xr:uid="{4D35A10A-9B27-468E-8943-19981C38FD84}"/>
    <cellStyle name="Normal 5 2 3 2 8" xfId="2580" xr:uid="{00000000-0005-0000-0000-000081180000}"/>
    <cellStyle name="Normal 5 2 3 2 8 2" xfId="6863" xr:uid="{00000000-0005-0000-0000-000082180000}"/>
    <cellStyle name="Normal 5 2 3 2 8 2 2" xfId="32195" xr:uid="{F0796FC4-EAE8-4985-8420-4B6F0F0959D1}"/>
    <cellStyle name="Normal 5 2 3 2 8 2 3" xfId="23754" xr:uid="{4E5B0C69-F4C8-4BD5-94B7-66D8FF257FA0}"/>
    <cellStyle name="Normal 5 2 3 2 8 2 4" xfId="15313" xr:uid="{3EBCCE87-B801-48E7-A350-01307CDF32BB}"/>
    <cellStyle name="Normal 5 2 3 2 8 3" xfId="27977" xr:uid="{AF76B0E1-FB7D-41E0-BEE5-4950FCFBEF82}"/>
    <cellStyle name="Normal 5 2 3 2 8 4" xfId="19536" xr:uid="{EA737F80-60D6-4666-BCB6-E735EF14D30D}"/>
    <cellStyle name="Normal 5 2 3 2 8 5" xfId="11095" xr:uid="{1F33585F-27FA-4E4C-B5D1-560848A93307}"/>
    <cellStyle name="Normal 5 2 3 2 9" xfId="4798" xr:uid="{00000000-0005-0000-0000-000083180000}"/>
    <cellStyle name="Normal 5 2 3 2 9 2" xfId="30130" xr:uid="{1E349BBE-A50F-4951-8940-B6B58CA30F04}"/>
    <cellStyle name="Normal 5 2 3 2 9 3" xfId="21689" xr:uid="{AADAE50C-72E5-41C5-B1C7-AD24759CF9BE}"/>
    <cellStyle name="Normal 5 2 3 2 9 4" xfId="13248" xr:uid="{C2845388-0286-4DD3-9DAB-4CDC613A23FE}"/>
    <cellStyle name="Normal 5 2 3 3" xfId="429" xr:uid="{00000000-0005-0000-0000-000084180000}"/>
    <cellStyle name="Normal 5 2 3 3 10" xfId="17475" xr:uid="{A8387241-416C-46E6-A593-B0ED45B08206}"/>
    <cellStyle name="Normal 5 2 3 3 11" xfId="9034" xr:uid="{5A8C0AEA-CCA3-42ED-BAE7-D8C9CB14ACD4}"/>
    <cellStyle name="Normal 5 2 3 3 2" xfId="430" xr:uid="{00000000-0005-0000-0000-000085180000}"/>
    <cellStyle name="Normal 5 2 3 3 2 10" xfId="9035" xr:uid="{244FEFBA-DE00-40E8-8012-CF45024778E4}"/>
    <cellStyle name="Normal 5 2 3 3 2 2" xfId="904" xr:uid="{00000000-0005-0000-0000-000086180000}"/>
    <cellStyle name="Normal 5 2 3 3 2 2 2" xfId="3139" xr:uid="{00000000-0005-0000-0000-000087180000}"/>
    <cellStyle name="Normal 5 2 3 3 2 2 2 2" xfId="7361" xr:uid="{00000000-0005-0000-0000-000088180000}"/>
    <cellStyle name="Normal 5 2 3 3 2 2 2 2 2" xfId="32693" xr:uid="{3283F8BC-F589-4820-AA63-D671970DF667}"/>
    <cellStyle name="Normal 5 2 3 3 2 2 2 2 3" xfId="24252" xr:uid="{9E86EC0B-B562-42B9-85FB-B5217BC0D365}"/>
    <cellStyle name="Normal 5 2 3 3 2 2 2 2 4" xfId="15811" xr:uid="{43E5CA85-C2A2-42B9-BD93-6867D27E716E}"/>
    <cellStyle name="Normal 5 2 3 3 2 2 2 3" xfId="28475" xr:uid="{3CF8634F-4983-4438-896D-8FD1405DA3CA}"/>
    <cellStyle name="Normal 5 2 3 3 2 2 2 4" xfId="20034" xr:uid="{5BDFF03D-B971-4945-9669-C56551D7DB2C}"/>
    <cellStyle name="Normal 5 2 3 3 2 2 2 5" xfId="11593" xr:uid="{5DF5DBC8-D342-4AD4-99AB-3DF692C24394}"/>
    <cellStyle name="Normal 5 2 3 3 2 2 3" xfId="5216" xr:uid="{00000000-0005-0000-0000-000089180000}"/>
    <cellStyle name="Normal 5 2 3 3 2 2 3 2" xfId="30548" xr:uid="{089690B8-E3EB-414F-B84E-6C321E19C07D}"/>
    <cellStyle name="Normal 5 2 3 3 2 2 3 3" xfId="22107" xr:uid="{F98F54D0-0932-4895-8E01-6B8E0289B1F2}"/>
    <cellStyle name="Normal 5 2 3 3 2 2 3 4" xfId="13666" xr:uid="{5BE92011-00B1-413E-8C7B-5FD626C2EC42}"/>
    <cellStyle name="Normal 5 2 3 3 2 2 4" xfId="26330" xr:uid="{CE7DCB1B-61E4-4818-BD92-F1B597756288}"/>
    <cellStyle name="Normal 5 2 3 3 2 2 5" xfId="17889" xr:uid="{8F0CB77D-26DD-4232-AF89-04AF41A2DD1C}"/>
    <cellStyle name="Normal 5 2 3 3 2 2 6" xfId="9448" xr:uid="{06B7E1F6-C609-4AFD-A14A-4E39D8CA21A1}"/>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2 2 2" xfId="33106" xr:uid="{49492D6A-96C8-4A4C-88FE-DCE02465EAC8}"/>
    <cellStyle name="Normal 5 2 3 3 2 3 2 2 3" xfId="24665" xr:uid="{3FD099F7-C275-4DD9-BB22-28FA5D0E4739}"/>
    <cellStyle name="Normal 5 2 3 3 2 3 2 2 4" xfId="16224" xr:uid="{A229741A-6F28-4BC8-890B-9FE31B7012F2}"/>
    <cellStyle name="Normal 5 2 3 3 2 3 2 3" xfId="28888" xr:uid="{A060DF74-86FB-4F2B-8835-1C9C07F0DCB9}"/>
    <cellStyle name="Normal 5 2 3 3 2 3 2 4" xfId="20447" xr:uid="{CC81A5E5-567B-48F4-BD73-CDD5D0FEC944}"/>
    <cellStyle name="Normal 5 2 3 3 2 3 2 5" xfId="12006" xr:uid="{12516257-48FC-437E-A9EA-8392F70AA4DB}"/>
    <cellStyle name="Normal 5 2 3 3 2 3 3" xfId="5629" xr:uid="{00000000-0005-0000-0000-00008D180000}"/>
    <cellStyle name="Normal 5 2 3 3 2 3 3 2" xfId="30961" xr:uid="{4778BCB3-8198-4645-8FA1-473F4C392BFB}"/>
    <cellStyle name="Normal 5 2 3 3 2 3 3 3" xfId="22520" xr:uid="{97ED3BBA-4B36-4B2D-A539-C4B41A0262B6}"/>
    <cellStyle name="Normal 5 2 3 3 2 3 3 4" xfId="14079" xr:uid="{1C9927D5-E8FA-4711-8DB5-2C0E192964B9}"/>
    <cellStyle name="Normal 5 2 3 3 2 3 4" xfId="26743" xr:uid="{4A643414-A99D-48B5-A372-F543C6D98E0E}"/>
    <cellStyle name="Normal 5 2 3 3 2 3 5" xfId="18302" xr:uid="{6DCF1331-CE39-4F8B-9A19-0DFE6828DF9C}"/>
    <cellStyle name="Normal 5 2 3 3 2 3 6" xfId="9861" xr:uid="{4A054C15-2E6E-40F8-B228-250004CD3745}"/>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2 2 2" xfId="33519" xr:uid="{D64AC6EC-FAF7-44DD-9946-4C58A5CCDE83}"/>
    <cellStyle name="Normal 5 2 3 3 2 4 2 2 3" xfId="25078" xr:uid="{05D116A6-D326-408D-A187-5F7EADF07BEC}"/>
    <cellStyle name="Normal 5 2 3 3 2 4 2 2 4" xfId="16637" xr:uid="{B5EE7676-1D0A-4CD2-8ABD-37AC296EE578}"/>
    <cellStyle name="Normal 5 2 3 3 2 4 2 3" xfId="29301" xr:uid="{F5F59BCA-0C3C-405D-8D46-A95E1090883C}"/>
    <cellStyle name="Normal 5 2 3 3 2 4 2 4" xfId="20860" xr:uid="{BDC9F2DE-7D90-4C32-AC4D-F732E3504997}"/>
    <cellStyle name="Normal 5 2 3 3 2 4 2 5" xfId="12419" xr:uid="{4D42CD18-CB40-48B4-A2D0-BB2E22E8F5B5}"/>
    <cellStyle name="Normal 5 2 3 3 2 4 3" xfId="6042" xr:uid="{00000000-0005-0000-0000-000091180000}"/>
    <cellStyle name="Normal 5 2 3 3 2 4 3 2" xfId="31374" xr:uid="{069BB910-235B-49F1-974A-81E1F47B31CC}"/>
    <cellStyle name="Normal 5 2 3 3 2 4 3 3" xfId="22933" xr:uid="{5E34130D-4BCC-403A-905D-7F637BE1C755}"/>
    <cellStyle name="Normal 5 2 3 3 2 4 3 4" xfId="14492" xr:uid="{6E7270CE-C7EB-4BD0-9AE3-52B10AB93B14}"/>
    <cellStyle name="Normal 5 2 3 3 2 4 4" xfId="27156" xr:uid="{E4B173E4-6A75-499F-B856-6AD87F012B52}"/>
    <cellStyle name="Normal 5 2 3 3 2 4 5" xfId="18715" xr:uid="{6AD8F888-5807-4B1D-91D3-F1AAB48F1FB7}"/>
    <cellStyle name="Normal 5 2 3 3 2 4 6" xfId="10274" xr:uid="{F9D8DC51-DEC5-49F5-8017-88B96815DC12}"/>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2 2 2" xfId="33932" xr:uid="{459B854D-DB13-4DF0-893D-EBA5305973C9}"/>
    <cellStyle name="Normal 5 2 3 3 2 5 2 2 3" xfId="25491" xr:uid="{DE64541B-2E97-4761-A7B7-9D6F13CE2213}"/>
    <cellStyle name="Normal 5 2 3 3 2 5 2 2 4" xfId="17050" xr:uid="{E6F8466F-A16F-462D-B675-A8C6797C94CD}"/>
    <cellStyle name="Normal 5 2 3 3 2 5 2 3" xfId="29714" xr:uid="{BA194C09-E31E-4AC8-8530-47084A8F904C}"/>
    <cellStyle name="Normal 5 2 3 3 2 5 2 4" xfId="21273" xr:uid="{BC6F5B25-5219-407F-A903-864D74101454}"/>
    <cellStyle name="Normal 5 2 3 3 2 5 2 5" xfId="12832" xr:uid="{B68241E3-F54D-4E85-A59E-54DFC54C569B}"/>
    <cellStyle name="Normal 5 2 3 3 2 5 3" xfId="6455" xr:uid="{00000000-0005-0000-0000-000095180000}"/>
    <cellStyle name="Normal 5 2 3 3 2 5 3 2" xfId="31787" xr:uid="{0ACA6911-A94F-4599-ADF2-AFBC6C31C121}"/>
    <cellStyle name="Normal 5 2 3 3 2 5 3 3" xfId="23346" xr:uid="{75F0E248-D5C0-4E35-849A-C7B4325DF39D}"/>
    <cellStyle name="Normal 5 2 3 3 2 5 3 4" xfId="14905" xr:uid="{A223FF2F-2EDD-4E8D-9610-A399990A9BB1}"/>
    <cellStyle name="Normal 5 2 3 3 2 5 4" xfId="27569" xr:uid="{6DAB6C01-5683-4DE8-9456-EDA4079A643A}"/>
    <cellStyle name="Normal 5 2 3 3 2 5 5" xfId="19128" xr:uid="{2F1A73B8-5CE8-4FEA-BB51-11223EF3C0E2}"/>
    <cellStyle name="Normal 5 2 3 3 2 5 6" xfId="10687" xr:uid="{377C3D71-B032-49C9-8497-2A3E70F9182B}"/>
    <cellStyle name="Normal 5 2 3 3 2 6" xfId="2585" xr:uid="{00000000-0005-0000-0000-000096180000}"/>
    <cellStyle name="Normal 5 2 3 3 2 6 2" xfId="6868" xr:uid="{00000000-0005-0000-0000-000097180000}"/>
    <cellStyle name="Normal 5 2 3 3 2 6 2 2" xfId="32200" xr:uid="{8774ED28-86C5-4D4B-BA3E-228865183890}"/>
    <cellStyle name="Normal 5 2 3 3 2 6 2 3" xfId="23759" xr:uid="{DB6911B5-B51F-4DB5-8B29-946541E2145A}"/>
    <cellStyle name="Normal 5 2 3 3 2 6 2 4" xfId="15318" xr:uid="{9100E384-C911-4EC7-96AE-68387C4DA0D9}"/>
    <cellStyle name="Normal 5 2 3 3 2 6 3" xfId="27982" xr:uid="{F63B117E-EC1E-48BF-84E6-56449A60C98E}"/>
    <cellStyle name="Normal 5 2 3 3 2 6 4" xfId="19541" xr:uid="{05A4FEEA-EB52-45DF-A208-E77EABF6CBB5}"/>
    <cellStyle name="Normal 5 2 3 3 2 6 5" xfId="11100" xr:uid="{9B76073C-2149-417E-A5A1-5B539A5EFD4E}"/>
    <cellStyle name="Normal 5 2 3 3 2 7" xfId="4803" xr:uid="{00000000-0005-0000-0000-000098180000}"/>
    <cellStyle name="Normal 5 2 3 3 2 7 2" xfId="30135" xr:uid="{4F423119-8B70-4170-B646-19B06928E314}"/>
    <cellStyle name="Normal 5 2 3 3 2 7 3" xfId="21694" xr:uid="{2E4D7C96-1660-4BA9-B24E-2EEAD22D8A58}"/>
    <cellStyle name="Normal 5 2 3 3 2 7 4" xfId="13253" xr:uid="{F33D73FC-1C93-4C9C-8D42-BF7402B8C876}"/>
    <cellStyle name="Normal 5 2 3 3 2 8" xfId="25917" xr:uid="{1C9170F6-E78B-4B26-9205-13BC99B72270}"/>
    <cellStyle name="Normal 5 2 3 3 2 9" xfId="17476" xr:uid="{0DF43292-EA42-44AB-8AAE-749A54BFD25E}"/>
    <cellStyle name="Normal 5 2 3 3 3" xfId="903" xr:uid="{00000000-0005-0000-0000-000099180000}"/>
    <cellStyle name="Normal 5 2 3 3 3 2" xfId="3138" xr:uid="{00000000-0005-0000-0000-00009A180000}"/>
    <cellStyle name="Normal 5 2 3 3 3 2 2" xfId="7360" xr:uid="{00000000-0005-0000-0000-00009B180000}"/>
    <cellStyle name="Normal 5 2 3 3 3 2 2 2" xfId="32692" xr:uid="{4E8B77F4-0CCA-43B3-9B04-F3736BBF4E2A}"/>
    <cellStyle name="Normal 5 2 3 3 3 2 2 3" xfId="24251" xr:uid="{06E42588-9CDA-41A8-BCC3-E33D49931E4E}"/>
    <cellStyle name="Normal 5 2 3 3 3 2 2 4" xfId="15810" xr:uid="{803A959F-F2E3-48C8-A941-1B05EFD61CF6}"/>
    <cellStyle name="Normal 5 2 3 3 3 2 3" xfId="28474" xr:uid="{BDA569E7-93F8-4EA8-AFC8-C9261E7F3087}"/>
    <cellStyle name="Normal 5 2 3 3 3 2 4" xfId="20033" xr:uid="{4AA5CD4F-54F2-47CE-9E71-199DD4B0EFF7}"/>
    <cellStyle name="Normal 5 2 3 3 3 2 5" xfId="11592" xr:uid="{8F345091-0167-40A2-B906-156F3FC7F4AE}"/>
    <cellStyle name="Normal 5 2 3 3 3 3" xfId="5215" xr:uid="{00000000-0005-0000-0000-00009C180000}"/>
    <cellStyle name="Normal 5 2 3 3 3 3 2" xfId="30547" xr:uid="{6E91EF50-828B-419F-8E36-3750A6482A79}"/>
    <cellStyle name="Normal 5 2 3 3 3 3 3" xfId="22106" xr:uid="{310EEA22-F2D5-485E-866D-74690CD0F507}"/>
    <cellStyle name="Normal 5 2 3 3 3 3 4" xfId="13665" xr:uid="{638C48C2-6255-46E6-AF0F-9FF12F5BA706}"/>
    <cellStyle name="Normal 5 2 3 3 3 4" xfId="26329" xr:uid="{369BEA61-C33C-4524-A792-5D7521A9B906}"/>
    <cellStyle name="Normal 5 2 3 3 3 5" xfId="17888" xr:uid="{6D27A347-BDD2-4DF7-AF2A-89ECB4D38871}"/>
    <cellStyle name="Normal 5 2 3 3 3 6" xfId="9447" xr:uid="{4AA735EE-6272-44AD-B23C-4293A9127105}"/>
    <cellStyle name="Normal 5 2 3 3 4" xfId="1321" xr:uid="{00000000-0005-0000-0000-00009D180000}"/>
    <cellStyle name="Normal 5 2 3 3 4 2" xfId="3551" xr:uid="{00000000-0005-0000-0000-00009E180000}"/>
    <cellStyle name="Normal 5 2 3 3 4 2 2" xfId="7773" xr:uid="{00000000-0005-0000-0000-00009F180000}"/>
    <cellStyle name="Normal 5 2 3 3 4 2 2 2" xfId="33105" xr:uid="{FABE2BC9-89F1-4A3E-8AC9-89C9D80A400C}"/>
    <cellStyle name="Normal 5 2 3 3 4 2 2 3" xfId="24664" xr:uid="{5FCF99BB-CBB7-409B-9CA8-BB4285313466}"/>
    <cellStyle name="Normal 5 2 3 3 4 2 2 4" xfId="16223" xr:uid="{5F7DD471-C6C6-4356-B90B-DB97ECAFA69B}"/>
    <cellStyle name="Normal 5 2 3 3 4 2 3" xfId="28887" xr:uid="{DB285541-31C6-484F-BFE3-D9BF3D1D8DF0}"/>
    <cellStyle name="Normal 5 2 3 3 4 2 4" xfId="20446" xr:uid="{15C79923-330D-423B-831D-705DB9C7A26B}"/>
    <cellStyle name="Normal 5 2 3 3 4 2 5" xfId="12005" xr:uid="{3FC6D4E0-3D7A-4DBA-B7AA-A33CA328E996}"/>
    <cellStyle name="Normal 5 2 3 3 4 3" xfId="5628" xr:uid="{00000000-0005-0000-0000-0000A0180000}"/>
    <cellStyle name="Normal 5 2 3 3 4 3 2" xfId="30960" xr:uid="{17D35DA6-29AE-4C4A-9673-91D73FDED6D5}"/>
    <cellStyle name="Normal 5 2 3 3 4 3 3" xfId="22519" xr:uid="{390F8445-A811-4B09-9ED0-AF9093187F86}"/>
    <cellStyle name="Normal 5 2 3 3 4 3 4" xfId="14078" xr:uid="{1CF9E181-8C4F-4CB9-952F-C4852E18B962}"/>
    <cellStyle name="Normal 5 2 3 3 4 4" xfId="26742" xr:uid="{223CCE3D-CF61-45CD-AC70-C7ED468F3733}"/>
    <cellStyle name="Normal 5 2 3 3 4 5" xfId="18301" xr:uid="{7FE41EAF-3976-4824-AEA9-4EB8CBCDCA85}"/>
    <cellStyle name="Normal 5 2 3 3 4 6" xfId="9860" xr:uid="{A9F8B39A-C452-4733-A32F-1DC48C675EC4}"/>
    <cellStyle name="Normal 5 2 3 3 5" xfId="1734" xr:uid="{00000000-0005-0000-0000-0000A1180000}"/>
    <cellStyle name="Normal 5 2 3 3 5 2" xfId="3964" xr:uid="{00000000-0005-0000-0000-0000A2180000}"/>
    <cellStyle name="Normal 5 2 3 3 5 2 2" xfId="8186" xr:uid="{00000000-0005-0000-0000-0000A3180000}"/>
    <cellStyle name="Normal 5 2 3 3 5 2 2 2" xfId="33518" xr:uid="{186E9E7E-F6D4-4AFB-B949-998AA741023B}"/>
    <cellStyle name="Normal 5 2 3 3 5 2 2 3" xfId="25077" xr:uid="{F39D4B3E-D26F-4F5D-B61A-E762D624A3BD}"/>
    <cellStyle name="Normal 5 2 3 3 5 2 2 4" xfId="16636" xr:uid="{F3BBB965-EF1C-465A-9631-F2218E6F9F3E}"/>
    <cellStyle name="Normal 5 2 3 3 5 2 3" xfId="29300" xr:uid="{D80B6BF4-A247-4CD9-B4F2-0DCA45DB0BB4}"/>
    <cellStyle name="Normal 5 2 3 3 5 2 4" xfId="20859" xr:uid="{285C326B-8CC0-4B82-85BD-D04CA51DCE06}"/>
    <cellStyle name="Normal 5 2 3 3 5 2 5" xfId="12418" xr:uid="{6A531E29-7FC6-468A-A869-08D53EA41B57}"/>
    <cellStyle name="Normal 5 2 3 3 5 3" xfId="6041" xr:uid="{00000000-0005-0000-0000-0000A4180000}"/>
    <cellStyle name="Normal 5 2 3 3 5 3 2" xfId="31373" xr:uid="{65FDA469-3F9F-4389-A12C-A1F333934EA5}"/>
    <cellStyle name="Normal 5 2 3 3 5 3 3" xfId="22932" xr:uid="{295A8547-1EAF-418D-8BB1-EFC557013514}"/>
    <cellStyle name="Normal 5 2 3 3 5 3 4" xfId="14491" xr:uid="{27A59013-9DBA-4404-A89E-756D379DD52A}"/>
    <cellStyle name="Normal 5 2 3 3 5 4" xfId="27155" xr:uid="{BB544485-FFCA-486E-80BB-65E91640FABB}"/>
    <cellStyle name="Normal 5 2 3 3 5 5" xfId="18714" xr:uid="{BB9CFA0C-2AA8-4BC6-9EBC-67E2059D70A6}"/>
    <cellStyle name="Normal 5 2 3 3 5 6" xfId="10273" xr:uid="{180E0E4E-1171-474C-93BC-894AE87EFBD1}"/>
    <cellStyle name="Normal 5 2 3 3 6" xfId="2148" xr:uid="{00000000-0005-0000-0000-0000A5180000}"/>
    <cellStyle name="Normal 5 2 3 3 6 2" xfId="4377" xr:uid="{00000000-0005-0000-0000-0000A6180000}"/>
    <cellStyle name="Normal 5 2 3 3 6 2 2" xfId="8599" xr:uid="{00000000-0005-0000-0000-0000A7180000}"/>
    <cellStyle name="Normal 5 2 3 3 6 2 2 2" xfId="33931" xr:uid="{1ACEAF3A-BD69-4134-9EC5-2C702A573BCF}"/>
    <cellStyle name="Normal 5 2 3 3 6 2 2 3" xfId="25490" xr:uid="{99703C03-2B13-48C3-83A0-D5D7E80D4F63}"/>
    <cellStyle name="Normal 5 2 3 3 6 2 2 4" xfId="17049" xr:uid="{74F7278F-13F2-4904-A91A-36F286A66B7D}"/>
    <cellStyle name="Normal 5 2 3 3 6 2 3" xfId="29713" xr:uid="{70E8606D-E931-485E-ACB2-523B8D4AA92B}"/>
    <cellStyle name="Normal 5 2 3 3 6 2 4" xfId="21272" xr:uid="{3D03E1EB-F2CB-4A6E-A0F4-146C26B93366}"/>
    <cellStyle name="Normal 5 2 3 3 6 2 5" xfId="12831" xr:uid="{64B9950F-C5B9-4B58-8E4E-684354A01B2E}"/>
    <cellStyle name="Normal 5 2 3 3 6 3" xfId="6454" xr:uid="{00000000-0005-0000-0000-0000A8180000}"/>
    <cellStyle name="Normal 5 2 3 3 6 3 2" xfId="31786" xr:uid="{919FF21A-D42B-4B60-A833-B4C5039EFBD5}"/>
    <cellStyle name="Normal 5 2 3 3 6 3 3" xfId="23345" xr:uid="{409FF66F-28C1-45D0-87B4-AA564286348E}"/>
    <cellStyle name="Normal 5 2 3 3 6 3 4" xfId="14904" xr:uid="{6790A26D-A5E7-49E8-A9AD-67B0A586CD4F}"/>
    <cellStyle name="Normal 5 2 3 3 6 4" xfId="27568" xr:uid="{6B16A1E0-0E1D-46AA-ADB2-03B2D561D53C}"/>
    <cellStyle name="Normal 5 2 3 3 6 5" xfId="19127" xr:uid="{741C2E1F-A93B-4E5E-BCFE-D32CBD7704F7}"/>
    <cellStyle name="Normal 5 2 3 3 6 6" xfId="10686" xr:uid="{EC1DDD13-0F15-42C1-A14E-97BC2082CBAC}"/>
    <cellStyle name="Normal 5 2 3 3 7" xfId="2584" xr:uid="{00000000-0005-0000-0000-0000A9180000}"/>
    <cellStyle name="Normal 5 2 3 3 7 2" xfId="6867" xr:uid="{00000000-0005-0000-0000-0000AA180000}"/>
    <cellStyle name="Normal 5 2 3 3 7 2 2" xfId="32199" xr:uid="{F96939B4-4D2F-41DA-ABBE-B58D2E898506}"/>
    <cellStyle name="Normal 5 2 3 3 7 2 3" xfId="23758" xr:uid="{1C3FF406-7296-47E3-A97E-4C90E6C84056}"/>
    <cellStyle name="Normal 5 2 3 3 7 2 4" xfId="15317" xr:uid="{B363168A-C852-41C2-A680-33CA5FD21943}"/>
    <cellStyle name="Normal 5 2 3 3 7 3" xfId="27981" xr:uid="{BF15A5A7-7F8C-4B6F-A9BA-564A2FEE7FAF}"/>
    <cellStyle name="Normal 5 2 3 3 7 4" xfId="19540" xr:uid="{CD799D5C-EDA2-400B-8711-F61E18AF7BB8}"/>
    <cellStyle name="Normal 5 2 3 3 7 5" xfId="11099" xr:uid="{1925AEE9-B75B-4A5C-B9F4-1C0AC72B54F5}"/>
    <cellStyle name="Normal 5 2 3 3 8" xfId="4802" xr:uid="{00000000-0005-0000-0000-0000AB180000}"/>
    <cellStyle name="Normal 5 2 3 3 8 2" xfId="30134" xr:uid="{26C30A6B-11BF-4EEA-8F2D-F4442317BCFA}"/>
    <cellStyle name="Normal 5 2 3 3 8 3" xfId="21693" xr:uid="{52E57590-1CF4-4BF0-955F-B9AF73EE7AF3}"/>
    <cellStyle name="Normal 5 2 3 3 8 4" xfId="13252" xr:uid="{ED15955C-6C0A-4445-9031-F03C50B3EC77}"/>
    <cellStyle name="Normal 5 2 3 3 9" xfId="25916" xr:uid="{F4B1A015-985F-4096-AF42-956CAD5647E4}"/>
    <cellStyle name="Normal 5 2 3 4" xfId="431" xr:uid="{00000000-0005-0000-0000-0000AC180000}"/>
    <cellStyle name="Normal 5 2 3 4 10" xfId="9036" xr:uid="{5C68CAC1-CAF5-4C14-95E0-90AAFB3D3339}"/>
    <cellStyle name="Normal 5 2 3 4 2" xfId="905" xr:uid="{00000000-0005-0000-0000-0000AD180000}"/>
    <cellStyle name="Normal 5 2 3 4 2 2" xfId="3140" xr:uid="{00000000-0005-0000-0000-0000AE180000}"/>
    <cellStyle name="Normal 5 2 3 4 2 2 2" xfId="7362" xr:uid="{00000000-0005-0000-0000-0000AF180000}"/>
    <cellStyle name="Normal 5 2 3 4 2 2 2 2" xfId="32694" xr:uid="{389242C4-5391-41A2-A12C-6CCC5BC320E7}"/>
    <cellStyle name="Normal 5 2 3 4 2 2 2 3" xfId="24253" xr:uid="{D6CFCB43-31B7-4754-A060-FC1627B422F4}"/>
    <cellStyle name="Normal 5 2 3 4 2 2 2 4" xfId="15812" xr:uid="{7B6267B4-63D3-4930-9577-4D90A1FAFB46}"/>
    <cellStyle name="Normal 5 2 3 4 2 2 3" xfId="28476" xr:uid="{77BE3A55-9C65-4818-B5FD-72768A099B71}"/>
    <cellStyle name="Normal 5 2 3 4 2 2 4" xfId="20035" xr:uid="{EA782259-7AEE-4619-A4E1-386F98B72EF0}"/>
    <cellStyle name="Normal 5 2 3 4 2 2 5" xfId="11594" xr:uid="{46CB45B5-2004-4439-92BC-6939E4FC67E7}"/>
    <cellStyle name="Normal 5 2 3 4 2 3" xfId="5217" xr:uid="{00000000-0005-0000-0000-0000B0180000}"/>
    <cellStyle name="Normal 5 2 3 4 2 3 2" xfId="30549" xr:uid="{FC5BD939-FA9C-475A-B6E9-29A20975F199}"/>
    <cellStyle name="Normal 5 2 3 4 2 3 3" xfId="22108" xr:uid="{182F391D-76A0-4F33-BA9A-09A3EC02DBFA}"/>
    <cellStyle name="Normal 5 2 3 4 2 3 4" xfId="13667" xr:uid="{750AD100-A22C-4F9E-9766-E9F1563BED96}"/>
    <cellStyle name="Normal 5 2 3 4 2 4" xfId="26331" xr:uid="{44BAC341-BC41-4C94-9003-5536E1EE7757}"/>
    <cellStyle name="Normal 5 2 3 4 2 5" xfId="17890" xr:uid="{64E9E204-11B4-4FB7-AA80-5CDD66638B93}"/>
    <cellStyle name="Normal 5 2 3 4 2 6" xfId="9449" xr:uid="{1372FE84-BAB4-47EC-AD23-DD7A9E8100D8}"/>
    <cellStyle name="Normal 5 2 3 4 3" xfId="1323" xr:uid="{00000000-0005-0000-0000-0000B1180000}"/>
    <cellStyle name="Normal 5 2 3 4 3 2" xfId="3553" xr:uid="{00000000-0005-0000-0000-0000B2180000}"/>
    <cellStyle name="Normal 5 2 3 4 3 2 2" xfId="7775" xr:uid="{00000000-0005-0000-0000-0000B3180000}"/>
    <cellStyle name="Normal 5 2 3 4 3 2 2 2" xfId="33107" xr:uid="{A25A74ED-1025-4D54-904E-BB042A6CB774}"/>
    <cellStyle name="Normal 5 2 3 4 3 2 2 3" xfId="24666" xr:uid="{43808262-A2E1-4472-8D21-296BE4A41C26}"/>
    <cellStyle name="Normal 5 2 3 4 3 2 2 4" xfId="16225" xr:uid="{F959E4FC-DEEA-44CE-92F7-DCFFA1E20C60}"/>
    <cellStyle name="Normal 5 2 3 4 3 2 3" xfId="28889" xr:uid="{7B8B724E-1100-4BBA-9E37-BDAC32067D36}"/>
    <cellStyle name="Normal 5 2 3 4 3 2 4" xfId="20448" xr:uid="{2019C193-A2BF-4BE7-B62F-9DE40DD7A784}"/>
    <cellStyle name="Normal 5 2 3 4 3 2 5" xfId="12007" xr:uid="{9CBA584E-223C-44E7-B1A2-C9296B90F612}"/>
    <cellStyle name="Normal 5 2 3 4 3 3" xfId="5630" xr:uid="{00000000-0005-0000-0000-0000B4180000}"/>
    <cellStyle name="Normal 5 2 3 4 3 3 2" xfId="30962" xr:uid="{AF7E1EB5-EC50-41CD-BEDC-918F1E6DE71A}"/>
    <cellStyle name="Normal 5 2 3 4 3 3 3" xfId="22521" xr:uid="{D8D960CD-AA50-4C18-8E72-08AF8975B413}"/>
    <cellStyle name="Normal 5 2 3 4 3 3 4" xfId="14080" xr:uid="{E7FFC689-FD25-43B7-BD25-69C45509FF0C}"/>
    <cellStyle name="Normal 5 2 3 4 3 4" xfId="26744" xr:uid="{C811DC97-004D-4183-8D42-77BD62F7023B}"/>
    <cellStyle name="Normal 5 2 3 4 3 5" xfId="18303" xr:uid="{FA6FC9ED-7D4C-4A95-8294-2BEC2BD3F7E1}"/>
    <cellStyle name="Normal 5 2 3 4 3 6" xfId="9862" xr:uid="{2613E8B7-6FE3-4451-AAEF-9B34D2C484E0}"/>
    <cellStyle name="Normal 5 2 3 4 4" xfId="1736" xr:uid="{00000000-0005-0000-0000-0000B5180000}"/>
    <cellStyle name="Normal 5 2 3 4 4 2" xfId="3966" xr:uid="{00000000-0005-0000-0000-0000B6180000}"/>
    <cellStyle name="Normal 5 2 3 4 4 2 2" xfId="8188" xr:uid="{00000000-0005-0000-0000-0000B7180000}"/>
    <cellStyle name="Normal 5 2 3 4 4 2 2 2" xfId="33520" xr:uid="{823842D7-B507-4076-A143-5ED9A9E5052C}"/>
    <cellStyle name="Normal 5 2 3 4 4 2 2 3" xfId="25079" xr:uid="{AA400324-112B-460B-B8B5-6E7B10AFE567}"/>
    <cellStyle name="Normal 5 2 3 4 4 2 2 4" xfId="16638" xr:uid="{8EC799B8-C109-47A4-BCE5-BA7E96D7B69F}"/>
    <cellStyle name="Normal 5 2 3 4 4 2 3" xfId="29302" xr:uid="{435154AB-5E2B-414A-B660-14E11824F8F8}"/>
    <cellStyle name="Normal 5 2 3 4 4 2 4" xfId="20861" xr:uid="{43A176A2-8740-4318-9A5F-0A5A131D39B2}"/>
    <cellStyle name="Normal 5 2 3 4 4 2 5" xfId="12420" xr:uid="{3AF13533-3B52-4D80-B175-26E0115EDB61}"/>
    <cellStyle name="Normal 5 2 3 4 4 3" xfId="6043" xr:uid="{00000000-0005-0000-0000-0000B8180000}"/>
    <cellStyle name="Normal 5 2 3 4 4 3 2" xfId="31375" xr:uid="{3A1C117D-66D5-414B-A383-BB3000F365BC}"/>
    <cellStyle name="Normal 5 2 3 4 4 3 3" xfId="22934" xr:uid="{FB311F45-AAEB-4FDE-94BD-5C4D0DC822E1}"/>
    <cellStyle name="Normal 5 2 3 4 4 3 4" xfId="14493" xr:uid="{1A986C5F-46C5-4DFB-88E3-0233D910E4FA}"/>
    <cellStyle name="Normal 5 2 3 4 4 4" xfId="27157" xr:uid="{B340EDCF-6606-48F8-9D54-EE9E9B63DC9D}"/>
    <cellStyle name="Normal 5 2 3 4 4 5" xfId="18716" xr:uid="{DCAB2F1C-A20A-4B01-952E-294FCA7C1556}"/>
    <cellStyle name="Normal 5 2 3 4 4 6" xfId="10275" xr:uid="{DBECB3BB-B33B-436B-BD3E-F76979E69ACB}"/>
    <cellStyle name="Normal 5 2 3 4 5" xfId="2150" xr:uid="{00000000-0005-0000-0000-0000B9180000}"/>
    <cellStyle name="Normal 5 2 3 4 5 2" xfId="4379" xr:uid="{00000000-0005-0000-0000-0000BA180000}"/>
    <cellStyle name="Normal 5 2 3 4 5 2 2" xfId="8601" xr:uid="{00000000-0005-0000-0000-0000BB180000}"/>
    <cellStyle name="Normal 5 2 3 4 5 2 2 2" xfId="33933" xr:uid="{9EC43013-E675-4764-A015-06E852A8C093}"/>
    <cellStyle name="Normal 5 2 3 4 5 2 2 3" xfId="25492" xr:uid="{9F5441EC-E061-453A-A860-28AC80A11A2A}"/>
    <cellStyle name="Normal 5 2 3 4 5 2 2 4" xfId="17051" xr:uid="{9C8F32AE-DC9C-445C-98F6-CA7D2261508E}"/>
    <cellStyle name="Normal 5 2 3 4 5 2 3" xfId="29715" xr:uid="{14D18889-11EB-4E72-9803-E639EFF06FA2}"/>
    <cellStyle name="Normal 5 2 3 4 5 2 4" xfId="21274" xr:uid="{61390514-0597-4A53-A188-82424A0B99F8}"/>
    <cellStyle name="Normal 5 2 3 4 5 2 5" xfId="12833" xr:uid="{9BE6ED68-F15C-4177-AE77-2DC4FEDD7794}"/>
    <cellStyle name="Normal 5 2 3 4 5 3" xfId="6456" xr:uid="{00000000-0005-0000-0000-0000BC180000}"/>
    <cellStyle name="Normal 5 2 3 4 5 3 2" xfId="31788" xr:uid="{DCD541E6-FD9B-4E3D-91F0-8A6C0E808CD3}"/>
    <cellStyle name="Normal 5 2 3 4 5 3 3" xfId="23347" xr:uid="{291ABBAA-A6EE-4902-9BC5-F3C0C7912699}"/>
    <cellStyle name="Normal 5 2 3 4 5 3 4" xfId="14906" xr:uid="{810B653D-69A4-40AE-85E4-F6ED4609ACB2}"/>
    <cellStyle name="Normal 5 2 3 4 5 4" xfId="27570" xr:uid="{5F64EC21-E869-4BF4-9B71-EC575792FF1D}"/>
    <cellStyle name="Normal 5 2 3 4 5 5" xfId="19129" xr:uid="{257756C2-51CD-4D88-A0FA-8450CEC86035}"/>
    <cellStyle name="Normal 5 2 3 4 5 6" xfId="10688" xr:uid="{592869C3-6856-4504-9646-3915A0C91950}"/>
    <cellStyle name="Normal 5 2 3 4 6" xfId="2586" xr:uid="{00000000-0005-0000-0000-0000BD180000}"/>
    <cellStyle name="Normal 5 2 3 4 6 2" xfId="6869" xr:uid="{00000000-0005-0000-0000-0000BE180000}"/>
    <cellStyle name="Normal 5 2 3 4 6 2 2" xfId="32201" xr:uid="{1FDEDE01-1678-4860-8047-5152D81B8B99}"/>
    <cellStyle name="Normal 5 2 3 4 6 2 3" xfId="23760" xr:uid="{6CE89C73-FBB6-4576-8DCC-AF34ADC62C66}"/>
    <cellStyle name="Normal 5 2 3 4 6 2 4" xfId="15319" xr:uid="{F462AAC2-C10F-4D2F-91D2-3439B29B6AFA}"/>
    <cellStyle name="Normal 5 2 3 4 6 3" xfId="27983" xr:uid="{01467491-6BD8-4755-9D8E-CDFF088C3BED}"/>
    <cellStyle name="Normal 5 2 3 4 6 4" xfId="19542" xr:uid="{709BDDF2-C099-44AB-B3F7-D7E177CF71A5}"/>
    <cellStyle name="Normal 5 2 3 4 6 5" xfId="11101" xr:uid="{F7DE579D-1023-48A5-9ACA-552C1ECFAC08}"/>
    <cellStyle name="Normal 5 2 3 4 7" xfId="4804" xr:uid="{00000000-0005-0000-0000-0000BF180000}"/>
    <cellStyle name="Normal 5 2 3 4 7 2" xfId="30136" xr:uid="{83D41C5C-6EA0-40DF-9A46-7D6A7988C07E}"/>
    <cellStyle name="Normal 5 2 3 4 7 3" xfId="21695" xr:uid="{F2A6E5B9-1FF4-4800-9F19-B085941FF805}"/>
    <cellStyle name="Normal 5 2 3 4 7 4" xfId="13254" xr:uid="{1D0A7778-FD8D-4F6B-A1B8-E66E9EF371E5}"/>
    <cellStyle name="Normal 5 2 3 4 8" xfId="25918" xr:uid="{18FA86F3-726D-4F8B-9106-F5878456B2EA}"/>
    <cellStyle name="Normal 5 2 3 4 9" xfId="17477" xr:uid="{40953975-06FF-49C2-A0D1-507B1D386D83}"/>
    <cellStyle name="Normal 5 2 3 5" xfId="898" xr:uid="{00000000-0005-0000-0000-0000C0180000}"/>
    <cellStyle name="Normal 5 2 3 5 2" xfId="3133" xr:uid="{00000000-0005-0000-0000-0000C1180000}"/>
    <cellStyle name="Normal 5 2 3 5 2 2" xfId="7355" xr:uid="{00000000-0005-0000-0000-0000C2180000}"/>
    <cellStyle name="Normal 5 2 3 5 2 2 2" xfId="32687" xr:uid="{FFF69A20-3AB4-4F11-8AD1-2DE0B6CCFECD}"/>
    <cellStyle name="Normal 5 2 3 5 2 2 3" xfId="24246" xr:uid="{2C80340A-8509-4DA8-B37B-1F428C2FAE14}"/>
    <cellStyle name="Normal 5 2 3 5 2 2 4" xfId="15805" xr:uid="{184F1FF4-A41F-4968-91FD-5EC2834370A2}"/>
    <cellStyle name="Normal 5 2 3 5 2 3" xfId="28469" xr:uid="{805B36FA-0EFF-481D-8DCC-8D46305CD161}"/>
    <cellStyle name="Normal 5 2 3 5 2 4" xfId="20028" xr:uid="{8E3958DE-2608-4770-9B82-07E7AC714A22}"/>
    <cellStyle name="Normal 5 2 3 5 2 5" xfId="11587" xr:uid="{1581174A-84EF-47C8-A11B-D99B0D5C4084}"/>
    <cellStyle name="Normal 5 2 3 5 3" xfId="5210" xr:uid="{00000000-0005-0000-0000-0000C3180000}"/>
    <cellStyle name="Normal 5 2 3 5 3 2" xfId="30542" xr:uid="{794D6E55-84DB-42CE-9ABB-06E6BDA885EF}"/>
    <cellStyle name="Normal 5 2 3 5 3 3" xfId="22101" xr:uid="{53211B69-857B-41E3-B01A-A919135A92E7}"/>
    <cellStyle name="Normal 5 2 3 5 3 4" xfId="13660" xr:uid="{B0E2EE9A-EB70-4204-81E3-517F456BC55A}"/>
    <cellStyle name="Normal 5 2 3 5 4" xfId="26324" xr:uid="{C96760D3-27FC-4E16-AFCD-A0B314DD3719}"/>
    <cellStyle name="Normal 5 2 3 5 5" xfId="17883" xr:uid="{D5191416-8B60-44DC-AA2C-F49A43CD4923}"/>
    <cellStyle name="Normal 5 2 3 5 6" xfId="9442" xr:uid="{03F8FE91-9C72-4D3C-BEAF-5AD209BC6C37}"/>
    <cellStyle name="Normal 5 2 3 6" xfId="1316" xr:uid="{00000000-0005-0000-0000-0000C4180000}"/>
    <cellStyle name="Normal 5 2 3 6 2" xfId="3546" xr:uid="{00000000-0005-0000-0000-0000C5180000}"/>
    <cellStyle name="Normal 5 2 3 6 2 2" xfId="7768" xr:uid="{00000000-0005-0000-0000-0000C6180000}"/>
    <cellStyle name="Normal 5 2 3 6 2 2 2" xfId="33100" xr:uid="{C800C2A0-03B9-4350-B620-A41B7B95F491}"/>
    <cellStyle name="Normal 5 2 3 6 2 2 3" xfId="24659" xr:uid="{C623DED1-83A9-432F-8917-57FFD7F938D6}"/>
    <cellStyle name="Normal 5 2 3 6 2 2 4" xfId="16218" xr:uid="{973602FF-E20A-4D17-A8F4-A0BBFDE32580}"/>
    <cellStyle name="Normal 5 2 3 6 2 3" xfId="28882" xr:uid="{29309BE0-19DC-4EAF-A44E-A28D208E1F9A}"/>
    <cellStyle name="Normal 5 2 3 6 2 4" xfId="20441" xr:uid="{B0E96D40-1B68-4603-A236-EDAA063791C3}"/>
    <cellStyle name="Normal 5 2 3 6 2 5" xfId="12000" xr:uid="{9B26D052-E105-455D-B5A9-00CFD532CFF9}"/>
    <cellStyle name="Normal 5 2 3 6 3" xfId="5623" xr:uid="{00000000-0005-0000-0000-0000C7180000}"/>
    <cellStyle name="Normal 5 2 3 6 3 2" xfId="30955" xr:uid="{CC583D1D-1717-406B-92AF-8BCC385B6B48}"/>
    <cellStyle name="Normal 5 2 3 6 3 3" xfId="22514" xr:uid="{37549009-7A3D-45C1-9DF1-10C811B4F1C5}"/>
    <cellStyle name="Normal 5 2 3 6 3 4" xfId="14073" xr:uid="{6CC20E61-93A6-4270-9C1A-8E082DD89461}"/>
    <cellStyle name="Normal 5 2 3 6 4" xfId="26737" xr:uid="{1C3CC83A-68ED-4806-91D2-EF041CD14CE4}"/>
    <cellStyle name="Normal 5 2 3 6 5" xfId="18296" xr:uid="{BEEC412D-10C4-4428-8A8A-FD1ECFFD2EA5}"/>
    <cellStyle name="Normal 5 2 3 6 6" xfId="9855" xr:uid="{2E3CED83-AADC-48B2-A876-4308F6AF19CD}"/>
    <cellStyle name="Normal 5 2 3 7" xfId="1729" xr:uid="{00000000-0005-0000-0000-0000C8180000}"/>
    <cellStyle name="Normal 5 2 3 7 2" xfId="3959" xr:uid="{00000000-0005-0000-0000-0000C9180000}"/>
    <cellStyle name="Normal 5 2 3 7 2 2" xfId="8181" xr:uid="{00000000-0005-0000-0000-0000CA180000}"/>
    <cellStyle name="Normal 5 2 3 7 2 2 2" xfId="33513" xr:uid="{07A126B7-3FBC-453D-8818-D4B775886687}"/>
    <cellStyle name="Normal 5 2 3 7 2 2 3" xfId="25072" xr:uid="{2BF202B9-719B-478F-ADC3-0F77373E2537}"/>
    <cellStyle name="Normal 5 2 3 7 2 2 4" xfId="16631" xr:uid="{90B88B95-9447-40CE-9E0F-C951A6056E42}"/>
    <cellStyle name="Normal 5 2 3 7 2 3" xfId="29295" xr:uid="{92196F56-5508-47F7-A394-98DEC2605598}"/>
    <cellStyle name="Normal 5 2 3 7 2 4" xfId="20854" xr:uid="{EB4829B2-FA2B-456C-8268-AAD7119EAC0F}"/>
    <cellStyle name="Normal 5 2 3 7 2 5" xfId="12413" xr:uid="{6E52C91C-8ACD-4C30-99AB-5334829A9043}"/>
    <cellStyle name="Normal 5 2 3 7 3" xfId="6036" xr:uid="{00000000-0005-0000-0000-0000CB180000}"/>
    <cellStyle name="Normal 5 2 3 7 3 2" xfId="31368" xr:uid="{9222F2D7-C334-4112-A7C7-066EE1442D70}"/>
    <cellStyle name="Normal 5 2 3 7 3 3" xfId="22927" xr:uid="{C24248D2-5B1C-4619-96C8-662BDB2039DB}"/>
    <cellStyle name="Normal 5 2 3 7 3 4" xfId="14486" xr:uid="{0D428A62-59E1-4663-9B4E-033BC32B8B7B}"/>
    <cellStyle name="Normal 5 2 3 7 4" xfId="27150" xr:uid="{135D6B70-11CB-42EF-B7F4-353BAE13E916}"/>
    <cellStyle name="Normal 5 2 3 7 5" xfId="18709" xr:uid="{9AD86603-2409-4917-86CD-29C09AD68946}"/>
    <cellStyle name="Normal 5 2 3 7 6" xfId="10268" xr:uid="{84BB5CD1-1ED6-488F-A97E-1E2A5CE4D66A}"/>
    <cellStyle name="Normal 5 2 3 8" xfId="2143" xr:uid="{00000000-0005-0000-0000-0000CC180000}"/>
    <cellStyle name="Normal 5 2 3 8 2" xfId="4372" xr:uid="{00000000-0005-0000-0000-0000CD180000}"/>
    <cellStyle name="Normal 5 2 3 8 2 2" xfId="8594" xr:uid="{00000000-0005-0000-0000-0000CE180000}"/>
    <cellStyle name="Normal 5 2 3 8 2 2 2" xfId="33926" xr:uid="{F0553141-EE7E-421D-B086-9FC21AF222EE}"/>
    <cellStyle name="Normal 5 2 3 8 2 2 3" xfId="25485" xr:uid="{DB6FD040-82DF-4C3A-A4A4-4B1FBDCD996F}"/>
    <cellStyle name="Normal 5 2 3 8 2 2 4" xfId="17044" xr:uid="{C42D2FAC-6BA9-40B9-9746-014EF476CDA1}"/>
    <cellStyle name="Normal 5 2 3 8 2 3" xfId="29708" xr:uid="{766D07C7-6706-486D-8159-A8B780E82FEB}"/>
    <cellStyle name="Normal 5 2 3 8 2 4" xfId="21267" xr:uid="{E55AD2FE-66C5-4B20-B211-1329BCBD2E7D}"/>
    <cellStyle name="Normal 5 2 3 8 2 5" xfId="12826" xr:uid="{0CCB494D-39F0-42F5-BC66-6271B234289A}"/>
    <cellStyle name="Normal 5 2 3 8 3" xfId="6449" xr:uid="{00000000-0005-0000-0000-0000CF180000}"/>
    <cellStyle name="Normal 5 2 3 8 3 2" xfId="31781" xr:uid="{DFBA7B11-D3A4-43B5-BB0C-B6DB25191706}"/>
    <cellStyle name="Normal 5 2 3 8 3 3" xfId="23340" xr:uid="{9A492719-B84D-437D-A583-98DF3DB5063C}"/>
    <cellStyle name="Normal 5 2 3 8 3 4" xfId="14899" xr:uid="{D8B7F653-82D9-4AA7-BA0F-06D2721316E2}"/>
    <cellStyle name="Normal 5 2 3 8 4" xfId="27563" xr:uid="{4BA411A6-B32C-4D52-B938-BD17E8B13E66}"/>
    <cellStyle name="Normal 5 2 3 8 5" xfId="19122" xr:uid="{2270ECD2-2320-4EA1-8D44-5D6F96E140CB}"/>
    <cellStyle name="Normal 5 2 3 8 6" xfId="10681" xr:uid="{C84BB5E6-3003-44E3-9B34-2A5721AD5E6A}"/>
    <cellStyle name="Normal 5 2 3 9" xfId="2579" xr:uid="{00000000-0005-0000-0000-0000D0180000}"/>
    <cellStyle name="Normal 5 2 3 9 2" xfId="6862" xr:uid="{00000000-0005-0000-0000-0000D1180000}"/>
    <cellStyle name="Normal 5 2 3 9 2 2" xfId="32194" xr:uid="{E20FF132-5BE0-44F7-88DE-B85356AAB95B}"/>
    <cellStyle name="Normal 5 2 3 9 2 3" xfId="23753" xr:uid="{DC37B64A-12B5-405D-A25D-B1584500BF6A}"/>
    <cellStyle name="Normal 5 2 3 9 2 4" xfId="15312" xr:uid="{3CD62D72-2C6D-4EE2-B4CE-4AF0521BB26F}"/>
    <cellStyle name="Normal 5 2 3 9 3" xfId="27976" xr:uid="{E49FF7C6-1A87-44F8-9CBA-E0AA48EDB9AC}"/>
    <cellStyle name="Normal 5 2 3 9 4" xfId="19535" xr:uid="{AFEA1411-3B42-4AFF-8601-E0CD87E914CC}"/>
    <cellStyle name="Normal 5 2 3 9 5" xfId="11094" xr:uid="{4B515A29-07DA-4897-9BC3-FA1B7CA47AAD}"/>
    <cellStyle name="Normal 5 2 4" xfId="432" xr:uid="{00000000-0005-0000-0000-0000D2180000}"/>
    <cellStyle name="Normal 5 2 4 10" xfId="25919" xr:uid="{C05B98C7-48F4-448A-94AF-C670532A42AF}"/>
    <cellStyle name="Normal 5 2 4 11" xfId="17478" xr:uid="{CBD3604C-6993-4904-BD6B-EE95D278F312}"/>
    <cellStyle name="Normal 5 2 4 12" xfId="9037" xr:uid="{8616E820-0367-4F40-8E09-4949C2C50E57}"/>
    <cellStyle name="Normal 5 2 4 2" xfId="433" xr:uid="{00000000-0005-0000-0000-0000D3180000}"/>
    <cellStyle name="Normal 5 2 4 2 10" xfId="17479" xr:uid="{0F1FAF2F-137C-4FDE-8822-4464C8F3BA48}"/>
    <cellStyle name="Normal 5 2 4 2 11" xfId="9038" xr:uid="{76D08EB7-A32F-4A8A-9FB9-8F68B13FC8D0}"/>
    <cellStyle name="Normal 5 2 4 2 2" xfId="434" xr:uid="{00000000-0005-0000-0000-0000D4180000}"/>
    <cellStyle name="Normal 5 2 4 2 2 10" xfId="9039" xr:uid="{95D9ECF0-3DE2-423B-B7C7-5218A2DB00F2}"/>
    <cellStyle name="Normal 5 2 4 2 2 2" xfId="908" xr:uid="{00000000-0005-0000-0000-0000D5180000}"/>
    <cellStyle name="Normal 5 2 4 2 2 2 2" xfId="3143" xr:uid="{00000000-0005-0000-0000-0000D6180000}"/>
    <cellStyle name="Normal 5 2 4 2 2 2 2 2" xfId="7365" xr:uid="{00000000-0005-0000-0000-0000D7180000}"/>
    <cellStyle name="Normal 5 2 4 2 2 2 2 2 2" xfId="32697" xr:uid="{0F3D6CE3-3768-4AFE-9D98-87E16384FFFA}"/>
    <cellStyle name="Normal 5 2 4 2 2 2 2 2 3" xfId="24256" xr:uid="{4E322391-3290-41F4-AD63-5D7ED844F88E}"/>
    <cellStyle name="Normal 5 2 4 2 2 2 2 2 4" xfId="15815" xr:uid="{0B9C5BB4-89FD-4C98-932F-307BB1D03E4A}"/>
    <cellStyle name="Normal 5 2 4 2 2 2 2 3" xfId="28479" xr:uid="{7B24A4D8-A9F3-4CD5-8880-C03C6F152ACB}"/>
    <cellStyle name="Normal 5 2 4 2 2 2 2 4" xfId="20038" xr:uid="{091CCD79-C4C3-45E5-96AA-D792ADE590B6}"/>
    <cellStyle name="Normal 5 2 4 2 2 2 2 5" xfId="11597" xr:uid="{B94D4532-5ABF-4E42-82D5-01FA37984532}"/>
    <cellStyle name="Normal 5 2 4 2 2 2 3" xfId="5220" xr:uid="{00000000-0005-0000-0000-0000D8180000}"/>
    <cellStyle name="Normal 5 2 4 2 2 2 3 2" xfId="30552" xr:uid="{E5DA59AB-0870-4E21-AD02-57A4DDB24429}"/>
    <cellStyle name="Normal 5 2 4 2 2 2 3 3" xfId="22111" xr:uid="{917939F6-E75F-4DDF-8068-334FD6195CBD}"/>
    <cellStyle name="Normal 5 2 4 2 2 2 3 4" xfId="13670" xr:uid="{6DB2D704-D211-4CC1-B10D-D113BE3B5A0C}"/>
    <cellStyle name="Normal 5 2 4 2 2 2 4" xfId="26334" xr:uid="{60F4BAA7-6F7D-4623-B117-EB2E596707E5}"/>
    <cellStyle name="Normal 5 2 4 2 2 2 5" xfId="17893" xr:uid="{9F064A20-E88D-4947-A9C0-6E50621B5CF7}"/>
    <cellStyle name="Normal 5 2 4 2 2 2 6" xfId="9452" xr:uid="{E2FD99DC-D8D0-4709-B344-EACA88825E7F}"/>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2 2 2" xfId="33110" xr:uid="{1072DAC6-5E51-43F5-AF79-C0998410877C}"/>
    <cellStyle name="Normal 5 2 4 2 2 3 2 2 3" xfId="24669" xr:uid="{715788CB-5FA8-4903-B282-8E0610463D64}"/>
    <cellStyle name="Normal 5 2 4 2 2 3 2 2 4" xfId="16228" xr:uid="{FED806EF-D79E-42D2-A740-173ECD3EEE53}"/>
    <cellStyle name="Normal 5 2 4 2 2 3 2 3" xfId="28892" xr:uid="{EF28034A-29C0-4F5A-85E7-77AABE3551FA}"/>
    <cellStyle name="Normal 5 2 4 2 2 3 2 4" xfId="20451" xr:uid="{3B3B019B-2283-45B0-85E3-4FF7A1642B84}"/>
    <cellStyle name="Normal 5 2 4 2 2 3 2 5" xfId="12010" xr:uid="{EA1D50FB-1F16-4731-BEAC-BBE99180C47F}"/>
    <cellStyle name="Normal 5 2 4 2 2 3 3" xfId="5633" xr:uid="{00000000-0005-0000-0000-0000DC180000}"/>
    <cellStyle name="Normal 5 2 4 2 2 3 3 2" xfId="30965" xr:uid="{CEB3277F-5C80-41BE-BDFD-FF71F6C47C5C}"/>
    <cellStyle name="Normal 5 2 4 2 2 3 3 3" xfId="22524" xr:uid="{95161895-06C9-4178-9390-996959FCBA98}"/>
    <cellStyle name="Normal 5 2 4 2 2 3 3 4" xfId="14083" xr:uid="{48B89AE4-1379-42C3-82DD-AB8D479BC7E5}"/>
    <cellStyle name="Normal 5 2 4 2 2 3 4" xfId="26747" xr:uid="{A9FF7FC3-2E68-4610-B131-5C8F8E192D11}"/>
    <cellStyle name="Normal 5 2 4 2 2 3 5" xfId="18306" xr:uid="{DE90D68A-7CAD-4F4A-9367-A5F62877D592}"/>
    <cellStyle name="Normal 5 2 4 2 2 3 6" xfId="9865" xr:uid="{90962475-4B95-4610-B05D-E8E99839516E}"/>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2 2 2" xfId="33523" xr:uid="{0AA6EFED-54C7-4517-A26A-556687365570}"/>
    <cellStyle name="Normal 5 2 4 2 2 4 2 2 3" xfId="25082" xr:uid="{94018350-9E07-4D87-B93C-D79F7B34CE91}"/>
    <cellStyle name="Normal 5 2 4 2 2 4 2 2 4" xfId="16641" xr:uid="{E1DD0DB8-A595-49FB-8073-1BF1C715039C}"/>
    <cellStyle name="Normal 5 2 4 2 2 4 2 3" xfId="29305" xr:uid="{EB2911D5-48E5-4680-B643-C059F56C5DFD}"/>
    <cellStyle name="Normal 5 2 4 2 2 4 2 4" xfId="20864" xr:uid="{63B5C33E-2D2A-40AE-8439-86FF51765517}"/>
    <cellStyle name="Normal 5 2 4 2 2 4 2 5" xfId="12423" xr:uid="{1A105691-5284-4D8A-9B71-6D42A2FC3B6A}"/>
    <cellStyle name="Normal 5 2 4 2 2 4 3" xfId="6046" xr:uid="{00000000-0005-0000-0000-0000E0180000}"/>
    <cellStyle name="Normal 5 2 4 2 2 4 3 2" xfId="31378" xr:uid="{B6222A7E-E6FA-4825-9995-CF13CB45EB54}"/>
    <cellStyle name="Normal 5 2 4 2 2 4 3 3" xfId="22937" xr:uid="{C6FE58E4-2ABB-4AF1-8D5C-673C2650E997}"/>
    <cellStyle name="Normal 5 2 4 2 2 4 3 4" xfId="14496" xr:uid="{3938C8DA-26DB-4D5B-97B9-30F4B8190219}"/>
    <cellStyle name="Normal 5 2 4 2 2 4 4" xfId="27160" xr:uid="{3F616927-5E77-4980-9ADB-937FEEBEF30A}"/>
    <cellStyle name="Normal 5 2 4 2 2 4 5" xfId="18719" xr:uid="{09CAA1F9-1510-4DA2-8689-4B516A5ECC2E}"/>
    <cellStyle name="Normal 5 2 4 2 2 4 6" xfId="10278" xr:uid="{A02C20CA-7059-4598-85D0-F395567267B1}"/>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2 2 2" xfId="33936" xr:uid="{D9C20BA9-DB06-41C6-8907-D52E2663EDB9}"/>
    <cellStyle name="Normal 5 2 4 2 2 5 2 2 3" xfId="25495" xr:uid="{B015B284-58BF-4CB0-9B65-A9D11B6ACE23}"/>
    <cellStyle name="Normal 5 2 4 2 2 5 2 2 4" xfId="17054" xr:uid="{0159B462-ED60-4D17-B2F7-62D5E94989CF}"/>
    <cellStyle name="Normal 5 2 4 2 2 5 2 3" xfId="29718" xr:uid="{886AAD59-1F22-4FDE-B87D-D84CE721066C}"/>
    <cellStyle name="Normal 5 2 4 2 2 5 2 4" xfId="21277" xr:uid="{441F670F-F23D-41AA-8BEC-20D9EC0E35F9}"/>
    <cellStyle name="Normal 5 2 4 2 2 5 2 5" xfId="12836" xr:uid="{8D935859-FC7A-46DE-AEEF-A6C2838B7CB1}"/>
    <cellStyle name="Normal 5 2 4 2 2 5 3" xfId="6459" xr:uid="{00000000-0005-0000-0000-0000E4180000}"/>
    <cellStyle name="Normal 5 2 4 2 2 5 3 2" xfId="31791" xr:uid="{952A509B-9F93-4CC8-8F4B-FA5147EAA6F4}"/>
    <cellStyle name="Normal 5 2 4 2 2 5 3 3" xfId="23350" xr:uid="{1C5973FC-18B3-43ED-90D3-C31F35C98DCF}"/>
    <cellStyle name="Normal 5 2 4 2 2 5 3 4" xfId="14909" xr:uid="{5E3DC480-6FBE-4251-9716-5268BE36DE7C}"/>
    <cellStyle name="Normal 5 2 4 2 2 5 4" xfId="27573" xr:uid="{ED22D301-9B78-4970-B692-644B4767478A}"/>
    <cellStyle name="Normal 5 2 4 2 2 5 5" xfId="19132" xr:uid="{01CBF348-B697-4A5A-98BF-135A74C8C61D}"/>
    <cellStyle name="Normal 5 2 4 2 2 5 6" xfId="10691" xr:uid="{3F7495F9-7A1F-4697-941E-9E6D420A2F96}"/>
    <cellStyle name="Normal 5 2 4 2 2 6" xfId="2589" xr:uid="{00000000-0005-0000-0000-0000E5180000}"/>
    <cellStyle name="Normal 5 2 4 2 2 6 2" xfId="6872" xr:uid="{00000000-0005-0000-0000-0000E6180000}"/>
    <cellStyle name="Normal 5 2 4 2 2 6 2 2" xfId="32204" xr:uid="{F55713A6-35D3-4BF6-B5B3-451A67520434}"/>
    <cellStyle name="Normal 5 2 4 2 2 6 2 3" xfId="23763" xr:uid="{DED5065C-6D63-4E0F-8F24-497A2598BC42}"/>
    <cellStyle name="Normal 5 2 4 2 2 6 2 4" xfId="15322" xr:uid="{A7C1ED03-0D4E-4101-9D22-5FC9B52084EA}"/>
    <cellStyle name="Normal 5 2 4 2 2 6 3" xfId="27986" xr:uid="{FFA030A5-D76C-4D94-B00C-C3C957CC38C4}"/>
    <cellStyle name="Normal 5 2 4 2 2 6 4" xfId="19545" xr:uid="{0B0979B6-0139-49E5-B1C6-BB5DDFB354FA}"/>
    <cellStyle name="Normal 5 2 4 2 2 6 5" xfId="11104" xr:uid="{21BC08F7-E436-4517-BAC5-9B21937BF390}"/>
    <cellStyle name="Normal 5 2 4 2 2 7" xfId="4807" xr:uid="{00000000-0005-0000-0000-0000E7180000}"/>
    <cellStyle name="Normal 5 2 4 2 2 7 2" xfId="30139" xr:uid="{BA06809D-3E52-4883-93E3-45C0A0AC683B}"/>
    <cellStyle name="Normal 5 2 4 2 2 7 3" xfId="21698" xr:uid="{A98F7B58-EFB4-477E-BB5C-11E75FF657B1}"/>
    <cellStyle name="Normal 5 2 4 2 2 7 4" xfId="13257" xr:uid="{9A25D620-3B96-4DC2-8D8B-3DE095335AA1}"/>
    <cellStyle name="Normal 5 2 4 2 2 8" xfId="25921" xr:uid="{53890231-3AE4-41E2-A031-F49D249D0C71}"/>
    <cellStyle name="Normal 5 2 4 2 2 9" xfId="17480" xr:uid="{AE9B4F2D-9009-46DE-A59B-CD949F8DA8BB}"/>
    <cellStyle name="Normal 5 2 4 2 3" xfId="907" xr:uid="{00000000-0005-0000-0000-0000E8180000}"/>
    <cellStyle name="Normal 5 2 4 2 3 2" xfId="3142" xr:uid="{00000000-0005-0000-0000-0000E9180000}"/>
    <cellStyle name="Normal 5 2 4 2 3 2 2" xfId="7364" xr:uid="{00000000-0005-0000-0000-0000EA180000}"/>
    <cellStyle name="Normal 5 2 4 2 3 2 2 2" xfId="32696" xr:uid="{0644C8EA-946B-402B-97FA-46E8017E0BC2}"/>
    <cellStyle name="Normal 5 2 4 2 3 2 2 3" xfId="24255" xr:uid="{31B27369-AB62-408F-BF0D-418BD0ABBEFC}"/>
    <cellStyle name="Normal 5 2 4 2 3 2 2 4" xfId="15814" xr:uid="{EA650F6C-4B5B-42F5-9B42-1D3FCBAEA10C}"/>
    <cellStyle name="Normal 5 2 4 2 3 2 3" xfId="28478" xr:uid="{9D86AF36-8BDB-4D2A-B715-30726E7B8D3F}"/>
    <cellStyle name="Normal 5 2 4 2 3 2 4" xfId="20037" xr:uid="{33451A4E-E26F-437B-BABE-02C4F640C94E}"/>
    <cellStyle name="Normal 5 2 4 2 3 2 5" xfId="11596" xr:uid="{2343C58F-7893-45AB-A5CF-DDC9F8440D17}"/>
    <cellStyle name="Normal 5 2 4 2 3 3" xfId="5219" xr:uid="{00000000-0005-0000-0000-0000EB180000}"/>
    <cellStyle name="Normal 5 2 4 2 3 3 2" xfId="30551" xr:uid="{FF7FD4C7-A807-45CD-B587-27746B1EC888}"/>
    <cellStyle name="Normal 5 2 4 2 3 3 3" xfId="22110" xr:uid="{9F98E168-2F92-4133-9F6F-8157DDC1DA9A}"/>
    <cellStyle name="Normal 5 2 4 2 3 3 4" xfId="13669" xr:uid="{CFFDB214-461B-42E9-9447-44A0005FE2BB}"/>
    <cellStyle name="Normal 5 2 4 2 3 4" xfId="26333" xr:uid="{C12FF171-4878-4FDF-8747-10D11150B963}"/>
    <cellStyle name="Normal 5 2 4 2 3 5" xfId="17892" xr:uid="{824111FD-7614-4D98-BA6B-5144BF9B4142}"/>
    <cellStyle name="Normal 5 2 4 2 3 6" xfId="9451" xr:uid="{69D77D67-A71F-44C4-873A-0FC580278D2E}"/>
    <cellStyle name="Normal 5 2 4 2 4" xfId="1325" xr:uid="{00000000-0005-0000-0000-0000EC180000}"/>
    <cellStyle name="Normal 5 2 4 2 4 2" xfId="3555" xr:uid="{00000000-0005-0000-0000-0000ED180000}"/>
    <cellStyle name="Normal 5 2 4 2 4 2 2" xfId="7777" xr:uid="{00000000-0005-0000-0000-0000EE180000}"/>
    <cellStyle name="Normal 5 2 4 2 4 2 2 2" xfId="33109" xr:uid="{F6C3BD0C-74A9-4271-AC0A-19AE501A9BEB}"/>
    <cellStyle name="Normal 5 2 4 2 4 2 2 3" xfId="24668" xr:uid="{5467A29D-42B0-4604-B7CE-C9130BB4A626}"/>
    <cellStyle name="Normal 5 2 4 2 4 2 2 4" xfId="16227" xr:uid="{BDF717B9-C110-4397-9BF2-19572D2D039A}"/>
    <cellStyle name="Normal 5 2 4 2 4 2 3" xfId="28891" xr:uid="{87B021D6-85AE-43F5-A9AA-C03C33229F28}"/>
    <cellStyle name="Normal 5 2 4 2 4 2 4" xfId="20450" xr:uid="{7873F5F3-53E9-4426-B8D7-E53FD30A2E95}"/>
    <cellStyle name="Normal 5 2 4 2 4 2 5" xfId="12009" xr:uid="{712806DB-B0CF-458F-B181-8547A33686FC}"/>
    <cellStyle name="Normal 5 2 4 2 4 3" xfId="5632" xr:uid="{00000000-0005-0000-0000-0000EF180000}"/>
    <cellStyle name="Normal 5 2 4 2 4 3 2" xfId="30964" xr:uid="{FB8C9910-C397-490E-95B0-5F1CDBAECC7F}"/>
    <cellStyle name="Normal 5 2 4 2 4 3 3" xfId="22523" xr:uid="{F0667C0C-94F3-4BCC-8DFC-53A848CDDF33}"/>
    <cellStyle name="Normal 5 2 4 2 4 3 4" xfId="14082" xr:uid="{489C271B-3768-4E92-A7ED-FB25BAD79695}"/>
    <cellStyle name="Normal 5 2 4 2 4 4" xfId="26746" xr:uid="{FB01BC95-160F-4E83-961A-9EB4F3EB4CC1}"/>
    <cellStyle name="Normal 5 2 4 2 4 5" xfId="18305" xr:uid="{6BE86A16-98B4-48BF-87FB-60488A2227A4}"/>
    <cellStyle name="Normal 5 2 4 2 4 6" xfId="9864" xr:uid="{7F939174-5FEE-4E7F-9922-1CDEB29E6BCD}"/>
    <cellStyle name="Normal 5 2 4 2 5" xfId="1738" xr:uid="{00000000-0005-0000-0000-0000F0180000}"/>
    <cellStyle name="Normal 5 2 4 2 5 2" xfId="3968" xr:uid="{00000000-0005-0000-0000-0000F1180000}"/>
    <cellStyle name="Normal 5 2 4 2 5 2 2" xfId="8190" xr:uid="{00000000-0005-0000-0000-0000F2180000}"/>
    <cellStyle name="Normal 5 2 4 2 5 2 2 2" xfId="33522" xr:uid="{D09C4CFB-D68C-4B24-9E6A-D29148349BEB}"/>
    <cellStyle name="Normal 5 2 4 2 5 2 2 3" xfId="25081" xr:uid="{85B95435-F6C0-49EE-A2CE-9667A283D398}"/>
    <cellStyle name="Normal 5 2 4 2 5 2 2 4" xfId="16640" xr:uid="{05D821F7-B83B-4AFC-A221-E76EA608E345}"/>
    <cellStyle name="Normal 5 2 4 2 5 2 3" xfId="29304" xr:uid="{8FB5D382-B748-471A-B402-88A5C6C72057}"/>
    <cellStyle name="Normal 5 2 4 2 5 2 4" xfId="20863" xr:uid="{A0CE9E98-72DF-480E-B242-68CA1A0805A7}"/>
    <cellStyle name="Normal 5 2 4 2 5 2 5" xfId="12422" xr:uid="{4D21B15C-3A38-4453-A50F-85BE7FEBAA50}"/>
    <cellStyle name="Normal 5 2 4 2 5 3" xfId="6045" xr:uid="{00000000-0005-0000-0000-0000F3180000}"/>
    <cellStyle name="Normal 5 2 4 2 5 3 2" xfId="31377" xr:uid="{D7C5F855-AB4A-4A9C-9FFC-D0C440D42425}"/>
    <cellStyle name="Normal 5 2 4 2 5 3 3" xfId="22936" xr:uid="{FA933AB5-EB28-4CAE-9D3A-ED8C571EF259}"/>
    <cellStyle name="Normal 5 2 4 2 5 3 4" xfId="14495" xr:uid="{95540DF2-5018-4936-9F52-9FA00B673D18}"/>
    <cellStyle name="Normal 5 2 4 2 5 4" xfId="27159" xr:uid="{871D7151-BD06-4712-A25E-35CB5B600C8E}"/>
    <cellStyle name="Normal 5 2 4 2 5 5" xfId="18718" xr:uid="{45F69487-3C26-4073-877E-3C53BCA6B680}"/>
    <cellStyle name="Normal 5 2 4 2 5 6" xfId="10277" xr:uid="{A804F79D-BB33-4636-B8A2-F75C6991BCBD}"/>
    <cellStyle name="Normal 5 2 4 2 6" xfId="2152" xr:uid="{00000000-0005-0000-0000-0000F4180000}"/>
    <cellStyle name="Normal 5 2 4 2 6 2" xfId="4381" xr:uid="{00000000-0005-0000-0000-0000F5180000}"/>
    <cellStyle name="Normal 5 2 4 2 6 2 2" xfId="8603" xr:uid="{00000000-0005-0000-0000-0000F6180000}"/>
    <cellStyle name="Normal 5 2 4 2 6 2 2 2" xfId="33935" xr:uid="{C4FD9099-55F2-4F93-B2FA-DA56EEC2A44A}"/>
    <cellStyle name="Normal 5 2 4 2 6 2 2 3" xfId="25494" xr:uid="{8B9E5ECC-876D-43B2-92CF-925E4B51E641}"/>
    <cellStyle name="Normal 5 2 4 2 6 2 2 4" xfId="17053" xr:uid="{9C0E587B-E653-4824-932F-9639903570BF}"/>
    <cellStyle name="Normal 5 2 4 2 6 2 3" xfId="29717" xr:uid="{75F1A258-6A10-464C-B076-A94F577AA65F}"/>
    <cellStyle name="Normal 5 2 4 2 6 2 4" xfId="21276" xr:uid="{ABBF25E7-032C-42F8-A146-27D08351801F}"/>
    <cellStyle name="Normal 5 2 4 2 6 2 5" xfId="12835" xr:uid="{001D05BD-A6C1-4ED3-891B-CF357550BEB2}"/>
    <cellStyle name="Normal 5 2 4 2 6 3" xfId="6458" xr:uid="{00000000-0005-0000-0000-0000F7180000}"/>
    <cellStyle name="Normal 5 2 4 2 6 3 2" xfId="31790" xr:uid="{12DA4EEE-2456-41E7-9DFD-E3A2EB9C18B1}"/>
    <cellStyle name="Normal 5 2 4 2 6 3 3" xfId="23349" xr:uid="{74D1E05D-10EA-45A2-A26A-643172CBA46C}"/>
    <cellStyle name="Normal 5 2 4 2 6 3 4" xfId="14908" xr:uid="{A287E07E-6B61-4338-AF0B-67AC78CE1676}"/>
    <cellStyle name="Normal 5 2 4 2 6 4" xfId="27572" xr:uid="{89755A83-FDA5-451B-9374-E60D6EDF0003}"/>
    <cellStyle name="Normal 5 2 4 2 6 5" xfId="19131" xr:uid="{B910A223-5043-4467-8575-86126FFFA132}"/>
    <cellStyle name="Normal 5 2 4 2 6 6" xfId="10690" xr:uid="{7DF9E9E0-0FDB-49C0-B878-71E2F2DC4F3C}"/>
    <cellStyle name="Normal 5 2 4 2 7" xfId="2588" xr:uid="{00000000-0005-0000-0000-0000F8180000}"/>
    <cellStyle name="Normal 5 2 4 2 7 2" xfId="6871" xr:uid="{00000000-0005-0000-0000-0000F9180000}"/>
    <cellStyle name="Normal 5 2 4 2 7 2 2" xfId="32203" xr:uid="{886A1957-B45A-4F37-8264-7141E0F8A4BC}"/>
    <cellStyle name="Normal 5 2 4 2 7 2 3" xfId="23762" xr:uid="{C88E1C45-0836-4430-AD74-B0F65EC0610A}"/>
    <cellStyle name="Normal 5 2 4 2 7 2 4" xfId="15321" xr:uid="{89707DDD-B9B6-4EDF-B55F-3EF2036A2FB9}"/>
    <cellStyle name="Normal 5 2 4 2 7 3" xfId="27985" xr:uid="{4C2C4E3F-E6D1-407E-90CB-359F9E913313}"/>
    <cellStyle name="Normal 5 2 4 2 7 4" xfId="19544" xr:uid="{C15C3D70-D697-4DDD-A974-8B831C8E4660}"/>
    <cellStyle name="Normal 5 2 4 2 7 5" xfId="11103" xr:uid="{60DEC74F-CAEA-4EE5-9335-749738100B5F}"/>
    <cellStyle name="Normal 5 2 4 2 8" xfId="4806" xr:uid="{00000000-0005-0000-0000-0000FA180000}"/>
    <cellStyle name="Normal 5 2 4 2 8 2" xfId="30138" xr:uid="{F87C41A8-EDBD-4553-AF64-33025952C8E8}"/>
    <cellStyle name="Normal 5 2 4 2 8 3" xfId="21697" xr:uid="{A35A816F-505F-4E71-9933-4F7ECF5C1639}"/>
    <cellStyle name="Normal 5 2 4 2 8 4" xfId="13256" xr:uid="{C1D07D10-8F21-4788-82B9-47F95A695925}"/>
    <cellStyle name="Normal 5 2 4 2 9" xfId="25920" xr:uid="{C3F8821C-E4C7-4614-A4C7-0818D97EED1F}"/>
    <cellStyle name="Normal 5 2 4 3" xfId="435" xr:uid="{00000000-0005-0000-0000-0000FB180000}"/>
    <cellStyle name="Normal 5 2 4 3 10" xfId="9040" xr:uid="{4D83FA01-07A3-4CAB-9DD9-C3F9B71019D0}"/>
    <cellStyle name="Normal 5 2 4 3 2" xfId="909" xr:uid="{00000000-0005-0000-0000-0000FC180000}"/>
    <cellStyle name="Normal 5 2 4 3 2 2" xfId="3144" xr:uid="{00000000-0005-0000-0000-0000FD180000}"/>
    <cellStyle name="Normal 5 2 4 3 2 2 2" xfId="7366" xr:uid="{00000000-0005-0000-0000-0000FE180000}"/>
    <cellStyle name="Normal 5 2 4 3 2 2 2 2" xfId="32698" xr:uid="{F44E36EB-00D0-4D02-83A0-502AFF9DF1CB}"/>
    <cellStyle name="Normal 5 2 4 3 2 2 2 3" xfId="24257" xr:uid="{51F7808C-9B73-4646-983A-8169F97989B8}"/>
    <cellStyle name="Normal 5 2 4 3 2 2 2 4" xfId="15816" xr:uid="{C0C9DCCE-CFEB-42E1-ACBF-023D5ABF71D3}"/>
    <cellStyle name="Normal 5 2 4 3 2 2 3" xfId="28480" xr:uid="{6BC30F6D-A888-45E1-BCA2-C94152A3DC58}"/>
    <cellStyle name="Normal 5 2 4 3 2 2 4" xfId="20039" xr:uid="{345F5C0E-00E0-47D2-A13A-95A9FAA455A6}"/>
    <cellStyle name="Normal 5 2 4 3 2 2 5" xfId="11598" xr:uid="{E60E86B8-B7CC-42C5-9EBC-88BD9CFAAEAC}"/>
    <cellStyle name="Normal 5 2 4 3 2 3" xfId="5221" xr:uid="{00000000-0005-0000-0000-0000FF180000}"/>
    <cellStyle name="Normal 5 2 4 3 2 3 2" xfId="30553" xr:uid="{195A992D-EFD7-4030-AEF2-518CBC72E128}"/>
    <cellStyle name="Normal 5 2 4 3 2 3 3" xfId="22112" xr:uid="{2D64ED2C-6438-407F-B602-969494514E02}"/>
    <cellStyle name="Normal 5 2 4 3 2 3 4" xfId="13671" xr:uid="{A1AF8145-8FE2-4A21-8CA8-5FDA386FCE92}"/>
    <cellStyle name="Normal 5 2 4 3 2 4" xfId="26335" xr:uid="{BD877F5D-A5E8-479D-9CE8-AB19D003D387}"/>
    <cellStyle name="Normal 5 2 4 3 2 5" xfId="17894" xr:uid="{91545949-3009-4E4E-8350-3EF757395B6B}"/>
    <cellStyle name="Normal 5 2 4 3 2 6" xfId="9453" xr:uid="{0A426CCF-8E79-42E0-8A79-429BBD0A7F73}"/>
    <cellStyle name="Normal 5 2 4 3 3" xfId="1327" xr:uid="{00000000-0005-0000-0000-000000190000}"/>
    <cellStyle name="Normal 5 2 4 3 3 2" xfId="3557" xr:uid="{00000000-0005-0000-0000-000001190000}"/>
    <cellStyle name="Normal 5 2 4 3 3 2 2" xfId="7779" xr:uid="{00000000-0005-0000-0000-000002190000}"/>
    <cellStyle name="Normal 5 2 4 3 3 2 2 2" xfId="33111" xr:uid="{0ABFB12C-6F70-4F4A-AD22-48E4D155680D}"/>
    <cellStyle name="Normal 5 2 4 3 3 2 2 3" xfId="24670" xr:uid="{FE715581-7E4C-4F90-9CE0-C9AC13493043}"/>
    <cellStyle name="Normal 5 2 4 3 3 2 2 4" xfId="16229" xr:uid="{60A19E5D-2C34-46BE-932C-39175CA4F501}"/>
    <cellStyle name="Normal 5 2 4 3 3 2 3" xfId="28893" xr:uid="{90F25B81-1CD4-4507-9C09-28FCDBD6F8D9}"/>
    <cellStyle name="Normal 5 2 4 3 3 2 4" xfId="20452" xr:uid="{7A981A65-3B30-442D-B6A7-B1E0C718459A}"/>
    <cellStyle name="Normal 5 2 4 3 3 2 5" xfId="12011" xr:uid="{8D25FF3D-EB91-4748-85C9-E073A0426C04}"/>
    <cellStyle name="Normal 5 2 4 3 3 3" xfId="5634" xr:uid="{00000000-0005-0000-0000-000003190000}"/>
    <cellStyle name="Normal 5 2 4 3 3 3 2" xfId="30966" xr:uid="{4DD9CA1A-CA48-455D-AD9A-C425C50BFFF8}"/>
    <cellStyle name="Normal 5 2 4 3 3 3 3" xfId="22525" xr:uid="{B7F352E7-ED3C-4F01-92AC-A86EC8E7CB2E}"/>
    <cellStyle name="Normal 5 2 4 3 3 3 4" xfId="14084" xr:uid="{3D5EB60E-34E7-4768-8AA2-6D828C1B8033}"/>
    <cellStyle name="Normal 5 2 4 3 3 4" xfId="26748" xr:uid="{829D39E5-7A29-4AC1-A926-82338D706222}"/>
    <cellStyle name="Normal 5 2 4 3 3 5" xfId="18307" xr:uid="{596029E0-7245-4118-BBB1-2724BA814B66}"/>
    <cellStyle name="Normal 5 2 4 3 3 6" xfId="9866" xr:uid="{298CC03F-53C1-4CD0-B740-F821B9D12753}"/>
    <cellStyle name="Normal 5 2 4 3 4" xfId="1740" xr:uid="{00000000-0005-0000-0000-000004190000}"/>
    <cellStyle name="Normal 5 2 4 3 4 2" xfId="3970" xr:uid="{00000000-0005-0000-0000-000005190000}"/>
    <cellStyle name="Normal 5 2 4 3 4 2 2" xfId="8192" xr:uid="{00000000-0005-0000-0000-000006190000}"/>
    <cellStyle name="Normal 5 2 4 3 4 2 2 2" xfId="33524" xr:uid="{8AA17EB6-3048-4250-BDFB-BD08C201788B}"/>
    <cellStyle name="Normal 5 2 4 3 4 2 2 3" xfId="25083" xr:uid="{8A260C2E-C244-40EB-A171-DB800C4238BB}"/>
    <cellStyle name="Normal 5 2 4 3 4 2 2 4" xfId="16642" xr:uid="{7B55261A-44C2-4875-A066-174C22EDB62F}"/>
    <cellStyle name="Normal 5 2 4 3 4 2 3" xfId="29306" xr:uid="{12AE6D10-8D3D-424C-AA02-91DF3A58B36D}"/>
    <cellStyle name="Normal 5 2 4 3 4 2 4" xfId="20865" xr:uid="{6C78CF29-CB75-4BCC-B6DB-5738A87BAE09}"/>
    <cellStyle name="Normal 5 2 4 3 4 2 5" xfId="12424" xr:uid="{6268AA36-2D48-4ED2-A335-1C05E4451C1F}"/>
    <cellStyle name="Normal 5 2 4 3 4 3" xfId="6047" xr:uid="{00000000-0005-0000-0000-000007190000}"/>
    <cellStyle name="Normal 5 2 4 3 4 3 2" xfId="31379" xr:uid="{FE7419FB-F2BD-40B4-A5A5-2E10C6531B8A}"/>
    <cellStyle name="Normal 5 2 4 3 4 3 3" xfId="22938" xr:uid="{8C14CDDD-A662-4D02-881C-79CF4B39853F}"/>
    <cellStyle name="Normal 5 2 4 3 4 3 4" xfId="14497" xr:uid="{633AC604-949B-4AA9-AE44-97E5015D1396}"/>
    <cellStyle name="Normal 5 2 4 3 4 4" xfId="27161" xr:uid="{F12339DF-FEA6-4261-AF8F-A74149F45A2F}"/>
    <cellStyle name="Normal 5 2 4 3 4 5" xfId="18720" xr:uid="{88D86EB8-0C43-43E3-BFDD-E59C32F80B8F}"/>
    <cellStyle name="Normal 5 2 4 3 4 6" xfId="10279" xr:uid="{4E4EE5EA-125F-4497-ABD6-EBE15AEBC976}"/>
    <cellStyle name="Normal 5 2 4 3 5" xfId="2154" xr:uid="{00000000-0005-0000-0000-000008190000}"/>
    <cellStyle name="Normal 5 2 4 3 5 2" xfId="4383" xr:uid="{00000000-0005-0000-0000-000009190000}"/>
    <cellStyle name="Normal 5 2 4 3 5 2 2" xfId="8605" xr:uid="{00000000-0005-0000-0000-00000A190000}"/>
    <cellStyle name="Normal 5 2 4 3 5 2 2 2" xfId="33937" xr:uid="{15570925-065E-4B84-90ED-6AEE8610489B}"/>
    <cellStyle name="Normal 5 2 4 3 5 2 2 3" xfId="25496" xr:uid="{F8C8D858-64B2-4A9B-8C33-7D3B81A0E86C}"/>
    <cellStyle name="Normal 5 2 4 3 5 2 2 4" xfId="17055" xr:uid="{DEA87845-66E9-4003-B538-E6953D4AB5C1}"/>
    <cellStyle name="Normal 5 2 4 3 5 2 3" xfId="29719" xr:uid="{09DFF052-3E9B-432F-8F81-1908F4796F82}"/>
    <cellStyle name="Normal 5 2 4 3 5 2 4" xfId="21278" xr:uid="{6986E3F2-F7F8-4ABD-AD5E-9B5487992352}"/>
    <cellStyle name="Normal 5 2 4 3 5 2 5" xfId="12837" xr:uid="{0A348D44-56E2-4092-B93B-3C0FF154CBE0}"/>
    <cellStyle name="Normal 5 2 4 3 5 3" xfId="6460" xr:uid="{00000000-0005-0000-0000-00000B190000}"/>
    <cellStyle name="Normal 5 2 4 3 5 3 2" xfId="31792" xr:uid="{B7A6CD4E-8986-46BC-8A83-ABAD5F0F754D}"/>
    <cellStyle name="Normal 5 2 4 3 5 3 3" xfId="23351" xr:uid="{1E2DC315-B6C5-48CF-9F72-755921BF167E}"/>
    <cellStyle name="Normal 5 2 4 3 5 3 4" xfId="14910" xr:uid="{F48E8382-CF35-4A2B-8080-5250A325D3EF}"/>
    <cellStyle name="Normal 5 2 4 3 5 4" xfId="27574" xr:uid="{4432D421-8F87-4CB6-9E15-6965C4026682}"/>
    <cellStyle name="Normal 5 2 4 3 5 5" xfId="19133" xr:uid="{01547B59-DA35-490B-904E-FA2C46178494}"/>
    <cellStyle name="Normal 5 2 4 3 5 6" xfId="10692" xr:uid="{D7B485C4-7519-4987-A9E2-1DAE5A14FAE3}"/>
    <cellStyle name="Normal 5 2 4 3 6" xfId="2590" xr:uid="{00000000-0005-0000-0000-00000C190000}"/>
    <cellStyle name="Normal 5 2 4 3 6 2" xfId="6873" xr:uid="{00000000-0005-0000-0000-00000D190000}"/>
    <cellStyle name="Normal 5 2 4 3 6 2 2" xfId="32205" xr:uid="{6F483095-0C16-4F97-BC54-3295932D7F78}"/>
    <cellStyle name="Normal 5 2 4 3 6 2 3" xfId="23764" xr:uid="{BE8D9580-86A5-4771-A2D6-5750986311F6}"/>
    <cellStyle name="Normal 5 2 4 3 6 2 4" xfId="15323" xr:uid="{1C1EB1BF-3661-4E81-819B-35DB5A396A8F}"/>
    <cellStyle name="Normal 5 2 4 3 6 3" xfId="27987" xr:uid="{4C985C5D-DFA1-4D3C-ADEC-078A9D0E52D0}"/>
    <cellStyle name="Normal 5 2 4 3 6 4" xfId="19546" xr:uid="{9388E2DC-4386-4D51-8610-46C3238851BC}"/>
    <cellStyle name="Normal 5 2 4 3 6 5" xfId="11105" xr:uid="{51D2F619-624E-47F7-A024-A16E9334EB8E}"/>
    <cellStyle name="Normal 5 2 4 3 7" xfId="4808" xr:uid="{00000000-0005-0000-0000-00000E190000}"/>
    <cellStyle name="Normal 5 2 4 3 7 2" xfId="30140" xr:uid="{5AF0860F-D149-479A-A01B-EC2268D2B22B}"/>
    <cellStyle name="Normal 5 2 4 3 7 3" xfId="21699" xr:uid="{E358143B-5375-49CB-983B-BA5B05248BEA}"/>
    <cellStyle name="Normal 5 2 4 3 7 4" xfId="13258" xr:uid="{2D17AD94-CEB0-4F2E-8172-7B25EE6272C3}"/>
    <cellStyle name="Normal 5 2 4 3 8" xfId="25922" xr:uid="{DD0E1935-3543-4045-BC77-F4509761868C}"/>
    <cellStyle name="Normal 5 2 4 3 9" xfId="17481" xr:uid="{6C1ABF49-9C12-48B8-AABF-B7E6B6028DD7}"/>
    <cellStyle name="Normal 5 2 4 4" xfId="906" xr:uid="{00000000-0005-0000-0000-00000F190000}"/>
    <cellStyle name="Normal 5 2 4 4 2" xfId="3141" xr:uid="{00000000-0005-0000-0000-000010190000}"/>
    <cellStyle name="Normal 5 2 4 4 2 2" xfId="7363" xr:uid="{00000000-0005-0000-0000-000011190000}"/>
    <cellStyle name="Normal 5 2 4 4 2 2 2" xfId="32695" xr:uid="{4EE7EB30-9CD7-4B30-88CA-04A9DDEEC8E4}"/>
    <cellStyle name="Normal 5 2 4 4 2 2 3" xfId="24254" xr:uid="{C8DDE8AF-92CB-4B2E-8ECC-CA81DE0272B0}"/>
    <cellStyle name="Normal 5 2 4 4 2 2 4" xfId="15813" xr:uid="{1335537B-0380-4318-908F-AA17F17C0E92}"/>
    <cellStyle name="Normal 5 2 4 4 2 3" xfId="28477" xr:uid="{E0054B0B-D23F-42C4-9574-59E0A3CA07F1}"/>
    <cellStyle name="Normal 5 2 4 4 2 4" xfId="20036" xr:uid="{602D76E9-D064-445C-8550-1A96B08A10ED}"/>
    <cellStyle name="Normal 5 2 4 4 2 5" xfId="11595" xr:uid="{547B6A31-EFB8-4F5C-BD9A-CEF8CF75AD89}"/>
    <cellStyle name="Normal 5 2 4 4 3" xfId="5218" xr:uid="{00000000-0005-0000-0000-000012190000}"/>
    <cellStyle name="Normal 5 2 4 4 3 2" xfId="30550" xr:uid="{72C5081B-C5E8-4FFE-AB8B-C9A7DE8AD72B}"/>
    <cellStyle name="Normal 5 2 4 4 3 3" xfId="22109" xr:uid="{9271F5B3-59A0-4C3C-BA60-7D3132D5D16F}"/>
    <cellStyle name="Normal 5 2 4 4 3 4" xfId="13668" xr:uid="{08CCCCDE-5840-4770-A691-585E1985881F}"/>
    <cellStyle name="Normal 5 2 4 4 4" xfId="26332" xr:uid="{987AAC8B-7A1A-4E63-8C38-CD9ED803C83C}"/>
    <cellStyle name="Normal 5 2 4 4 5" xfId="17891" xr:uid="{446658B5-A258-401B-BAA5-7CFCBC7903D6}"/>
    <cellStyle name="Normal 5 2 4 4 6" xfId="9450" xr:uid="{E112AD4B-4CD1-403A-9C43-511D9E8A5714}"/>
    <cellStyle name="Normal 5 2 4 5" xfId="1324" xr:uid="{00000000-0005-0000-0000-000013190000}"/>
    <cellStyle name="Normal 5 2 4 5 2" xfId="3554" xr:uid="{00000000-0005-0000-0000-000014190000}"/>
    <cellStyle name="Normal 5 2 4 5 2 2" xfId="7776" xr:uid="{00000000-0005-0000-0000-000015190000}"/>
    <cellStyle name="Normal 5 2 4 5 2 2 2" xfId="33108" xr:uid="{E8EECE2A-937D-4D5C-A9BD-5F6D3CBC85F5}"/>
    <cellStyle name="Normal 5 2 4 5 2 2 3" xfId="24667" xr:uid="{4BB441FD-9050-42F3-9EC7-3DDB867DBC43}"/>
    <cellStyle name="Normal 5 2 4 5 2 2 4" xfId="16226" xr:uid="{AA9CA5EF-FA5F-4DD8-935F-BC31B825A9ED}"/>
    <cellStyle name="Normal 5 2 4 5 2 3" xfId="28890" xr:uid="{4915EFAC-D8D5-4374-8098-9E234FE3A0B6}"/>
    <cellStyle name="Normal 5 2 4 5 2 4" xfId="20449" xr:uid="{5E8E9546-405A-4B83-B2A9-090ED6D8DD9F}"/>
    <cellStyle name="Normal 5 2 4 5 2 5" xfId="12008" xr:uid="{8F82D5A4-08FA-456A-ADCC-D7D9102E81C7}"/>
    <cellStyle name="Normal 5 2 4 5 3" xfId="5631" xr:uid="{00000000-0005-0000-0000-000016190000}"/>
    <cellStyle name="Normal 5 2 4 5 3 2" xfId="30963" xr:uid="{8F3E207A-A64B-4FCC-9A9D-2F709A8DFC22}"/>
    <cellStyle name="Normal 5 2 4 5 3 3" xfId="22522" xr:uid="{7AFD6B14-FF22-4A27-AD20-20EBAB59F101}"/>
    <cellStyle name="Normal 5 2 4 5 3 4" xfId="14081" xr:uid="{32CDAD79-4245-4DF9-916A-2ADDB0D5EEEA}"/>
    <cellStyle name="Normal 5 2 4 5 4" xfId="26745" xr:uid="{8E3F0A38-D753-4FFF-A41B-0A32F35B9AF5}"/>
    <cellStyle name="Normal 5 2 4 5 5" xfId="18304" xr:uid="{017DC693-0206-48AF-942A-0438801CE9CB}"/>
    <cellStyle name="Normal 5 2 4 5 6" xfId="9863" xr:uid="{4C0BBE89-D87B-4F71-BA79-7D064EDCDB8B}"/>
    <cellStyle name="Normal 5 2 4 6" xfId="1737" xr:uid="{00000000-0005-0000-0000-000017190000}"/>
    <cellStyle name="Normal 5 2 4 6 2" xfId="3967" xr:uid="{00000000-0005-0000-0000-000018190000}"/>
    <cellStyle name="Normal 5 2 4 6 2 2" xfId="8189" xr:uid="{00000000-0005-0000-0000-000019190000}"/>
    <cellStyle name="Normal 5 2 4 6 2 2 2" xfId="33521" xr:uid="{3B03A041-55C1-409F-8F36-12457B79BDD5}"/>
    <cellStyle name="Normal 5 2 4 6 2 2 3" xfId="25080" xr:uid="{D2B1C218-1D8B-4983-9B33-CF824645D66E}"/>
    <cellStyle name="Normal 5 2 4 6 2 2 4" xfId="16639" xr:uid="{71FE5888-86C9-406B-8D87-C3EBB56E6D68}"/>
    <cellStyle name="Normal 5 2 4 6 2 3" xfId="29303" xr:uid="{118BACA4-D61E-4568-92D2-F1949B8FBBD3}"/>
    <cellStyle name="Normal 5 2 4 6 2 4" xfId="20862" xr:uid="{7D22E4F7-5E68-417B-9BA8-75CADEA3FAF8}"/>
    <cellStyle name="Normal 5 2 4 6 2 5" xfId="12421" xr:uid="{FBBF4A96-C641-4F99-9357-C8CF3355C529}"/>
    <cellStyle name="Normal 5 2 4 6 3" xfId="6044" xr:uid="{00000000-0005-0000-0000-00001A190000}"/>
    <cellStyle name="Normal 5 2 4 6 3 2" xfId="31376" xr:uid="{A57D116F-BA7D-4432-BA62-B1D1D6AA9C04}"/>
    <cellStyle name="Normal 5 2 4 6 3 3" xfId="22935" xr:uid="{6A110DEB-7BC2-421F-9281-DDE2761EB1B6}"/>
    <cellStyle name="Normal 5 2 4 6 3 4" xfId="14494" xr:uid="{F6193F09-34D9-411B-A1CF-81801F20F1DF}"/>
    <cellStyle name="Normal 5 2 4 6 4" xfId="27158" xr:uid="{E06A6CEE-DD06-42F6-BCE2-194AC669B7F6}"/>
    <cellStyle name="Normal 5 2 4 6 5" xfId="18717" xr:uid="{BE2060F4-ACED-4364-A01D-423D93AE3973}"/>
    <cellStyle name="Normal 5 2 4 6 6" xfId="10276" xr:uid="{A1EB45DE-B8A5-41C5-AD3D-2376FDDB141A}"/>
    <cellStyle name="Normal 5 2 4 7" xfId="2151" xr:uid="{00000000-0005-0000-0000-00001B190000}"/>
    <cellStyle name="Normal 5 2 4 7 2" xfId="4380" xr:uid="{00000000-0005-0000-0000-00001C190000}"/>
    <cellStyle name="Normal 5 2 4 7 2 2" xfId="8602" xr:uid="{00000000-0005-0000-0000-00001D190000}"/>
    <cellStyle name="Normal 5 2 4 7 2 2 2" xfId="33934" xr:uid="{5700DF4D-9E7C-4375-BEEC-13A22F7F0559}"/>
    <cellStyle name="Normal 5 2 4 7 2 2 3" xfId="25493" xr:uid="{B7139475-480D-48AB-98D0-28347618108A}"/>
    <cellStyle name="Normal 5 2 4 7 2 2 4" xfId="17052" xr:uid="{93186522-AD01-475A-BEEF-6E3AD5A8E7A6}"/>
    <cellStyle name="Normal 5 2 4 7 2 3" xfId="29716" xr:uid="{6FB2EF75-BE40-47F8-8B5C-47598A0B9CF0}"/>
    <cellStyle name="Normal 5 2 4 7 2 4" xfId="21275" xr:uid="{0344F8A0-CF2E-4C71-8CB7-A18CA7123EF5}"/>
    <cellStyle name="Normal 5 2 4 7 2 5" xfId="12834" xr:uid="{6B5F4BD2-B587-43F2-BE79-D9511794080F}"/>
    <cellStyle name="Normal 5 2 4 7 3" xfId="6457" xr:uid="{00000000-0005-0000-0000-00001E190000}"/>
    <cellStyle name="Normal 5 2 4 7 3 2" xfId="31789" xr:uid="{41AF2A5B-27EC-4540-96E3-535CAF51AE6A}"/>
    <cellStyle name="Normal 5 2 4 7 3 3" xfId="23348" xr:uid="{A7321761-E9A0-485E-BC4F-1518C761220F}"/>
    <cellStyle name="Normal 5 2 4 7 3 4" xfId="14907" xr:uid="{99765C05-7BAF-4DD8-AB07-37E732AB9199}"/>
    <cellStyle name="Normal 5 2 4 7 4" xfId="27571" xr:uid="{9A321658-6566-4A68-8883-67B06D0CEAFA}"/>
    <cellStyle name="Normal 5 2 4 7 5" xfId="19130" xr:uid="{30ABA666-0B04-41F8-8FB6-106642B42241}"/>
    <cellStyle name="Normal 5 2 4 7 6" xfId="10689" xr:uid="{584A95C2-DF53-4F0D-8898-2B34AAE6CB4E}"/>
    <cellStyle name="Normal 5 2 4 8" xfId="2587" xr:uid="{00000000-0005-0000-0000-00001F190000}"/>
    <cellStyle name="Normal 5 2 4 8 2" xfId="6870" xr:uid="{00000000-0005-0000-0000-000020190000}"/>
    <cellStyle name="Normal 5 2 4 8 2 2" xfId="32202" xr:uid="{FA3FEDA1-AD5D-4A2F-B86E-2ABDB2F12130}"/>
    <cellStyle name="Normal 5 2 4 8 2 3" xfId="23761" xr:uid="{1DBDA183-5FB6-4B27-BDDD-78276A016F20}"/>
    <cellStyle name="Normal 5 2 4 8 2 4" xfId="15320" xr:uid="{33836393-C222-49CB-8BEC-216BA6324728}"/>
    <cellStyle name="Normal 5 2 4 8 3" xfId="27984" xr:uid="{023D5938-4B36-433D-A397-A6166928B503}"/>
    <cellStyle name="Normal 5 2 4 8 4" xfId="19543" xr:uid="{87F24280-1E11-4702-9DAD-43102F2A2F5A}"/>
    <cellStyle name="Normal 5 2 4 8 5" xfId="11102" xr:uid="{342551B9-8E6D-49F1-894C-E3E998B51914}"/>
    <cellStyle name="Normal 5 2 4 9" xfId="4805" xr:uid="{00000000-0005-0000-0000-000021190000}"/>
    <cellStyle name="Normal 5 2 4 9 2" xfId="30137" xr:uid="{53EC3CC0-59B7-4323-9A15-793727D0AE88}"/>
    <cellStyle name="Normal 5 2 4 9 3" xfId="21696" xr:uid="{A4219B57-CF5E-4BAC-9ED0-EB50B621B4F1}"/>
    <cellStyle name="Normal 5 2 4 9 4" xfId="13255" xr:uid="{16346FFA-EDFB-481A-B325-0B9DCCA42F7D}"/>
    <cellStyle name="Normal 5 2 5" xfId="436" xr:uid="{00000000-0005-0000-0000-000022190000}"/>
    <cellStyle name="Normal 5 2 5 10" xfId="17482" xr:uid="{03A14EF2-6AF3-4FCA-83EF-072AC7C78F9F}"/>
    <cellStyle name="Normal 5 2 5 11" xfId="9041" xr:uid="{F1CAB40E-75EF-441D-9F57-C7F693937D7A}"/>
    <cellStyle name="Normal 5 2 5 2" xfId="437" xr:uid="{00000000-0005-0000-0000-000023190000}"/>
    <cellStyle name="Normal 5 2 5 2 10" xfId="9042" xr:uid="{5101291E-C67C-4259-A811-5ED24BF0FF09}"/>
    <cellStyle name="Normal 5 2 5 2 2" xfId="911" xr:uid="{00000000-0005-0000-0000-000024190000}"/>
    <cellStyle name="Normal 5 2 5 2 2 2" xfId="3146" xr:uid="{00000000-0005-0000-0000-000025190000}"/>
    <cellStyle name="Normal 5 2 5 2 2 2 2" xfId="7368" xr:uid="{00000000-0005-0000-0000-000026190000}"/>
    <cellStyle name="Normal 5 2 5 2 2 2 2 2" xfId="32700" xr:uid="{244A970A-F9BB-48ED-887B-ACAE70692443}"/>
    <cellStyle name="Normal 5 2 5 2 2 2 2 3" xfId="24259" xr:uid="{C520A1EE-1894-464D-9CEF-CAFCCF29C5F9}"/>
    <cellStyle name="Normal 5 2 5 2 2 2 2 4" xfId="15818" xr:uid="{B3881EE7-DBC6-4550-86A8-2B71D517EDEB}"/>
    <cellStyle name="Normal 5 2 5 2 2 2 3" xfId="28482" xr:uid="{03ED20DC-86A4-4754-BC06-02504C78BDE4}"/>
    <cellStyle name="Normal 5 2 5 2 2 2 4" xfId="20041" xr:uid="{033BC153-22EE-467A-AD97-4CF516A972A0}"/>
    <cellStyle name="Normal 5 2 5 2 2 2 5" xfId="11600" xr:uid="{54C47A5B-01B2-4EC3-B2FE-BEB9C2FF7B11}"/>
    <cellStyle name="Normal 5 2 5 2 2 3" xfId="5223" xr:uid="{00000000-0005-0000-0000-000027190000}"/>
    <cellStyle name="Normal 5 2 5 2 2 3 2" xfId="30555" xr:uid="{A1044C68-20A5-4997-8682-89E051CC91E7}"/>
    <cellStyle name="Normal 5 2 5 2 2 3 3" xfId="22114" xr:uid="{5F706EB6-BD83-4F25-9447-93CF6AAFC282}"/>
    <cellStyle name="Normal 5 2 5 2 2 3 4" xfId="13673" xr:uid="{A84A2FA6-6E58-4136-A47A-28B7585E4B09}"/>
    <cellStyle name="Normal 5 2 5 2 2 4" xfId="26337" xr:uid="{25B65F42-070E-4DE0-9A6F-02B93778B4E8}"/>
    <cellStyle name="Normal 5 2 5 2 2 5" xfId="17896" xr:uid="{1769C185-40E3-4D7E-8011-6AC6606349F6}"/>
    <cellStyle name="Normal 5 2 5 2 2 6" xfId="9455" xr:uid="{A8320014-A27E-4E82-B09E-E331F6E0C7D3}"/>
    <cellStyle name="Normal 5 2 5 2 3" xfId="1329" xr:uid="{00000000-0005-0000-0000-000028190000}"/>
    <cellStyle name="Normal 5 2 5 2 3 2" xfId="3559" xr:uid="{00000000-0005-0000-0000-000029190000}"/>
    <cellStyle name="Normal 5 2 5 2 3 2 2" xfId="7781" xr:uid="{00000000-0005-0000-0000-00002A190000}"/>
    <cellStyle name="Normal 5 2 5 2 3 2 2 2" xfId="33113" xr:uid="{AD6C38F7-2D25-41E9-8587-BD1A88CEC689}"/>
    <cellStyle name="Normal 5 2 5 2 3 2 2 3" xfId="24672" xr:uid="{0ACFBA8F-503D-42C0-984C-D2328727EC2F}"/>
    <cellStyle name="Normal 5 2 5 2 3 2 2 4" xfId="16231" xr:uid="{158C8CAE-4D0E-4FF9-8074-766B9B5DC055}"/>
    <cellStyle name="Normal 5 2 5 2 3 2 3" xfId="28895" xr:uid="{B4F469B6-EF70-4DA3-BD6F-38A8F365F13E}"/>
    <cellStyle name="Normal 5 2 5 2 3 2 4" xfId="20454" xr:uid="{12D49B51-4070-4D9C-875D-3A355F9B585C}"/>
    <cellStyle name="Normal 5 2 5 2 3 2 5" xfId="12013" xr:uid="{19AAA9B5-F2A8-40F2-AA61-79772FE50A99}"/>
    <cellStyle name="Normal 5 2 5 2 3 3" xfId="5636" xr:uid="{00000000-0005-0000-0000-00002B190000}"/>
    <cellStyle name="Normal 5 2 5 2 3 3 2" xfId="30968" xr:uid="{5E4DFCF9-CC42-4C79-87E8-92D36AD574B2}"/>
    <cellStyle name="Normal 5 2 5 2 3 3 3" xfId="22527" xr:uid="{92ACDA42-67C0-41CF-BF59-36EAF805964A}"/>
    <cellStyle name="Normal 5 2 5 2 3 3 4" xfId="14086" xr:uid="{4342A9B3-35E3-4D41-B961-B4BF7280D1C5}"/>
    <cellStyle name="Normal 5 2 5 2 3 4" xfId="26750" xr:uid="{95244545-5A76-478E-9C08-F7B0864A9467}"/>
    <cellStyle name="Normal 5 2 5 2 3 5" xfId="18309" xr:uid="{225FB7A4-AFAE-480D-B041-E59033AD195F}"/>
    <cellStyle name="Normal 5 2 5 2 3 6" xfId="9868" xr:uid="{317004CB-DF42-4FCD-A57F-1EE1964C95E7}"/>
    <cellStyle name="Normal 5 2 5 2 4" xfId="1742" xr:uid="{00000000-0005-0000-0000-00002C190000}"/>
    <cellStyle name="Normal 5 2 5 2 4 2" xfId="3972" xr:uid="{00000000-0005-0000-0000-00002D190000}"/>
    <cellStyle name="Normal 5 2 5 2 4 2 2" xfId="8194" xr:uid="{00000000-0005-0000-0000-00002E190000}"/>
    <cellStyle name="Normal 5 2 5 2 4 2 2 2" xfId="33526" xr:uid="{3B1C822B-4B3C-4A7E-91B9-1211AF31A136}"/>
    <cellStyle name="Normal 5 2 5 2 4 2 2 3" xfId="25085" xr:uid="{A52001F7-DEA4-4569-ABC3-EF8B358578FF}"/>
    <cellStyle name="Normal 5 2 5 2 4 2 2 4" xfId="16644" xr:uid="{BB48225F-C0F6-46FF-A542-96C1D75CA9F2}"/>
    <cellStyle name="Normal 5 2 5 2 4 2 3" xfId="29308" xr:uid="{7BC972A0-E51D-46DE-803B-6E7516BFD97C}"/>
    <cellStyle name="Normal 5 2 5 2 4 2 4" xfId="20867" xr:uid="{D071AC4A-4C1F-42AB-B107-4689CEEE7017}"/>
    <cellStyle name="Normal 5 2 5 2 4 2 5" xfId="12426" xr:uid="{AEDD1006-A532-4EBE-96E3-14BCB6164A60}"/>
    <cellStyle name="Normal 5 2 5 2 4 3" xfId="6049" xr:uid="{00000000-0005-0000-0000-00002F190000}"/>
    <cellStyle name="Normal 5 2 5 2 4 3 2" xfId="31381" xr:uid="{F84C3071-E146-411A-80AB-62A362AED07B}"/>
    <cellStyle name="Normal 5 2 5 2 4 3 3" xfId="22940" xr:uid="{CBA26F98-E401-4C32-866D-F0029D8135AD}"/>
    <cellStyle name="Normal 5 2 5 2 4 3 4" xfId="14499" xr:uid="{F82C3ADD-72B5-4AFA-9694-41B6E41103C4}"/>
    <cellStyle name="Normal 5 2 5 2 4 4" xfId="27163" xr:uid="{A77727D1-0BF0-4F03-9FEB-6F94F6F0E5E4}"/>
    <cellStyle name="Normal 5 2 5 2 4 5" xfId="18722" xr:uid="{FFE4438E-9508-4BC0-BDCE-0680013ECEFD}"/>
    <cellStyle name="Normal 5 2 5 2 4 6" xfId="10281" xr:uid="{58704215-2950-4109-8094-8D554A71A075}"/>
    <cellStyle name="Normal 5 2 5 2 5" xfId="2156" xr:uid="{00000000-0005-0000-0000-000030190000}"/>
    <cellStyle name="Normal 5 2 5 2 5 2" xfId="4385" xr:uid="{00000000-0005-0000-0000-000031190000}"/>
    <cellStyle name="Normal 5 2 5 2 5 2 2" xfId="8607" xr:uid="{00000000-0005-0000-0000-000032190000}"/>
    <cellStyle name="Normal 5 2 5 2 5 2 2 2" xfId="33939" xr:uid="{E97EAE13-537A-4B20-95CB-D103480C48D6}"/>
    <cellStyle name="Normal 5 2 5 2 5 2 2 3" xfId="25498" xr:uid="{8C89BB03-9F60-4051-9140-30A227897359}"/>
    <cellStyle name="Normal 5 2 5 2 5 2 2 4" xfId="17057" xr:uid="{D155BBA5-3784-471D-973A-209C33D706A4}"/>
    <cellStyle name="Normal 5 2 5 2 5 2 3" xfId="29721" xr:uid="{8BE27CCF-4BAA-4516-B708-1F843B519042}"/>
    <cellStyle name="Normal 5 2 5 2 5 2 4" xfId="21280" xr:uid="{889B3CDE-AEBE-40E3-A9EB-B05038BD9717}"/>
    <cellStyle name="Normal 5 2 5 2 5 2 5" xfId="12839" xr:uid="{6242D08E-AD38-4E1D-B67A-3A87036EC867}"/>
    <cellStyle name="Normal 5 2 5 2 5 3" xfId="6462" xr:uid="{00000000-0005-0000-0000-000033190000}"/>
    <cellStyle name="Normal 5 2 5 2 5 3 2" xfId="31794" xr:uid="{674676CA-48E7-44A1-B891-0D80FDAEAB81}"/>
    <cellStyle name="Normal 5 2 5 2 5 3 3" xfId="23353" xr:uid="{E2F0226C-AD92-41D3-A253-8CC1351E20B9}"/>
    <cellStyle name="Normal 5 2 5 2 5 3 4" xfId="14912" xr:uid="{52B15520-4E99-464F-8CA0-F3A1ABE85ACD}"/>
    <cellStyle name="Normal 5 2 5 2 5 4" xfId="27576" xr:uid="{EE0CC173-3C5C-43AF-9BDE-6EA6C7C129AE}"/>
    <cellStyle name="Normal 5 2 5 2 5 5" xfId="19135" xr:uid="{D838EC8D-54B2-4788-B5B1-292BDACD7861}"/>
    <cellStyle name="Normal 5 2 5 2 5 6" xfId="10694" xr:uid="{B13C08CC-8136-4067-A7B3-931FE2988C8B}"/>
    <cellStyle name="Normal 5 2 5 2 6" xfId="2592" xr:uid="{00000000-0005-0000-0000-000034190000}"/>
    <cellStyle name="Normal 5 2 5 2 6 2" xfId="6875" xr:uid="{00000000-0005-0000-0000-000035190000}"/>
    <cellStyle name="Normal 5 2 5 2 6 2 2" xfId="32207" xr:uid="{2EABBF2C-4E04-4D99-9B02-3200C18F1AE2}"/>
    <cellStyle name="Normal 5 2 5 2 6 2 3" xfId="23766" xr:uid="{5A1F04F6-548E-40E7-830F-7A3777C7CB1E}"/>
    <cellStyle name="Normal 5 2 5 2 6 2 4" xfId="15325" xr:uid="{6BEF462D-E9CD-43EB-8F6D-A07E8740F415}"/>
    <cellStyle name="Normal 5 2 5 2 6 3" xfId="27989" xr:uid="{39916BB5-84DE-4569-A3E9-6E15DAD8A943}"/>
    <cellStyle name="Normal 5 2 5 2 6 4" xfId="19548" xr:uid="{CBC1A2AB-D0D1-40FC-9AD4-58E90746E1ED}"/>
    <cellStyle name="Normal 5 2 5 2 6 5" xfId="11107" xr:uid="{9A889D20-095D-4F0F-B343-445FB879638B}"/>
    <cellStyle name="Normal 5 2 5 2 7" xfId="4810" xr:uid="{00000000-0005-0000-0000-000036190000}"/>
    <cellStyle name="Normal 5 2 5 2 7 2" xfId="30142" xr:uid="{A82E1D00-82E7-4BD7-912A-5F3988F0B943}"/>
    <cellStyle name="Normal 5 2 5 2 7 3" xfId="21701" xr:uid="{953C3B6B-1D10-46C8-84AC-9287CFA2890D}"/>
    <cellStyle name="Normal 5 2 5 2 7 4" xfId="13260" xr:uid="{4C3BA878-B481-4D76-B225-57616013182B}"/>
    <cellStyle name="Normal 5 2 5 2 8" xfId="25924" xr:uid="{FA54A441-D8FE-4B89-A5B3-FBEF8F89761B}"/>
    <cellStyle name="Normal 5 2 5 2 9" xfId="17483" xr:uid="{E20DF320-88F0-4034-BDB6-A133A10D3647}"/>
    <cellStyle name="Normal 5 2 5 3" xfId="910" xr:uid="{00000000-0005-0000-0000-000037190000}"/>
    <cellStyle name="Normal 5 2 5 3 2" xfId="3145" xr:uid="{00000000-0005-0000-0000-000038190000}"/>
    <cellStyle name="Normal 5 2 5 3 2 2" xfId="7367" xr:uid="{00000000-0005-0000-0000-000039190000}"/>
    <cellStyle name="Normal 5 2 5 3 2 2 2" xfId="32699" xr:uid="{65BD6B70-DB22-4E25-8AB7-D5F777A4AA9D}"/>
    <cellStyle name="Normal 5 2 5 3 2 2 3" xfId="24258" xr:uid="{CE3947B2-5AEB-4A23-8A11-115AEEBB4B0A}"/>
    <cellStyle name="Normal 5 2 5 3 2 2 4" xfId="15817" xr:uid="{97E527D0-4F8A-490C-B7A4-E4F41E51DE78}"/>
    <cellStyle name="Normal 5 2 5 3 2 3" xfId="28481" xr:uid="{00DB4CA8-A7E7-4012-9688-CE77E447451A}"/>
    <cellStyle name="Normal 5 2 5 3 2 4" xfId="20040" xr:uid="{D152EFA8-7440-4964-B7AC-9182F3485F79}"/>
    <cellStyle name="Normal 5 2 5 3 2 5" xfId="11599" xr:uid="{7DDC993F-0F1C-43BA-A84A-18D08BA8CF8D}"/>
    <cellStyle name="Normal 5 2 5 3 3" xfId="5222" xr:uid="{00000000-0005-0000-0000-00003A190000}"/>
    <cellStyle name="Normal 5 2 5 3 3 2" xfId="30554" xr:uid="{8F3B16EA-0736-4A23-8A89-FA86F42C4105}"/>
    <cellStyle name="Normal 5 2 5 3 3 3" xfId="22113" xr:uid="{1AC46A00-3255-4487-A33B-C27E835ECB00}"/>
    <cellStyle name="Normal 5 2 5 3 3 4" xfId="13672" xr:uid="{30DF7EBE-0674-4F89-A77E-9009CF02CFC6}"/>
    <cellStyle name="Normal 5 2 5 3 4" xfId="26336" xr:uid="{B267231D-CFC0-4A1C-8F81-575D8F174845}"/>
    <cellStyle name="Normal 5 2 5 3 5" xfId="17895" xr:uid="{50D2DDD2-E20B-475D-AC7E-0055D55167DE}"/>
    <cellStyle name="Normal 5 2 5 3 6" xfId="9454" xr:uid="{A2D1514F-CFCE-4CC0-AE7E-FC9F17BFEEE9}"/>
    <cellStyle name="Normal 5 2 5 4" xfId="1328" xr:uid="{00000000-0005-0000-0000-00003B190000}"/>
    <cellStyle name="Normal 5 2 5 4 2" xfId="3558" xr:uid="{00000000-0005-0000-0000-00003C190000}"/>
    <cellStyle name="Normal 5 2 5 4 2 2" xfId="7780" xr:uid="{00000000-0005-0000-0000-00003D190000}"/>
    <cellStyle name="Normal 5 2 5 4 2 2 2" xfId="33112" xr:uid="{35654B7B-60F5-4A24-B821-168CC8D9FAAB}"/>
    <cellStyle name="Normal 5 2 5 4 2 2 3" xfId="24671" xr:uid="{24FA7B3E-01D7-4603-861D-AC86EA1C83A5}"/>
    <cellStyle name="Normal 5 2 5 4 2 2 4" xfId="16230" xr:uid="{20682D64-54F4-4B9E-B48D-CFFFA2E03301}"/>
    <cellStyle name="Normal 5 2 5 4 2 3" xfId="28894" xr:uid="{85DA671B-1A91-4B94-B66B-D2841081462A}"/>
    <cellStyle name="Normal 5 2 5 4 2 4" xfId="20453" xr:uid="{55DA723E-F013-40F8-9164-8F2755090FAC}"/>
    <cellStyle name="Normal 5 2 5 4 2 5" xfId="12012" xr:uid="{218B667C-2FA2-4E7D-BCE2-2A69BC487199}"/>
    <cellStyle name="Normal 5 2 5 4 3" xfId="5635" xr:uid="{00000000-0005-0000-0000-00003E190000}"/>
    <cellStyle name="Normal 5 2 5 4 3 2" xfId="30967" xr:uid="{138B7789-68E5-4B12-A2B1-37D7267D6967}"/>
    <cellStyle name="Normal 5 2 5 4 3 3" xfId="22526" xr:uid="{518C5256-F979-40C2-BE99-3814A7E8D374}"/>
    <cellStyle name="Normal 5 2 5 4 3 4" xfId="14085" xr:uid="{BA30005C-D107-46DA-8DD1-4748DFB7B0B2}"/>
    <cellStyle name="Normal 5 2 5 4 4" xfId="26749" xr:uid="{39024E83-0738-4113-B178-4D93EC8CE548}"/>
    <cellStyle name="Normal 5 2 5 4 5" xfId="18308" xr:uid="{A58F7DC9-FF42-4651-A5BF-50273290AD55}"/>
    <cellStyle name="Normal 5 2 5 4 6" xfId="9867" xr:uid="{B31F79FA-8CBF-40D5-A378-D7F7B5FD5650}"/>
    <cellStyle name="Normal 5 2 5 5" xfId="1741" xr:uid="{00000000-0005-0000-0000-00003F190000}"/>
    <cellStyle name="Normal 5 2 5 5 2" xfId="3971" xr:uid="{00000000-0005-0000-0000-000040190000}"/>
    <cellStyle name="Normal 5 2 5 5 2 2" xfId="8193" xr:uid="{00000000-0005-0000-0000-000041190000}"/>
    <cellStyle name="Normal 5 2 5 5 2 2 2" xfId="33525" xr:uid="{B85F84A9-2F7E-4BCA-8CD9-C8EA4D5CD9A8}"/>
    <cellStyle name="Normal 5 2 5 5 2 2 3" xfId="25084" xr:uid="{E7F22CD8-531B-40ED-87E7-C0E1982CCE72}"/>
    <cellStyle name="Normal 5 2 5 5 2 2 4" xfId="16643" xr:uid="{62DEF40D-E27E-40AC-8FA7-6C79F407BB09}"/>
    <cellStyle name="Normal 5 2 5 5 2 3" xfId="29307" xr:uid="{DDE69E23-987E-4D0A-8A57-CE9CC8942392}"/>
    <cellStyle name="Normal 5 2 5 5 2 4" xfId="20866" xr:uid="{A0DEAD8A-9DBE-4947-A98E-771BF95D9F9F}"/>
    <cellStyle name="Normal 5 2 5 5 2 5" xfId="12425" xr:uid="{5772D8C5-62DE-49B2-837D-1D3F28BE4F36}"/>
    <cellStyle name="Normal 5 2 5 5 3" xfId="6048" xr:uid="{00000000-0005-0000-0000-000042190000}"/>
    <cellStyle name="Normal 5 2 5 5 3 2" xfId="31380" xr:uid="{F5C9963B-03F2-4875-8209-63EF24E383F7}"/>
    <cellStyle name="Normal 5 2 5 5 3 3" xfId="22939" xr:uid="{11DF794B-AE39-4866-9EFA-F19CD4B2EB30}"/>
    <cellStyle name="Normal 5 2 5 5 3 4" xfId="14498" xr:uid="{6099CA84-D76C-4953-9FE2-85C03B0F248F}"/>
    <cellStyle name="Normal 5 2 5 5 4" xfId="27162" xr:uid="{4CD7E4D7-82BD-49BE-85EB-7C0A5671A3AB}"/>
    <cellStyle name="Normal 5 2 5 5 5" xfId="18721" xr:uid="{8DA257D9-2C53-4876-A37A-49F4D99D3BAD}"/>
    <cellStyle name="Normal 5 2 5 5 6" xfId="10280" xr:uid="{C5DD3063-DA6A-4409-A11E-AB70FC78DDE6}"/>
    <cellStyle name="Normal 5 2 5 6" xfId="2155" xr:uid="{00000000-0005-0000-0000-000043190000}"/>
    <cellStyle name="Normal 5 2 5 6 2" xfId="4384" xr:uid="{00000000-0005-0000-0000-000044190000}"/>
    <cellStyle name="Normal 5 2 5 6 2 2" xfId="8606" xr:uid="{00000000-0005-0000-0000-000045190000}"/>
    <cellStyle name="Normal 5 2 5 6 2 2 2" xfId="33938" xr:uid="{9FA8CCAC-C255-4FF4-BD32-75CE0647E888}"/>
    <cellStyle name="Normal 5 2 5 6 2 2 3" xfId="25497" xr:uid="{97648510-782B-4CBB-A435-C6FCD0AAC43B}"/>
    <cellStyle name="Normal 5 2 5 6 2 2 4" xfId="17056" xr:uid="{779F689B-010B-472F-97CC-5B84EB8BF618}"/>
    <cellStyle name="Normal 5 2 5 6 2 3" xfId="29720" xr:uid="{BD6887DA-3DC0-4C0C-BB85-C4062BF94C7A}"/>
    <cellStyle name="Normal 5 2 5 6 2 4" xfId="21279" xr:uid="{F87E91D5-8B2C-4FF3-9A16-54E04E4B81B8}"/>
    <cellStyle name="Normal 5 2 5 6 2 5" xfId="12838" xr:uid="{A9765130-A0D2-4B8A-B330-1B5A717AA423}"/>
    <cellStyle name="Normal 5 2 5 6 3" xfId="6461" xr:uid="{00000000-0005-0000-0000-000046190000}"/>
    <cellStyle name="Normal 5 2 5 6 3 2" xfId="31793" xr:uid="{0324E6DF-DD77-4EF4-91F6-F6C6DBBA3C93}"/>
    <cellStyle name="Normal 5 2 5 6 3 3" xfId="23352" xr:uid="{A61B38CB-46F8-4EA6-9940-B994C6547D17}"/>
    <cellStyle name="Normal 5 2 5 6 3 4" xfId="14911" xr:uid="{43BECA42-9A8D-4240-952E-6AE7BF6039EF}"/>
    <cellStyle name="Normal 5 2 5 6 4" xfId="27575" xr:uid="{9193B5E8-D41F-4DCD-BBA4-D03A3A70DD9E}"/>
    <cellStyle name="Normal 5 2 5 6 5" xfId="19134" xr:uid="{C9065807-E465-4957-B0DF-44E9187180FC}"/>
    <cellStyle name="Normal 5 2 5 6 6" xfId="10693" xr:uid="{D5C11A89-993D-4712-B8BD-39DD8D655795}"/>
    <cellStyle name="Normal 5 2 5 7" xfId="2591" xr:uid="{00000000-0005-0000-0000-000047190000}"/>
    <cellStyle name="Normal 5 2 5 7 2" xfId="6874" xr:uid="{00000000-0005-0000-0000-000048190000}"/>
    <cellStyle name="Normal 5 2 5 7 2 2" xfId="32206" xr:uid="{C4905405-25B8-46A0-8BF3-84A6D8855D7C}"/>
    <cellStyle name="Normal 5 2 5 7 2 3" xfId="23765" xr:uid="{6F4993EB-135A-492E-A832-1E34064890D1}"/>
    <cellStyle name="Normal 5 2 5 7 2 4" xfId="15324" xr:uid="{B974C91E-E561-406C-A1ED-1FEEE5344A74}"/>
    <cellStyle name="Normal 5 2 5 7 3" xfId="27988" xr:uid="{B7BA60B6-1F1C-4074-87A1-9D057552BF99}"/>
    <cellStyle name="Normal 5 2 5 7 4" xfId="19547" xr:uid="{B3595FBE-50E4-44DB-B8E7-95CA232B90E9}"/>
    <cellStyle name="Normal 5 2 5 7 5" xfId="11106" xr:uid="{B8362CCB-93A4-4752-9819-6053FEB03038}"/>
    <cellStyle name="Normal 5 2 5 8" xfId="4809" xr:uid="{00000000-0005-0000-0000-000049190000}"/>
    <cellStyle name="Normal 5 2 5 8 2" xfId="30141" xr:uid="{715DF407-ABCE-4171-AFAC-42E1BB4C112A}"/>
    <cellStyle name="Normal 5 2 5 8 3" xfId="21700" xr:uid="{AD8251F6-C960-4630-B264-59D143FC13C4}"/>
    <cellStyle name="Normal 5 2 5 8 4" xfId="13259" xr:uid="{F18562F4-881F-4392-98DF-0E9FCCCDF105}"/>
    <cellStyle name="Normal 5 2 5 9" xfId="25923" xr:uid="{86976AE3-D9D5-4FAB-B810-938EC47C769F}"/>
    <cellStyle name="Normal 5 2 6" xfId="438" xr:uid="{00000000-0005-0000-0000-00004A190000}"/>
    <cellStyle name="Normal 5 2 6 10" xfId="9043" xr:uid="{22B4E625-4B55-4A3A-BB5F-5B8540DAA79C}"/>
    <cellStyle name="Normal 5 2 6 2" xfId="912" xr:uid="{00000000-0005-0000-0000-00004B190000}"/>
    <cellStyle name="Normal 5 2 6 2 2" xfId="3147" xr:uid="{00000000-0005-0000-0000-00004C190000}"/>
    <cellStyle name="Normal 5 2 6 2 2 2" xfId="7369" xr:uid="{00000000-0005-0000-0000-00004D190000}"/>
    <cellStyle name="Normal 5 2 6 2 2 2 2" xfId="32701" xr:uid="{E502A0F6-7E8C-40AC-8AC8-288E4F1D5713}"/>
    <cellStyle name="Normal 5 2 6 2 2 2 3" xfId="24260" xr:uid="{8F5EAAD7-647A-40ED-8361-4582C50EC001}"/>
    <cellStyle name="Normal 5 2 6 2 2 2 4" xfId="15819" xr:uid="{1999747F-A595-48B0-ABBF-0E06C68AB30C}"/>
    <cellStyle name="Normal 5 2 6 2 2 3" xfId="28483" xr:uid="{E36A5A2E-68C2-4FD7-AC43-0BFD643239F0}"/>
    <cellStyle name="Normal 5 2 6 2 2 4" xfId="20042" xr:uid="{FEB5BCC5-E102-40E7-B0FA-E1F9EEAF6411}"/>
    <cellStyle name="Normal 5 2 6 2 2 5" xfId="11601" xr:uid="{6E819A58-CEFE-44A9-A104-B07D509ADC30}"/>
    <cellStyle name="Normal 5 2 6 2 3" xfId="5224" xr:uid="{00000000-0005-0000-0000-00004E190000}"/>
    <cellStyle name="Normal 5 2 6 2 3 2" xfId="30556" xr:uid="{F8678ECD-539F-42AC-9825-4CE5080338AE}"/>
    <cellStyle name="Normal 5 2 6 2 3 3" xfId="22115" xr:uid="{ED14D594-B4CC-49AF-801B-5BFF6F651E6F}"/>
    <cellStyle name="Normal 5 2 6 2 3 4" xfId="13674" xr:uid="{480D5886-8E70-494E-B682-F511BDD6B16B}"/>
    <cellStyle name="Normal 5 2 6 2 4" xfId="26338" xr:uid="{68CCCA5D-9644-4DFB-93D0-A7B49333C869}"/>
    <cellStyle name="Normal 5 2 6 2 5" xfId="17897" xr:uid="{C0314141-1D89-427C-95BA-CB391EC80862}"/>
    <cellStyle name="Normal 5 2 6 2 6" xfId="9456" xr:uid="{C5A2314E-1521-425B-B88F-7B35FA469024}"/>
    <cellStyle name="Normal 5 2 6 3" xfId="1330" xr:uid="{00000000-0005-0000-0000-00004F190000}"/>
    <cellStyle name="Normal 5 2 6 3 2" xfId="3560" xr:uid="{00000000-0005-0000-0000-000050190000}"/>
    <cellStyle name="Normal 5 2 6 3 2 2" xfId="7782" xr:uid="{00000000-0005-0000-0000-000051190000}"/>
    <cellStyle name="Normal 5 2 6 3 2 2 2" xfId="33114" xr:uid="{594EF159-DF07-44A3-AD84-A537506E68F8}"/>
    <cellStyle name="Normal 5 2 6 3 2 2 3" xfId="24673" xr:uid="{A5FC5DD1-7269-4AFD-97C2-0DA2112347E9}"/>
    <cellStyle name="Normal 5 2 6 3 2 2 4" xfId="16232" xr:uid="{B40B46DD-DF45-417E-92E3-825997A9C931}"/>
    <cellStyle name="Normal 5 2 6 3 2 3" xfId="28896" xr:uid="{6958998D-1760-4401-913A-3B076233ED72}"/>
    <cellStyle name="Normal 5 2 6 3 2 4" xfId="20455" xr:uid="{F9D8666D-24FB-4FD4-9035-A7AF7DC6A9EF}"/>
    <cellStyle name="Normal 5 2 6 3 2 5" xfId="12014" xr:uid="{C0D945B4-27A9-4D5A-939E-B69C18C16817}"/>
    <cellStyle name="Normal 5 2 6 3 3" xfId="5637" xr:uid="{00000000-0005-0000-0000-000052190000}"/>
    <cellStyle name="Normal 5 2 6 3 3 2" xfId="30969" xr:uid="{DD24BA57-3771-400E-9D27-3427C1C58512}"/>
    <cellStyle name="Normal 5 2 6 3 3 3" xfId="22528" xr:uid="{FF26CF5E-676B-4ACC-9EBF-A78EA35D0CCA}"/>
    <cellStyle name="Normal 5 2 6 3 3 4" xfId="14087" xr:uid="{302F026B-675C-4B2B-99D2-2AC6C7FE768E}"/>
    <cellStyle name="Normal 5 2 6 3 4" xfId="26751" xr:uid="{A2EC2428-AE9B-46DB-8A90-20B3D100559F}"/>
    <cellStyle name="Normal 5 2 6 3 5" xfId="18310" xr:uid="{8711C3F8-D38B-4DA6-A15D-20E973655CCE}"/>
    <cellStyle name="Normal 5 2 6 3 6" xfId="9869" xr:uid="{47CC3654-E1DD-45FF-898F-02172C15B709}"/>
    <cellStyle name="Normal 5 2 6 4" xfId="1743" xr:uid="{00000000-0005-0000-0000-000053190000}"/>
    <cellStyle name="Normal 5 2 6 4 2" xfId="3973" xr:uid="{00000000-0005-0000-0000-000054190000}"/>
    <cellStyle name="Normal 5 2 6 4 2 2" xfId="8195" xr:uid="{00000000-0005-0000-0000-000055190000}"/>
    <cellStyle name="Normal 5 2 6 4 2 2 2" xfId="33527" xr:uid="{2A7AC558-077F-4EB9-9080-0C86E0FFD597}"/>
    <cellStyle name="Normal 5 2 6 4 2 2 3" xfId="25086" xr:uid="{4A3C892D-37B0-4FA9-B3D0-D349EA1E6342}"/>
    <cellStyle name="Normal 5 2 6 4 2 2 4" xfId="16645" xr:uid="{078D13A0-35D7-44EC-B6AF-6079A3FD19A4}"/>
    <cellStyle name="Normal 5 2 6 4 2 3" xfId="29309" xr:uid="{0EC5FB6A-38C9-41AB-92EE-B0BF5F47FD13}"/>
    <cellStyle name="Normal 5 2 6 4 2 4" xfId="20868" xr:uid="{4631C1BB-1C85-4375-A9E3-4A37D285A0C8}"/>
    <cellStyle name="Normal 5 2 6 4 2 5" xfId="12427" xr:uid="{8158A363-730D-41FB-80C5-9C743AED3D45}"/>
    <cellStyle name="Normal 5 2 6 4 3" xfId="6050" xr:uid="{00000000-0005-0000-0000-000056190000}"/>
    <cellStyle name="Normal 5 2 6 4 3 2" xfId="31382" xr:uid="{2605B83E-B043-4E08-B304-B2CB6A219C8B}"/>
    <cellStyle name="Normal 5 2 6 4 3 3" xfId="22941" xr:uid="{F66173D4-6CD4-4493-96A4-8AE09B9A0E9E}"/>
    <cellStyle name="Normal 5 2 6 4 3 4" xfId="14500" xr:uid="{6E2D428A-75F7-4AFA-86D3-E76410A93F4E}"/>
    <cellStyle name="Normal 5 2 6 4 4" xfId="27164" xr:uid="{06840150-9ACE-4B48-A8CE-1D70AD2B69EE}"/>
    <cellStyle name="Normal 5 2 6 4 5" xfId="18723" xr:uid="{ADBC3554-372F-4803-A745-D1ACEF4CE600}"/>
    <cellStyle name="Normal 5 2 6 4 6" xfId="10282" xr:uid="{0769337C-DF03-4EA2-9C87-EE34ACD129FE}"/>
    <cellStyle name="Normal 5 2 6 5" xfId="2157" xr:uid="{00000000-0005-0000-0000-000057190000}"/>
    <cellStyle name="Normal 5 2 6 5 2" xfId="4386" xr:uid="{00000000-0005-0000-0000-000058190000}"/>
    <cellStyle name="Normal 5 2 6 5 2 2" xfId="8608" xr:uid="{00000000-0005-0000-0000-000059190000}"/>
    <cellStyle name="Normal 5 2 6 5 2 2 2" xfId="33940" xr:uid="{638D7D9D-9220-4E74-9A97-9A8494B8295F}"/>
    <cellStyle name="Normal 5 2 6 5 2 2 3" xfId="25499" xr:uid="{A500327E-291A-4ED8-97A0-18B25DACF9F4}"/>
    <cellStyle name="Normal 5 2 6 5 2 2 4" xfId="17058" xr:uid="{81048B07-BEFC-4683-A608-87D3DCFDD97B}"/>
    <cellStyle name="Normal 5 2 6 5 2 3" xfId="29722" xr:uid="{428385F8-E152-4205-ACA6-C3DB0508BBF6}"/>
    <cellStyle name="Normal 5 2 6 5 2 4" xfId="21281" xr:uid="{220F9A6F-60D0-4743-9B1D-552836370CCC}"/>
    <cellStyle name="Normal 5 2 6 5 2 5" xfId="12840" xr:uid="{6CF4BBFF-E63A-4B56-8C98-ED4A31147EC5}"/>
    <cellStyle name="Normal 5 2 6 5 3" xfId="6463" xr:uid="{00000000-0005-0000-0000-00005A190000}"/>
    <cellStyle name="Normal 5 2 6 5 3 2" xfId="31795" xr:uid="{6AD8E190-2F90-4422-932F-C089545D7D59}"/>
    <cellStyle name="Normal 5 2 6 5 3 3" xfId="23354" xr:uid="{C2F670C4-E62E-4E23-AE1B-3CD38ED5110C}"/>
    <cellStyle name="Normal 5 2 6 5 3 4" xfId="14913" xr:uid="{DFB58B42-1DC7-4780-82EA-4775CEBFA0BD}"/>
    <cellStyle name="Normal 5 2 6 5 4" xfId="27577" xr:uid="{8FD40837-03AC-41C0-970B-B27B4281E0F2}"/>
    <cellStyle name="Normal 5 2 6 5 5" xfId="19136" xr:uid="{C1648773-4865-48ED-8330-A38E12E3B6F2}"/>
    <cellStyle name="Normal 5 2 6 5 6" xfId="10695" xr:uid="{A616C314-46CD-468B-8EF9-1C9338986DAC}"/>
    <cellStyle name="Normal 5 2 6 6" xfId="2593" xr:uid="{00000000-0005-0000-0000-00005B190000}"/>
    <cellStyle name="Normal 5 2 6 6 2" xfId="6876" xr:uid="{00000000-0005-0000-0000-00005C190000}"/>
    <cellStyle name="Normal 5 2 6 6 2 2" xfId="32208" xr:uid="{AE32F377-0923-4E65-BF8D-8F614AC83E86}"/>
    <cellStyle name="Normal 5 2 6 6 2 3" xfId="23767" xr:uid="{101B304F-230C-4461-ACB4-474A7977D7D4}"/>
    <cellStyle name="Normal 5 2 6 6 2 4" xfId="15326" xr:uid="{76C118DE-63D3-4369-8BF1-DFDE69DC051E}"/>
    <cellStyle name="Normal 5 2 6 6 3" xfId="27990" xr:uid="{C4CC22E6-319C-484A-A47B-606CBA571B19}"/>
    <cellStyle name="Normal 5 2 6 6 4" xfId="19549" xr:uid="{3C93AC64-0D4A-49BE-BF90-61415D233CC5}"/>
    <cellStyle name="Normal 5 2 6 6 5" xfId="11108" xr:uid="{4C513F37-38C3-454F-9D2F-34A1D8DCDEA4}"/>
    <cellStyle name="Normal 5 2 6 7" xfId="4811" xr:uid="{00000000-0005-0000-0000-00005D190000}"/>
    <cellStyle name="Normal 5 2 6 7 2" xfId="30143" xr:uid="{25B9731E-126D-472F-9C04-7E996E191E09}"/>
    <cellStyle name="Normal 5 2 6 7 3" xfId="21702" xr:uid="{D12168F2-6F02-4F6A-AC61-2F8176278E3E}"/>
    <cellStyle name="Normal 5 2 6 7 4" xfId="13261" xr:uid="{75E4C0E7-9B0E-4C10-93DE-1689E8B67D16}"/>
    <cellStyle name="Normal 5 2 6 8" xfId="25925" xr:uid="{8C11E706-6424-4013-8ECA-D13B6FE02377}"/>
    <cellStyle name="Normal 5 2 6 9" xfId="17484" xr:uid="{97C1F9FF-7F27-4C66-A48A-9A034579DB55}"/>
    <cellStyle name="Normal 5 2 7" xfId="881" xr:uid="{00000000-0005-0000-0000-00005E190000}"/>
    <cellStyle name="Normal 5 2 7 2" xfId="3116" xr:uid="{00000000-0005-0000-0000-00005F190000}"/>
    <cellStyle name="Normal 5 2 7 2 2" xfId="7338" xr:uid="{00000000-0005-0000-0000-000060190000}"/>
    <cellStyle name="Normal 5 2 7 2 2 2" xfId="32670" xr:uid="{6105114C-559F-4C1F-BC12-A93063B6B4C0}"/>
    <cellStyle name="Normal 5 2 7 2 2 3" xfId="24229" xr:uid="{BD18F421-57D3-46BE-A78B-3224A92D554F}"/>
    <cellStyle name="Normal 5 2 7 2 2 4" xfId="15788" xr:uid="{1947C630-85BA-4F7B-95D2-C9BF9EE2B1CA}"/>
    <cellStyle name="Normal 5 2 7 2 3" xfId="28452" xr:uid="{5DB3D997-0C34-4358-852D-1A9A8DB4572B}"/>
    <cellStyle name="Normal 5 2 7 2 4" xfId="20011" xr:uid="{C8B7695E-B749-4D3B-9F2E-F864BCFC028D}"/>
    <cellStyle name="Normal 5 2 7 2 5" xfId="11570" xr:uid="{E8E5BFCE-0113-4BDC-9309-F1F9E913763A}"/>
    <cellStyle name="Normal 5 2 7 3" xfId="5193" xr:uid="{00000000-0005-0000-0000-000061190000}"/>
    <cellStyle name="Normal 5 2 7 3 2" xfId="30525" xr:uid="{C7D7428E-E9B1-45FF-BCD0-C53F270ADFC5}"/>
    <cellStyle name="Normal 5 2 7 3 3" xfId="22084" xr:uid="{D3DB4F7F-2929-4226-9BAE-A0A5090DCAC0}"/>
    <cellStyle name="Normal 5 2 7 3 4" xfId="13643" xr:uid="{32D37DBA-EC84-4CD8-A288-5FEBF025D6E0}"/>
    <cellStyle name="Normal 5 2 7 4" xfId="26307" xr:uid="{6EA1824F-0A1A-4A62-9FB4-2FABD6F9EEFC}"/>
    <cellStyle name="Normal 5 2 7 5" xfId="17866" xr:uid="{92A3631B-3931-443D-BC6B-A89FF1F9F423}"/>
    <cellStyle name="Normal 5 2 7 6" xfId="9425" xr:uid="{D491ABBA-537D-495A-A27F-E94904B891EE}"/>
    <cellStyle name="Normal 5 2 8" xfId="1299" xr:uid="{00000000-0005-0000-0000-000062190000}"/>
    <cellStyle name="Normal 5 2 8 2" xfId="3529" xr:uid="{00000000-0005-0000-0000-000063190000}"/>
    <cellStyle name="Normal 5 2 8 2 2" xfId="7751" xr:uid="{00000000-0005-0000-0000-000064190000}"/>
    <cellStyle name="Normal 5 2 8 2 2 2" xfId="33083" xr:uid="{2D315F96-512A-42B4-BAA2-8FFB522D2693}"/>
    <cellStyle name="Normal 5 2 8 2 2 3" xfId="24642" xr:uid="{B943E94C-34F0-4F8E-A2CA-E80D2A672806}"/>
    <cellStyle name="Normal 5 2 8 2 2 4" xfId="16201" xr:uid="{F30CE076-3159-4458-8872-B0A9630DAE9A}"/>
    <cellStyle name="Normal 5 2 8 2 3" xfId="28865" xr:uid="{E2E603EF-9D32-4272-82AE-867C386763D5}"/>
    <cellStyle name="Normal 5 2 8 2 4" xfId="20424" xr:uid="{FECB60E7-881F-4787-8F3E-150B6410B3FC}"/>
    <cellStyle name="Normal 5 2 8 2 5" xfId="11983" xr:uid="{E59F816B-505C-4BC7-AD70-65857F9FA977}"/>
    <cellStyle name="Normal 5 2 8 3" xfId="5606" xr:uid="{00000000-0005-0000-0000-000065190000}"/>
    <cellStyle name="Normal 5 2 8 3 2" xfId="30938" xr:uid="{A04BFF32-73AA-4ED9-ABF0-A984F1C27F81}"/>
    <cellStyle name="Normal 5 2 8 3 3" xfId="22497" xr:uid="{085F313B-D7CE-4495-8455-AF28A6328A94}"/>
    <cellStyle name="Normal 5 2 8 3 4" xfId="14056" xr:uid="{E635FB42-B506-4004-9876-6726DE799708}"/>
    <cellStyle name="Normal 5 2 8 4" xfId="26720" xr:uid="{5E7FC9B7-4984-4956-ACF4-01E18C359E40}"/>
    <cellStyle name="Normal 5 2 8 5" xfId="18279" xr:uid="{09B37C7E-5E76-4096-97EE-54B1D5299446}"/>
    <cellStyle name="Normal 5 2 8 6" xfId="9838" xr:uid="{FEC1D9FE-9616-40DC-B5B6-C8FE390B45C6}"/>
    <cellStyle name="Normal 5 2 9" xfId="1712" xr:uid="{00000000-0005-0000-0000-000066190000}"/>
    <cellStyle name="Normal 5 2 9 2" xfId="3942" xr:uid="{00000000-0005-0000-0000-000067190000}"/>
    <cellStyle name="Normal 5 2 9 2 2" xfId="8164" xr:uid="{00000000-0005-0000-0000-000068190000}"/>
    <cellStyle name="Normal 5 2 9 2 2 2" xfId="33496" xr:uid="{CDA66EFA-BAEE-4F9F-87C0-8CC83ECFBC6A}"/>
    <cellStyle name="Normal 5 2 9 2 2 3" xfId="25055" xr:uid="{A7E4C222-3070-4876-8F8C-08B64FB21C6B}"/>
    <cellStyle name="Normal 5 2 9 2 2 4" xfId="16614" xr:uid="{EA650C7C-3DF7-41B2-8933-3B92CAC42266}"/>
    <cellStyle name="Normal 5 2 9 2 3" xfId="29278" xr:uid="{A0D2A4BC-F08A-4641-B90D-0AEEF0D54CA0}"/>
    <cellStyle name="Normal 5 2 9 2 4" xfId="20837" xr:uid="{CE22F716-A911-49D8-A973-8469E06348F5}"/>
    <cellStyle name="Normal 5 2 9 2 5" xfId="12396" xr:uid="{624990CB-A29F-467C-B3E3-83FD8A736FE1}"/>
    <cellStyle name="Normal 5 2 9 3" xfId="6019" xr:uid="{00000000-0005-0000-0000-000069190000}"/>
    <cellStyle name="Normal 5 2 9 3 2" xfId="31351" xr:uid="{26203E98-160A-480D-A918-576DEE977CC7}"/>
    <cellStyle name="Normal 5 2 9 3 3" xfId="22910" xr:uid="{27212152-50E7-4D8D-A524-9E89CE3E3D13}"/>
    <cellStyle name="Normal 5 2 9 3 4" xfId="14469" xr:uid="{D2F62370-F083-4BC3-AE68-52F975751595}"/>
    <cellStyle name="Normal 5 2 9 4" xfId="27133" xr:uid="{35523526-E766-4DD5-BB88-B283FE26EFC6}"/>
    <cellStyle name="Normal 5 2 9 5" xfId="18692" xr:uid="{B71BDC68-953F-47D7-B39A-9438B5135A33}"/>
    <cellStyle name="Normal 5 2 9 6" xfId="10251" xr:uid="{D957EB7F-ED78-41CE-9A6D-9EF6F0A8FC1E}"/>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2 2 2" xfId="33941" xr:uid="{C15BF050-61C3-47EC-BFE1-625DCAAD7174}"/>
    <cellStyle name="Normal 5 3 10 2 2 3" xfId="25500" xr:uid="{6A1E4BE3-5FA5-4462-95C7-B8071F592CB4}"/>
    <cellStyle name="Normal 5 3 10 2 2 4" xfId="17059" xr:uid="{F9DCF08D-F3E5-4B31-B716-0CA5F8813DD7}"/>
    <cellStyle name="Normal 5 3 10 2 3" xfId="29723" xr:uid="{E30736DC-F6FE-44F3-A8F4-81994A5C8583}"/>
    <cellStyle name="Normal 5 3 10 2 4" xfId="21282" xr:uid="{BAA19FE0-D13E-4EAF-A635-49F23A3194D7}"/>
    <cellStyle name="Normal 5 3 10 2 5" xfId="12841" xr:uid="{80CB2ECD-83F6-432F-90F5-72CADD0204DF}"/>
    <cellStyle name="Normal 5 3 10 3" xfId="6464" xr:uid="{00000000-0005-0000-0000-00006E190000}"/>
    <cellStyle name="Normal 5 3 10 3 2" xfId="31796" xr:uid="{BA0E26F7-D034-489D-A5DB-02BD22CF633D}"/>
    <cellStyle name="Normal 5 3 10 3 3" xfId="23355" xr:uid="{2ADFF016-8CFE-4F16-9247-B3744ACBBCFF}"/>
    <cellStyle name="Normal 5 3 10 3 4" xfId="14914" xr:uid="{F95E7A29-4A4A-4A51-B85C-8314E4AC7CC1}"/>
    <cellStyle name="Normal 5 3 10 4" xfId="27578" xr:uid="{9278C866-3EAE-4F39-8620-73FA8A707912}"/>
    <cellStyle name="Normal 5 3 10 5" xfId="19137" xr:uid="{38A91920-DB38-4F25-8739-08E68177B110}"/>
    <cellStyle name="Normal 5 3 10 6" xfId="10696" xr:uid="{7D4F5AE2-25AA-44BA-82C2-00D314923F97}"/>
    <cellStyle name="Normal 5 3 11" xfId="2594" xr:uid="{00000000-0005-0000-0000-00006F190000}"/>
    <cellStyle name="Normal 5 3 11 2" xfId="6877" xr:uid="{00000000-0005-0000-0000-000070190000}"/>
    <cellStyle name="Normal 5 3 11 2 2" xfId="32209" xr:uid="{F3BBCE6F-4ECF-4876-867F-9BF08E9C14CE}"/>
    <cellStyle name="Normal 5 3 11 2 3" xfId="23768" xr:uid="{AB962CF8-D714-4DB0-8186-D547CEB19D1B}"/>
    <cellStyle name="Normal 5 3 11 2 4" xfId="15327" xr:uid="{8820AFF3-2245-41C9-ACF1-9585C60785B3}"/>
    <cellStyle name="Normal 5 3 11 3" xfId="27991" xr:uid="{35B82E89-63C8-4344-9833-B847F5D877E1}"/>
    <cellStyle name="Normal 5 3 11 4" xfId="19550" xr:uid="{DBFD10EE-1723-4DC2-8F67-81F5F2143DD0}"/>
    <cellStyle name="Normal 5 3 11 5" xfId="11109" xr:uid="{ED6A54FD-820B-40CB-8978-3A6C0EC85CB7}"/>
    <cellStyle name="Normal 5 3 12" xfId="4812" xr:uid="{00000000-0005-0000-0000-000071190000}"/>
    <cellStyle name="Normal 5 3 12 2" xfId="30144" xr:uid="{16D2F919-A9D9-4F2D-A280-3599480D3449}"/>
    <cellStyle name="Normal 5 3 12 3" xfId="21703" xr:uid="{F3FE90C5-3F2C-4764-9BBC-BD5B3DF3473B}"/>
    <cellStyle name="Normal 5 3 12 4" xfId="13262" xr:uid="{1C1AB22F-A61F-4678-B5EE-97193DDAA193}"/>
    <cellStyle name="Normal 5 3 13" xfId="25926" xr:uid="{46B40134-C61A-40C3-B8A2-714406E0F738}"/>
    <cellStyle name="Normal 5 3 14" xfId="17485" xr:uid="{53028F08-CFE2-49D4-90A7-5BAC400F9132}"/>
    <cellStyle name="Normal 5 3 15" xfId="9044" xr:uid="{FB8FA433-6832-497D-9A95-35B05749720B}"/>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0 2" xfId="30145" xr:uid="{425FB15D-2EA4-440E-A841-F51651F88497}"/>
    <cellStyle name="Normal 5 3 3 10 3" xfId="21704" xr:uid="{6027D7AC-0806-47B7-9FFB-169F23619C52}"/>
    <cellStyle name="Normal 5 3 3 10 4" xfId="13263" xr:uid="{537AB0B2-1414-4F7E-AE65-98FF5933102A}"/>
    <cellStyle name="Normal 5 3 3 11" xfId="25927" xr:uid="{8ACF012D-71A2-4720-8175-D311B88AC672}"/>
    <cellStyle name="Normal 5 3 3 12" xfId="17486" xr:uid="{73D43651-2A9E-40AE-809E-D2C8B2F98168}"/>
    <cellStyle name="Normal 5 3 3 13" xfId="9045" xr:uid="{62CE03B2-0F8A-42C6-A368-4FE9DF9B4A3F}"/>
    <cellStyle name="Normal 5 3 3 2" xfId="442" xr:uid="{00000000-0005-0000-0000-000076190000}"/>
    <cellStyle name="Normal 5 3 3 2 10" xfId="25928" xr:uid="{74D08C9B-2FCD-4AE6-BB56-602A21C53290}"/>
    <cellStyle name="Normal 5 3 3 2 11" xfId="17487" xr:uid="{7119076D-34B7-418A-B084-1D8D8B9354B5}"/>
    <cellStyle name="Normal 5 3 3 2 12" xfId="9046" xr:uid="{500F844C-2C4B-462B-8E78-DB17657852DD}"/>
    <cellStyle name="Normal 5 3 3 2 2" xfId="443" xr:uid="{00000000-0005-0000-0000-000077190000}"/>
    <cellStyle name="Normal 5 3 3 2 2 10" xfId="17488" xr:uid="{7752E2B2-BD8E-4CF9-9798-03A19DE6780A}"/>
    <cellStyle name="Normal 5 3 3 2 2 11" xfId="9047" xr:uid="{6A1042FC-363B-43D0-AB21-CBFE3F5E8DF0}"/>
    <cellStyle name="Normal 5 3 3 2 2 2" xfId="444" xr:uid="{00000000-0005-0000-0000-000078190000}"/>
    <cellStyle name="Normal 5 3 3 2 2 2 10" xfId="9048" xr:uid="{0034900A-898B-4A16-8270-2F208654D058}"/>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2 2 2" xfId="32706" xr:uid="{2EF3B6CA-F67A-480C-BBD1-FD0A0746FD97}"/>
    <cellStyle name="Normal 5 3 3 2 2 2 2 2 2 3" xfId="24265" xr:uid="{F411E420-A779-4308-9A6B-F4B11FBB5156}"/>
    <cellStyle name="Normal 5 3 3 2 2 2 2 2 2 4" xfId="15824" xr:uid="{09902888-D378-4BAB-A05E-A1E977038722}"/>
    <cellStyle name="Normal 5 3 3 2 2 2 2 2 3" xfId="28488" xr:uid="{75EC5593-F9D5-4B41-94FE-089E473E21F1}"/>
    <cellStyle name="Normal 5 3 3 2 2 2 2 2 4" xfId="20047" xr:uid="{480B912B-A58D-4AD9-8C24-89DAD7D53FC7}"/>
    <cellStyle name="Normal 5 3 3 2 2 2 2 2 5" xfId="11606" xr:uid="{E7175CD0-FE81-4088-B2F3-2F93D4571A06}"/>
    <cellStyle name="Normal 5 3 3 2 2 2 2 3" xfId="5229" xr:uid="{00000000-0005-0000-0000-00007C190000}"/>
    <cellStyle name="Normal 5 3 3 2 2 2 2 3 2" xfId="30561" xr:uid="{DCDAB4AB-0831-420E-91CE-28057D95BE28}"/>
    <cellStyle name="Normal 5 3 3 2 2 2 2 3 3" xfId="22120" xr:uid="{2EE228E0-B7E0-4D07-ADF6-4BC979A0EA51}"/>
    <cellStyle name="Normal 5 3 3 2 2 2 2 3 4" xfId="13679" xr:uid="{5DC3B5A7-CAB9-465C-B8F1-1887240BF145}"/>
    <cellStyle name="Normal 5 3 3 2 2 2 2 4" xfId="26343" xr:uid="{99AA1A10-470F-4062-8BAB-47CF127BBDB1}"/>
    <cellStyle name="Normal 5 3 3 2 2 2 2 5" xfId="17902" xr:uid="{2EC32315-139F-408F-AC21-805D1476EA12}"/>
    <cellStyle name="Normal 5 3 3 2 2 2 2 6" xfId="9461" xr:uid="{03A13DA7-DE3E-46A3-8180-4167D0B04C4A}"/>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2 2 2" xfId="33119" xr:uid="{3CC02A16-E89A-4A02-9CA7-83BCF2DBE953}"/>
    <cellStyle name="Normal 5 3 3 2 2 2 3 2 2 3" xfId="24678" xr:uid="{E95CDF15-CC2A-49E0-AAED-022A351A5331}"/>
    <cellStyle name="Normal 5 3 3 2 2 2 3 2 2 4" xfId="16237" xr:uid="{570F6FF7-9921-4E53-90ED-AC33026FB98E}"/>
    <cellStyle name="Normal 5 3 3 2 2 2 3 2 3" xfId="28901" xr:uid="{2A1F7CF1-5881-483C-81E3-174213CA37EE}"/>
    <cellStyle name="Normal 5 3 3 2 2 2 3 2 4" xfId="20460" xr:uid="{96B7761C-21C1-46D1-8412-E94D6B3469CE}"/>
    <cellStyle name="Normal 5 3 3 2 2 2 3 2 5" xfId="12019" xr:uid="{9139BCCE-A43D-4BD1-90D2-61E539D350B4}"/>
    <cellStyle name="Normal 5 3 3 2 2 2 3 3" xfId="5642" xr:uid="{00000000-0005-0000-0000-000080190000}"/>
    <cellStyle name="Normal 5 3 3 2 2 2 3 3 2" xfId="30974" xr:uid="{CD046EFB-C456-4023-930F-B3C20485C0AE}"/>
    <cellStyle name="Normal 5 3 3 2 2 2 3 3 3" xfId="22533" xr:uid="{4420245E-E1E7-4BA6-8243-EB333620C6B5}"/>
    <cellStyle name="Normal 5 3 3 2 2 2 3 3 4" xfId="14092" xr:uid="{F1A639CD-A7D8-49EC-BC1B-F1CFAC9801DA}"/>
    <cellStyle name="Normal 5 3 3 2 2 2 3 4" xfId="26756" xr:uid="{0FEB988B-6D28-4792-A49D-18A6CB1CA04F}"/>
    <cellStyle name="Normal 5 3 3 2 2 2 3 5" xfId="18315" xr:uid="{2BB1DDFE-3A49-4B19-A576-DBE8B724057C}"/>
    <cellStyle name="Normal 5 3 3 2 2 2 3 6" xfId="9874" xr:uid="{A197E64F-D30D-4D98-B4B4-58F2460F6974}"/>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2 2 2" xfId="33532" xr:uid="{5BE46010-2AAE-4390-AE99-C183AEFE383E}"/>
    <cellStyle name="Normal 5 3 3 2 2 2 4 2 2 3" xfId="25091" xr:uid="{41012A88-B466-4AD4-82A2-79D97F4EB8BD}"/>
    <cellStyle name="Normal 5 3 3 2 2 2 4 2 2 4" xfId="16650" xr:uid="{9870C074-C458-42A8-97DA-0E8F2A8DEB4C}"/>
    <cellStyle name="Normal 5 3 3 2 2 2 4 2 3" xfId="29314" xr:uid="{4FB48682-7D22-4C8E-B91C-334438D08746}"/>
    <cellStyle name="Normal 5 3 3 2 2 2 4 2 4" xfId="20873" xr:uid="{D9E0C5EB-5E9D-4D4E-8F0E-90D3B9FD2CFE}"/>
    <cellStyle name="Normal 5 3 3 2 2 2 4 2 5" xfId="12432" xr:uid="{EB88FF7F-53F6-45C6-8469-B7793A2B5857}"/>
    <cellStyle name="Normal 5 3 3 2 2 2 4 3" xfId="6055" xr:uid="{00000000-0005-0000-0000-000084190000}"/>
    <cellStyle name="Normal 5 3 3 2 2 2 4 3 2" xfId="31387" xr:uid="{DF8CFB8E-0774-4D4A-8B3E-B8D95C8E84C5}"/>
    <cellStyle name="Normal 5 3 3 2 2 2 4 3 3" xfId="22946" xr:uid="{BF199976-A58D-4CFA-B5BA-DF01D59173CE}"/>
    <cellStyle name="Normal 5 3 3 2 2 2 4 3 4" xfId="14505" xr:uid="{29EA4CD6-BC4C-4475-80FB-E0C5D73568F3}"/>
    <cellStyle name="Normal 5 3 3 2 2 2 4 4" xfId="27169" xr:uid="{8BE68A66-7E74-4703-99EC-1B55DF313DE4}"/>
    <cellStyle name="Normal 5 3 3 2 2 2 4 5" xfId="18728" xr:uid="{A98B91D3-5E76-49EB-AA9F-50FE5C0885AE}"/>
    <cellStyle name="Normal 5 3 3 2 2 2 4 6" xfId="10287" xr:uid="{BA390613-49AB-4AAD-973B-1808006CDCC6}"/>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2 2 2" xfId="33945" xr:uid="{F84910D2-E2A7-4DE3-9F81-64247D3E216A}"/>
    <cellStyle name="Normal 5 3 3 2 2 2 5 2 2 3" xfId="25504" xr:uid="{90FACAD6-FE89-473A-A52F-D2173326B96C}"/>
    <cellStyle name="Normal 5 3 3 2 2 2 5 2 2 4" xfId="17063" xr:uid="{63AA292C-776E-4938-A821-639BEDE14CB3}"/>
    <cellStyle name="Normal 5 3 3 2 2 2 5 2 3" xfId="29727" xr:uid="{4E6626CB-B60E-4170-B0D3-91A0EBB48D3E}"/>
    <cellStyle name="Normal 5 3 3 2 2 2 5 2 4" xfId="21286" xr:uid="{EADCB1A3-B4C1-483D-A302-4B55CA695FC6}"/>
    <cellStyle name="Normal 5 3 3 2 2 2 5 2 5" xfId="12845" xr:uid="{9B9201B9-80C7-4D20-A0EC-60B4BCA16216}"/>
    <cellStyle name="Normal 5 3 3 2 2 2 5 3" xfId="6468" xr:uid="{00000000-0005-0000-0000-000088190000}"/>
    <cellStyle name="Normal 5 3 3 2 2 2 5 3 2" xfId="31800" xr:uid="{1C26ADAD-76A6-47AB-BBD1-A4CB35261D35}"/>
    <cellStyle name="Normal 5 3 3 2 2 2 5 3 3" xfId="23359" xr:uid="{3EF31963-EE91-4DE7-B855-42BE12479B61}"/>
    <cellStyle name="Normal 5 3 3 2 2 2 5 3 4" xfId="14918" xr:uid="{21A20E41-D3F8-4FB4-8D07-3F670A58121C}"/>
    <cellStyle name="Normal 5 3 3 2 2 2 5 4" xfId="27582" xr:uid="{A64E8E61-5784-44A9-9ED8-F5AA536320F1}"/>
    <cellStyle name="Normal 5 3 3 2 2 2 5 5" xfId="19141" xr:uid="{2DF9B893-4FF0-46BB-B970-5ECD9500F27A}"/>
    <cellStyle name="Normal 5 3 3 2 2 2 5 6" xfId="10700" xr:uid="{C26507F8-76D9-4BD3-B9A7-A060B4008F56}"/>
    <cellStyle name="Normal 5 3 3 2 2 2 6" xfId="2598" xr:uid="{00000000-0005-0000-0000-000089190000}"/>
    <cellStyle name="Normal 5 3 3 2 2 2 6 2" xfId="6881" xr:uid="{00000000-0005-0000-0000-00008A190000}"/>
    <cellStyle name="Normal 5 3 3 2 2 2 6 2 2" xfId="32213" xr:uid="{A34CE3C0-4935-498F-ADE2-B3F084FCFF4D}"/>
    <cellStyle name="Normal 5 3 3 2 2 2 6 2 3" xfId="23772" xr:uid="{B13561CD-4961-4BAE-9F5F-EF47ED4E4B4F}"/>
    <cellStyle name="Normal 5 3 3 2 2 2 6 2 4" xfId="15331" xr:uid="{7B545E0B-AE01-424D-A0E0-BB05CEC476E2}"/>
    <cellStyle name="Normal 5 3 3 2 2 2 6 3" xfId="27995" xr:uid="{7E51195C-9B16-4D78-9A41-1064BB518F9D}"/>
    <cellStyle name="Normal 5 3 3 2 2 2 6 4" xfId="19554" xr:uid="{1852B8FB-F85E-4CE0-8D3F-30392324C73F}"/>
    <cellStyle name="Normal 5 3 3 2 2 2 6 5" xfId="11113" xr:uid="{31F070F7-F90E-4A65-9F04-8D30CAF50CFA}"/>
    <cellStyle name="Normal 5 3 3 2 2 2 7" xfId="4816" xr:uid="{00000000-0005-0000-0000-00008B190000}"/>
    <cellStyle name="Normal 5 3 3 2 2 2 7 2" xfId="30148" xr:uid="{E33EE0E6-9873-40F6-A99C-42C3F6CCAE66}"/>
    <cellStyle name="Normal 5 3 3 2 2 2 7 3" xfId="21707" xr:uid="{9A137577-8BE3-4645-B79E-05A392C5194D}"/>
    <cellStyle name="Normal 5 3 3 2 2 2 7 4" xfId="13266" xr:uid="{C6DA952A-6438-4E93-8FF4-90A6F8035BD0}"/>
    <cellStyle name="Normal 5 3 3 2 2 2 8" xfId="25930" xr:uid="{4D387A2A-F8DB-41FF-8F7C-E26E73738741}"/>
    <cellStyle name="Normal 5 3 3 2 2 2 9" xfId="17489" xr:uid="{21B051A7-7D08-47BB-86EF-88D02785C5EC}"/>
    <cellStyle name="Normal 5 3 3 2 2 3" xfId="917" xr:uid="{00000000-0005-0000-0000-00008C190000}"/>
    <cellStyle name="Normal 5 3 3 2 2 3 2" xfId="3151" xr:uid="{00000000-0005-0000-0000-00008D190000}"/>
    <cellStyle name="Normal 5 3 3 2 2 3 2 2" xfId="7373" xr:uid="{00000000-0005-0000-0000-00008E190000}"/>
    <cellStyle name="Normal 5 3 3 2 2 3 2 2 2" xfId="32705" xr:uid="{D36D9F9C-0DB0-4C20-A503-DD2E7E02D064}"/>
    <cellStyle name="Normal 5 3 3 2 2 3 2 2 3" xfId="24264" xr:uid="{6F0443DB-60D8-44E0-BAE0-FAEBE4E23125}"/>
    <cellStyle name="Normal 5 3 3 2 2 3 2 2 4" xfId="15823" xr:uid="{6D89843E-AD07-454A-8502-2685A983D80E}"/>
    <cellStyle name="Normal 5 3 3 2 2 3 2 3" xfId="28487" xr:uid="{5F58E92F-714C-43B8-8CF5-5F5BCB5A405C}"/>
    <cellStyle name="Normal 5 3 3 2 2 3 2 4" xfId="20046" xr:uid="{AC2A7227-E262-4164-979B-14443F08D4CC}"/>
    <cellStyle name="Normal 5 3 3 2 2 3 2 5" xfId="11605" xr:uid="{6A429EB2-B26B-4FC9-A206-AD1BEB726EF6}"/>
    <cellStyle name="Normal 5 3 3 2 2 3 3" xfId="5228" xr:uid="{00000000-0005-0000-0000-00008F190000}"/>
    <cellStyle name="Normal 5 3 3 2 2 3 3 2" xfId="30560" xr:uid="{51040CCC-2684-49DE-8054-084B33C21F67}"/>
    <cellStyle name="Normal 5 3 3 2 2 3 3 3" xfId="22119" xr:uid="{9E6B3CD4-4A38-4493-A9AA-EA9D8B9DDC78}"/>
    <cellStyle name="Normal 5 3 3 2 2 3 3 4" xfId="13678" xr:uid="{6FF39242-8010-4E86-BA4F-7DB1FE54FB68}"/>
    <cellStyle name="Normal 5 3 3 2 2 3 4" xfId="26342" xr:uid="{7881E303-FCAD-42CC-8505-3EE286D16049}"/>
    <cellStyle name="Normal 5 3 3 2 2 3 5" xfId="17901" xr:uid="{A4AFA5C2-AF89-4E26-A2BC-0C71F6CFC0E1}"/>
    <cellStyle name="Normal 5 3 3 2 2 3 6" xfId="9460" xr:uid="{E8674EDC-141A-4744-82F0-668F95D629C2}"/>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2 2 2" xfId="33118" xr:uid="{93B9E4D4-7C43-4930-B051-FE6CFCB628BF}"/>
    <cellStyle name="Normal 5 3 3 2 2 4 2 2 3" xfId="24677" xr:uid="{067792A1-7FB3-42DA-9BF0-87B745FE1E49}"/>
    <cellStyle name="Normal 5 3 3 2 2 4 2 2 4" xfId="16236" xr:uid="{190CACBC-860F-4770-B012-76B5534C725D}"/>
    <cellStyle name="Normal 5 3 3 2 2 4 2 3" xfId="28900" xr:uid="{5CBD8980-7AE1-4B7F-9A6C-15C9C12A8997}"/>
    <cellStyle name="Normal 5 3 3 2 2 4 2 4" xfId="20459" xr:uid="{7500DDCC-ECE7-4DA3-8578-429B4838BD1C}"/>
    <cellStyle name="Normal 5 3 3 2 2 4 2 5" xfId="12018" xr:uid="{E96B692F-B283-4EBE-BE60-B73CDFC46822}"/>
    <cellStyle name="Normal 5 3 3 2 2 4 3" xfId="5641" xr:uid="{00000000-0005-0000-0000-000093190000}"/>
    <cellStyle name="Normal 5 3 3 2 2 4 3 2" xfId="30973" xr:uid="{EAB190D7-46A3-4CCC-9656-E9ECB3EF969C}"/>
    <cellStyle name="Normal 5 3 3 2 2 4 3 3" xfId="22532" xr:uid="{CF916BD3-06BA-45ED-9A8B-AA41D7A6168F}"/>
    <cellStyle name="Normal 5 3 3 2 2 4 3 4" xfId="14091" xr:uid="{77D3931B-DFE5-4663-9938-5893B51C1573}"/>
    <cellStyle name="Normal 5 3 3 2 2 4 4" xfId="26755" xr:uid="{B67F35B2-1B70-4C34-A21E-F79A308B548E}"/>
    <cellStyle name="Normal 5 3 3 2 2 4 5" xfId="18314" xr:uid="{28F7083A-0181-4EDC-A732-3B1DEE6539B4}"/>
    <cellStyle name="Normal 5 3 3 2 2 4 6" xfId="9873" xr:uid="{4C411342-D65E-4D5E-B138-9FE32B331CCA}"/>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2 2 2" xfId="33531" xr:uid="{08C0E9F2-BC71-40C9-BC4A-7D38052778B8}"/>
    <cellStyle name="Normal 5 3 3 2 2 5 2 2 3" xfId="25090" xr:uid="{CEBF2DBE-6967-4049-BD89-6BF1418D7B26}"/>
    <cellStyle name="Normal 5 3 3 2 2 5 2 2 4" xfId="16649" xr:uid="{8BFF5973-749C-4AC1-807E-F28B1FFD34A1}"/>
    <cellStyle name="Normal 5 3 3 2 2 5 2 3" xfId="29313" xr:uid="{A2BC9DE9-CD36-489A-BB53-AACAA8AC9F0A}"/>
    <cellStyle name="Normal 5 3 3 2 2 5 2 4" xfId="20872" xr:uid="{44ACD461-2786-4CC2-BB10-8A0CA9F3E373}"/>
    <cellStyle name="Normal 5 3 3 2 2 5 2 5" xfId="12431" xr:uid="{173B8E10-9F5E-4D67-A30A-9B31AE007BFA}"/>
    <cellStyle name="Normal 5 3 3 2 2 5 3" xfId="6054" xr:uid="{00000000-0005-0000-0000-000097190000}"/>
    <cellStyle name="Normal 5 3 3 2 2 5 3 2" xfId="31386" xr:uid="{129125C4-1C00-4194-99E4-3632B1F87642}"/>
    <cellStyle name="Normal 5 3 3 2 2 5 3 3" xfId="22945" xr:uid="{6D888FF9-BDC7-4712-839B-D0A5D3D4AF7B}"/>
    <cellStyle name="Normal 5 3 3 2 2 5 3 4" xfId="14504" xr:uid="{F944DF7B-643B-47DE-A12E-435A765385E5}"/>
    <cellStyle name="Normal 5 3 3 2 2 5 4" xfId="27168" xr:uid="{DFD610D9-8450-4469-9868-1A0AFC8C406B}"/>
    <cellStyle name="Normal 5 3 3 2 2 5 5" xfId="18727" xr:uid="{DBA7D228-433F-47AF-ADC8-75F79B30B96D}"/>
    <cellStyle name="Normal 5 3 3 2 2 5 6" xfId="10286" xr:uid="{3ECBF88D-B992-4A5E-BAA8-382B22333733}"/>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2 2 2" xfId="33944" xr:uid="{0445398F-C03C-421C-BE44-ED29EFFD53A6}"/>
    <cellStyle name="Normal 5 3 3 2 2 6 2 2 3" xfId="25503" xr:uid="{4195103E-431D-4EF5-BC99-D554FB004F10}"/>
    <cellStyle name="Normal 5 3 3 2 2 6 2 2 4" xfId="17062" xr:uid="{77ED59FA-C08F-4F74-8F31-02F0180A3652}"/>
    <cellStyle name="Normal 5 3 3 2 2 6 2 3" xfId="29726" xr:uid="{3C2F61A7-2B2B-4EC3-BA84-2E602E08ACBF}"/>
    <cellStyle name="Normal 5 3 3 2 2 6 2 4" xfId="21285" xr:uid="{68C00EEF-121F-4121-8346-A7C74017B871}"/>
    <cellStyle name="Normal 5 3 3 2 2 6 2 5" xfId="12844" xr:uid="{87FA64A4-336F-4E5B-A07D-1B9804C213B3}"/>
    <cellStyle name="Normal 5 3 3 2 2 6 3" xfId="6467" xr:uid="{00000000-0005-0000-0000-00009B190000}"/>
    <cellStyle name="Normal 5 3 3 2 2 6 3 2" xfId="31799" xr:uid="{FD51EE7A-DB72-41CF-9F97-0D186F7192F8}"/>
    <cellStyle name="Normal 5 3 3 2 2 6 3 3" xfId="23358" xr:uid="{13022E4B-8212-4A46-95D5-53BE9DB8E177}"/>
    <cellStyle name="Normal 5 3 3 2 2 6 3 4" xfId="14917" xr:uid="{36C82D05-1755-4075-8958-DE5359ED5ACB}"/>
    <cellStyle name="Normal 5 3 3 2 2 6 4" xfId="27581" xr:uid="{4221FD86-BA8B-4F47-A72E-871EBA001551}"/>
    <cellStyle name="Normal 5 3 3 2 2 6 5" xfId="19140" xr:uid="{B9F13059-0B3E-4E60-A291-CB91A9AD12C2}"/>
    <cellStyle name="Normal 5 3 3 2 2 6 6" xfId="10699" xr:uid="{9919CA24-66E9-40BB-8E6A-D91A4BF2632D}"/>
    <cellStyle name="Normal 5 3 3 2 2 7" xfId="2597" xr:uid="{00000000-0005-0000-0000-00009C190000}"/>
    <cellStyle name="Normal 5 3 3 2 2 7 2" xfId="6880" xr:uid="{00000000-0005-0000-0000-00009D190000}"/>
    <cellStyle name="Normal 5 3 3 2 2 7 2 2" xfId="32212" xr:uid="{7E251F27-90D1-4CF4-B325-A7190E6907DE}"/>
    <cellStyle name="Normal 5 3 3 2 2 7 2 3" xfId="23771" xr:uid="{9FE54D3E-DBCA-4411-9F33-EECFCF2F01F3}"/>
    <cellStyle name="Normal 5 3 3 2 2 7 2 4" xfId="15330" xr:uid="{178BB208-7B54-41CB-B4B9-13F2FE95B4B6}"/>
    <cellStyle name="Normal 5 3 3 2 2 7 3" xfId="27994" xr:uid="{B4898F27-31A9-4330-A6E5-BBD9B2ED5717}"/>
    <cellStyle name="Normal 5 3 3 2 2 7 4" xfId="19553" xr:uid="{B7A4D0FC-39C8-4E51-BD40-9690F10E549D}"/>
    <cellStyle name="Normal 5 3 3 2 2 7 5" xfId="11112" xr:uid="{A8B0BFA6-82B3-41FF-838D-62DEC628C3AA}"/>
    <cellStyle name="Normal 5 3 3 2 2 8" xfId="4815" xr:uid="{00000000-0005-0000-0000-00009E190000}"/>
    <cellStyle name="Normal 5 3 3 2 2 8 2" xfId="30147" xr:uid="{A78341E9-1730-4E6B-92C9-172B5AF27E23}"/>
    <cellStyle name="Normal 5 3 3 2 2 8 3" xfId="21706" xr:uid="{DF2A0A77-3183-49AE-A4F5-D3F946544068}"/>
    <cellStyle name="Normal 5 3 3 2 2 8 4" xfId="13265" xr:uid="{1210A137-6DFB-4AE3-A7D2-5FB1E0700748}"/>
    <cellStyle name="Normal 5 3 3 2 2 9" xfId="25929" xr:uid="{583F187D-6EBC-493A-8519-CE1844A2710F}"/>
    <cellStyle name="Normal 5 3 3 2 3" xfId="445" xr:uid="{00000000-0005-0000-0000-00009F190000}"/>
    <cellStyle name="Normal 5 3 3 2 3 10" xfId="9049" xr:uid="{A6C14DCC-B464-418A-894F-4894A241B8EC}"/>
    <cellStyle name="Normal 5 3 3 2 3 2" xfId="919" xr:uid="{00000000-0005-0000-0000-0000A0190000}"/>
    <cellStyle name="Normal 5 3 3 2 3 2 2" xfId="3153" xr:uid="{00000000-0005-0000-0000-0000A1190000}"/>
    <cellStyle name="Normal 5 3 3 2 3 2 2 2" xfId="7375" xr:uid="{00000000-0005-0000-0000-0000A2190000}"/>
    <cellStyle name="Normal 5 3 3 2 3 2 2 2 2" xfId="32707" xr:uid="{E1628C37-1214-4478-AC73-6AE7C3126B27}"/>
    <cellStyle name="Normal 5 3 3 2 3 2 2 2 3" xfId="24266" xr:uid="{C9927CE2-AD5B-4186-AC52-4B0D0456EFBB}"/>
    <cellStyle name="Normal 5 3 3 2 3 2 2 2 4" xfId="15825" xr:uid="{9092E6D9-207B-42DA-A771-F8EF6285FE5C}"/>
    <cellStyle name="Normal 5 3 3 2 3 2 2 3" xfId="28489" xr:uid="{D8AD72E6-2FD0-4161-AD10-5312F7A38E6D}"/>
    <cellStyle name="Normal 5 3 3 2 3 2 2 4" xfId="20048" xr:uid="{4A3D4D07-F924-4BDE-9C13-F32B21979834}"/>
    <cellStyle name="Normal 5 3 3 2 3 2 2 5" xfId="11607" xr:uid="{56D16FBD-2135-4D66-B8B4-44D3156C3CF3}"/>
    <cellStyle name="Normal 5 3 3 2 3 2 3" xfId="5230" xr:uid="{00000000-0005-0000-0000-0000A3190000}"/>
    <cellStyle name="Normal 5 3 3 2 3 2 3 2" xfId="30562" xr:uid="{44663032-CF66-4473-BD33-70B61E37CCB9}"/>
    <cellStyle name="Normal 5 3 3 2 3 2 3 3" xfId="22121" xr:uid="{FD49BEC5-90B8-4E88-AE30-214875468869}"/>
    <cellStyle name="Normal 5 3 3 2 3 2 3 4" xfId="13680" xr:uid="{29D83D73-4EB9-43BB-A04F-D3C5885B1F9F}"/>
    <cellStyle name="Normal 5 3 3 2 3 2 4" xfId="26344" xr:uid="{CA8849E9-5FC3-4143-8BBE-811FE78E86EC}"/>
    <cellStyle name="Normal 5 3 3 2 3 2 5" xfId="17903" xr:uid="{42C7A435-5311-4730-9035-AFF0EB7C2564}"/>
    <cellStyle name="Normal 5 3 3 2 3 2 6" xfId="9462" xr:uid="{59070221-257B-42A8-AF99-300DE25EC926}"/>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2 2 2" xfId="33120" xr:uid="{57704533-CDEE-4E88-8EEE-0D783D2AC482}"/>
    <cellStyle name="Normal 5 3 3 2 3 3 2 2 3" xfId="24679" xr:uid="{AFCAE423-9DCE-4B08-9F36-61FF18ADC8B4}"/>
    <cellStyle name="Normal 5 3 3 2 3 3 2 2 4" xfId="16238" xr:uid="{E8E62002-E399-4862-9E27-2E6630915F7B}"/>
    <cellStyle name="Normal 5 3 3 2 3 3 2 3" xfId="28902" xr:uid="{3C0D2FA8-2AEE-4F2D-AD46-5D6AB4BAFC6B}"/>
    <cellStyle name="Normal 5 3 3 2 3 3 2 4" xfId="20461" xr:uid="{14C72E1C-4242-4C96-B4FA-D712353C0C0C}"/>
    <cellStyle name="Normal 5 3 3 2 3 3 2 5" xfId="12020" xr:uid="{88A42A4D-F1AB-4836-A5B7-17429822A3BC}"/>
    <cellStyle name="Normal 5 3 3 2 3 3 3" xfId="5643" xr:uid="{00000000-0005-0000-0000-0000A7190000}"/>
    <cellStyle name="Normal 5 3 3 2 3 3 3 2" xfId="30975" xr:uid="{473CFF3C-6F4D-4A3C-B816-89AEE3747FA0}"/>
    <cellStyle name="Normal 5 3 3 2 3 3 3 3" xfId="22534" xr:uid="{5E3E7ED1-126D-4D56-8EC0-3A338687AD90}"/>
    <cellStyle name="Normal 5 3 3 2 3 3 3 4" xfId="14093" xr:uid="{5001A322-8FF4-4091-A07C-8EB45A68E181}"/>
    <cellStyle name="Normal 5 3 3 2 3 3 4" xfId="26757" xr:uid="{7C00316A-FDA7-44FF-831F-7165F8993300}"/>
    <cellStyle name="Normal 5 3 3 2 3 3 5" xfId="18316" xr:uid="{AFF5F523-7510-4702-9539-2FE2C0122B64}"/>
    <cellStyle name="Normal 5 3 3 2 3 3 6" xfId="9875" xr:uid="{3F9FB0B8-7961-4BBA-8394-7B1415489815}"/>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2 2 2" xfId="33533" xr:uid="{36FB0E45-461A-49B8-80B8-98CC038890F9}"/>
    <cellStyle name="Normal 5 3 3 2 3 4 2 2 3" xfId="25092" xr:uid="{11EF1239-3AC6-4DC2-B31C-182286E8844E}"/>
    <cellStyle name="Normal 5 3 3 2 3 4 2 2 4" xfId="16651" xr:uid="{1DF0EFAE-05EA-44A5-BAD0-C8E358E0E058}"/>
    <cellStyle name="Normal 5 3 3 2 3 4 2 3" xfId="29315" xr:uid="{A08EAE94-B649-471D-9533-6FA3E88100A5}"/>
    <cellStyle name="Normal 5 3 3 2 3 4 2 4" xfId="20874" xr:uid="{CE0F3260-B0AA-4E20-A088-FF96FF784A2A}"/>
    <cellStyle name="Normal 5 3 3 2 3 4 2 5" xfId="12433" xr:uid="{733DECBC-422E-435C-9661-6443911411F0}"/>
    <cellStyle name="Normal 5 3 3 2 3 4 3" xfId="6056" xr:uid="{00000000-0005-0000-0000-0000AB190000}"/>
    <cellStyle name="Normal 5 3 3 2 3 4 3 2" xfId="31388" xr:uid="{98D9FC5C-ED89-415C-A276-BB119BD7D666}"/>
    <cellStyle name="Normal 5 3 3 2 3 4 3 3" xfId="22947" xr:uid="{7DB98228-B090-4887-9494-3FB201E880BD}"/>
    <cellStyle name="Normal 5 3 3 2 3 4 3 4" xfId="14506" xr:uid="{A958E764-B417-46BD-A645-4631A05DF49F}"/>
    <cellStyle name="Normal 5 3 3 2 3 4 4" xfId="27170" xr:uid="{313E42EB-D0E6-47A5-B371-9EA79AF77113}"/>
    <cellStyle name="Normal 5 3 3 2 3 4 5" xfId="18729" xr:uid="{E8A2A455-0554-40EC-8144-A8DE42F7EF8E}"/>
    <cellStyle name="Normal 5 3 3 2 3 4 6" xfId="10288" xr:uid="{497CD3CE-6B37-45E0-8704-6CC09F1ED069}"/>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2 2 2" xfId="33946" xr:uid="{F1639A05-1592-4D97-B1CF-7A8507010448}"/>
    <cellStyle name="Normal 5 3 3 2 3 5 2 2 3" xfId="25505" xr:uid="{BD235A34-BD45-4140-BFBE-A824B5670F4D}"/>
    <cellStyle name="Normal 5 3 3 2 3 5 2 2 4" xfId="17064" xr:uid="{753DBA16-5576-4696-95B4-1ECDA7EE0D25}"/>
    <cellStyle name="Normal 5 3 3 2 3 5 2 3" xfId="29728" xr:uid="{12775999-EFC1-4973-A44C-C0D33C40916B}"/>
    <cellStyle name="Normal 5 3 3 2 3 5 2 4" xfId="21287" xr:uid="{455EF9B4-D9ED-48F3-A6C3-72A87659416F}"/>
    <cellStyle name="Normal 5 3 3 2 3 5 2 5" xfId="12846" xr:uid="{BE887F6B-75E1-4D81-9FEF-F0D0DD7C27D3}"/>
    <cellStyle name="Normal 5 3 3 2 3 5 3" xfId="6469" xr:uid="{00000000-0005-0000-0000-0000AF190000}"/>
    <cellStyle name="Normal 5 3 3 2 3 5 3 2" xfId="31801" xr:uid="{B19CE093-E110-45DF-A4B3-D634A630495F}"/>
    <cellStyle name="Normal 5 3 3 2 3 5 3 3" xfId="23360" xr:uid="{8E7D9B84-4069-464A-9091-D3A48E2A36B4}"/>
    <cellStyle name="Normal 5 3 3 2 3 5 3 4" xfId="14919" xr:uid="{223C4566-D931-47D5-8782-78DB84768639}"/>
    <cellStyle name="Normal 5 3 3 2 3 5 4" xfId="27583" xr:uid="{9B63829D-6721-438D-8EEF-B6160A0A0869}"/>
    <cellStyle name="Normal 5 3 3 2 3 5 5" xfId="19142" xr:uid="{D9F4846E-929D-4CCE-88BD-7A9D96429768}"/>
    <cellStyle name="Normal 5 3 3 2 3 5 6" xfId="10701" xr:uid="{1B5D40EB-2B67-406B-8155-72184237FC10}"/>
    <cellStyle name="Normal 5 3 3 2 3 6" xfId="2599" xr:uid="{00000000-0005-0000-0000-0000B0190000}"/>
    <cellStyle name="Normal 5 3 3 2 3 6 2" xfId="6882" xr:uid="{00000000-0005-0000-0000-0000B1190000}"/>
    <cellStyle name="Normal 5 3 3 2 3 6 2 2" xfId="32214" xr:uid="{0C0F24E7-D449-4507-8133-4DC16902E8B0}"/>
    <cellStyle name="Normal 5 3 3 2 3 6 2 3" xfId="23773" xr:uid="{9545A403-D84A-416D-8589-BC021FBB1AEE}"/>
    <cellStyle name="Normal 5 3 3 2 3 6 2 4" xfId="15332" xr:uid="{424DECBB-FB34-4273-837C-2F9FC4723CF7}"/>
    <cellStyle name="Normal 5 3 3 2 3 6 3" xfId="27996" xr:uid="{D31E5A2E-96D6-4EC9-B7F0-D1822EFDBAF1}"/>
    <cellStyle name="Normal 5 3 3 2 3 6 4" xfId="19555" xr:uid="{38429D6B-B93B-4749-BEAF-65A05A896BF3}"/>
    <cellStyle name="Normal 5 3 3 2 3 6 5" xfId="11114" xr:uid="{A9C85C10-2152-4372-B084-5F2D27D9F6E2}"/>
    <cellStyle name="Normal 5 3 3 2 3 7" xfId="4817" xr:uid="{00000000-0005-0000-0000-0000B2190000}"/>
    <cellStyle name="Normal 5 3 3 2 3 7 2" xfId="30149" xr:uid="{6A4D47E0-5408-4357-A5A5-E7632254AEE8}"/>
    <cellStyle name="Normal 5 3 3 2 3 7 3" xfId="21708" xr:uid="{42CEB058-A721-4C3D-B6D2-C234109DAC70}"/>
    <cellStyle name="Normal 5 3 3 2 3 7 4" xfId="13267" xr:uid="{F000E6E0-64F5-44F8-AC76-38B195BB3850}"/>
    <cellStyle name="Normal 5 3 3 2 3 8" xfId="25931" xr:uid="{66F567E8-2CA5-4359-8297-9AC1B5C7A20A}"/>
    <cellStyle name="Normal 5 3 3 2 3 9" xfId="17490" xr:uid="{208516FB-27E3-4940-8172-210A807EC3D4}"/>
    <cellStyle name="Normal 5 3 3 2 4" xfId="916" xr:uid="{00000000-0005-0000-0000-0000B3190000}"/>
    <cellStyle name="Normal 5 3 3 2 4 2" xfId="3150" xr:uid="{00000000-0005-0000-0000-0000B4190000}"/>
    <cellStyle name="Normal 5 3 3 2 4 2 2" xfId="7372" xr:uid="{00000000-0005-0000-0000-0000B5190000}"/>
    <cellStyle name="Normal 5 3 3 2 4 2 2 2" xfId="32704" xr:uid="{F8412BBC-FFDD-4B42-9D17-A8D1D3E07EC1}"/>
    <cellStyle name="Normal 5 3 3 2 4 2 2 3" xfId="24263" xr:uid="{A405A82E-CD07-4B45-88EB-90471835638C}"/>
    <cellStyle name="Normal 5 3 3 2 4 2 2 4" xfId="15822" xr:uid="{A6A21801-74C4-4CD8-90C9-5F284354DEDE}"/>
    <cellStyle name="Normal 5 3 3 2 4 2 3" xfId="28486" xr:uid="{2F1ACD32-70EF-4F8D-A0AF-604F1C684DAD}"/>
    <cellStyle name="Normal 5 3 3 2 4 2 4" xfId="20045" xr:uid="{A575477F-8B48-4C53-B2D4-3D9842347EF3}"/>
    <cellStyle name="Normal 5 3 3 2 4 2 5" xfId="11604" xr:uid="{6E0DDD62-ECF3-4EFE-AB68-93DDD7EDBC61}"/>
    <cellStyle name="Normal 5 3 3 2 4 3" xfId="5227" xr:uid="{00000000-0005-0000-0000-0000B6190000}"/>
    <cellStyle name="Normal 5 3 3 2 4 3 2" xfId="30559" xr:uid="{A5688E3D-A2FE-457F-963F-C4C418A008AD}"/>
    <cellStyle name="Normal 5 3 3 2 4 3 3" xfId="22118" xr:uid="{50E22D93-3918-41A1-A692-4B4397523F2A}"/>
    <cellStyle name="Normal 5 3 3 2 4 3 4" xfId="13677" xr:uid="{53D6ADCC-4E1F-4EA0-8F97-B77DF4E5284C}"/>
    <cellStyle name="Normal 5 3 3 2 4 4" xfId="26341" xr:uid="{E88FA8F7-6ABE-45B4-B896-AB9A4315C5BB}"/>
    <cellStyle name="Normal 5 3 3 2 4 5" xfId="17900" xr:uid="{3AED5698-7737-419F-8146-A82D3C531103}"/>
    <cellStyle name="Normal 5 3 3 2 4 6" xfId="9459" xr:uid="{B7E6DB15-2A93-4CA1-BA27-25CD75AD5D2C}"/>
    <cellStyle name="Normal 5 3 3 2 5" xfId="1333" xr:uid="{00000000-0005-0000-0000-0000B7190000}"/>
    <cellStyle name="Normal 5 3 3 2 5 2" xfId="3563" xr:uid="{00000000-0005-0000-0000-0000B8190000}"/>
    <cellStyle name="Normal 5 3 3 2 5 2 2" xfId="7785" xr:uid="{00000000-0005-0000-0000-0000B9190000}"/>
    <cellStyle name="Normal 5 3 3 2 5 2 2 2" xfId="33117" xr:uid="{B11438B7-FA1C-40D1-9A55-632D8AE2FA0D}"/>
    <cellStyle name="Normal 5 3 3 2 5 2 2 3" xfId="24676" xr:uid="{F1AACDAB-32AE-42AE-8100-9826199FDDF7}"/>
    <cellStyle name="Normal 5 3 3 2 5 2 2 4" xfId="16235" xr:uid="{1390F026-FE54-49DC-9AE0-3651078BE189}"/>
    <cellStyle name="Normal 5 3 3 2 5 2 3" xfId="28899" xr:uid="{C6420A94-5CAC-45DA-8578-4E1AF4F4EA59}"/>
    <cellStyle name="Normal 5 3 3 2 5 2 4" xfId="20458" xr:uid="{21124F98-9318-4BD7-BB28-32BB32C0BD32}"/>
    <cellStyle name="Normal 5 3 3 2 5 2 5" xfId="12017" xr:uid="{14EE41C7-0339-4A48-8B8A-AEE6F6BF2708}"/>
    <cellStyle name="Normal 5 3 3 2 5 3" xfId="5640" xr:uid="{00000000-0005-0000-0000-0000BA190000}"/>
    <cellStyle name="Normal 5 3 3 2 5 3 2" xfId="30972" xr:uid="{904F00BB-F6F9-4112-BBA5-DA779A6C3619}"/>
    <cellStyle name="Normal 5 3 3 2 5 3 3" xfId="22531" xr:uid="{7EC38D02-D036-4B27-A5AC-DA20FCDF058E}"/>
    <cellStyle name="Normal 5 3 3 2 5 3 4" xfId="14090" xr:uid="{487E8466-DFBF-4FE4-A264-FE570B1577A4}"/>
    <cellStyle name="Normal 5 3 3 2 5 4" xfId="26754" xr:uid="{430F00A5-57E0-4985-BA55-E3E36793A76F}"/>
    <cellStyle name="Normal 5 3 3 2 5 5" xfId="18313" xr:uid="{27372EF0-E33E-428C-81EB-F8D4ADDFC595}"/>
    <cellStyle name="Normal 5 3 3 2 5 6" xfId="9872" xr:uid="{EAA40E71-C56A-4398-8353-8E7A7EA7294E}"/>
    <cellStyle name="Normal 5 3 3 2 6" xfId="1746" xr:uid="{00000000-0005-0000-0000-0000BB190000}"/>
    <cellStyle name="Normal 5 3 3 2 6 2" xfId="3976" xr:uid="{00000000-0005-0000-0000-0000BC190000}"/>
    <cellStyle name="Normal 5 3 3 2 6 2 2" xfId="8198" xr:uid="{00000000-0005-0000-0000-0000BD190000}"/>
    <cellStyle name="Normal 5 3 3 2 6 2 2 2" xfId="33530" xr:uid="{7B27F291-3DCE-4302-8673-499F3EF6C92F}"/>
    <cellStyle name="Normal 5 3 3 2 6 2 2 3" xfId="25089" xr:uid="{6DC2FBCB-F46A-478A-BC7D-F8C777E036C5}"/>
    <cellStyle name="Normal 5 3 3 2 6 2 2 4" xfId="16648" xr:uid="{0538BC06-270F-47E2-8852-52A5AF72A3A0}"/>
    <cellStyle name="Normal 5 3 3 2 6 2 3" xfId="29312" xr:uid="{84747DFC-52CF-4360-AA7B-A69953A9216A}"/>
    <cellStyle name="Normal 5 3 3 2 6 2 4" xfId="20871" xr:uid="{DDB665F6-97ED-4558-9A41-DB6053EC14C3}"/>
    <cellStyle name="Normal 5 3 3 2 6 2 5" xfId="12430" xr:uid="{0F71A079-E8B8-42B3-B884-5BB44E675DDD}"/>
    <cellStyle name="Normal 5 3 3 2 6 3" xfId="6053" xr:uid="{00000000-0005-0000-0000-0000BE190000}"/>
    <cellStyle name="Normal 5 3 3 2 6 3 2" xfId="31385" xr:uid="{D2245922-F36E-461B-967D-5182C2A7A548}"/>
    <cellStyle name="Normal 5 3 3 2 6 3 3" xfId="22944" xr:uid="{29CED168-8A75-4449-B255-F6BA51791061}"/>
    <cellStyle name="Normal 5 3 3 2 6 3 4" xfId="14503" xr:uid="{5BACA765-3496-4E51-A16E-23A478BA65A7}"/>
    <cellStyle name="Normal 5 3 3 2 6 4" xfId="27167" xr:uid="{9E4F8EC4-9A42-4F41-ACED-8D9ADBA81446}"/>
    <cellStyle name="Normal 5 3 3 2 6 5" xfId="18726" xr:uid="{A4305B8B-88E8-4032-AD0F-8C17BA97B67A}"/>
    <cellStyle name="Normal 5 3 3 2 6 6" xfId="10285" xr:uid="{57E98436-425D-4575-B4D2-02BF4C3A95FB}"/>
    <cellStyle name="Normal 5 3 3 2 7" xfId="2160" xr:uid="{00000000-0005-0000-0000-0000BF190000}"/>
    <cellStyle name="Normal 5 3 3 2 7 2" xfId="4389" xr:uid="{00000000-0005-0000-0000-0000C0190000}"/>
    <cellStyle name="Normal 5 3 3 2 7 2 2" xfId="8611" xr:uid="{00000000-0005-0000-0000-0000C1190000}"/>
    <cellStyle name="Normal 5 3 3 2 7 2 2 2" xfId="33943" xr:uid="{41811982-2A5C-4091-A79C-8BC33A182420}"/>
    <cellStyle name="Normal 5 3 3 2 7 2 2 3" xfId="25502" xr:uid="{76D2821E-B644-4E9F-AB62-0EC305F9D18C}"/>
    <cellStyle name="Normal 5 3 3 2 7 2 2 4" xfId="17061" xr:uid="{7AD28522-1F91-417A-9DF1-DD8BEE3D5AAE}"/>
    <cellStyle name="Normal 5 3 3 2 7 2 3" xfId="29725" xr:uid="{17800830-1B3C-4486-8C61-F7397C34DE00}"/>
    <cellStyle name="Normal 5 3 3 2 7 2 4" xfId="21284" xr:uid="{94700DC3-0BA3-4748-9149-68304A4F5944}"/>
    <cellStyle name="Normal 5 3 3 2 7 2 5" xfId="12843" xr:uid="{9E753ED2-DA79-4B83-AF34-3E626A5AB13F}"/>
    <cellStyle name="Normal 5 3 3 2 7 3" xfId="6466" xr:uid="{00000000-0005-0000-0000-0000C2190000}"/>
    <cellStyle name="Normal 5 3 3 2 7 3 2" xfId="31798" xr:uid="{B080860E-BDAB-4AE2-9542-EA11CD90E4DA}"/>
    <cellStyle name="Normal 5 3 3 2 7 3 3" xfId="23357" xr:uid="{B507ACF3-5C47-4FD3-A699-25AE2C069986}"/>
    <cellStyle name="Normal 5 3 3 2 7 3 4" xfId="14916" xr:uid="{8C47E72C-8ED8-4DFA-B444-D3106554A79F}"/>
    <cellStyle name="Normal 5 3 3 2 7 4" xfId="27580" xr:uid="{412DF7E9-2F72-4ED0-81A4-3AC3444CDCC3}"/>
    <cellStyle name="Normal 5 3 3 2 7 5" xfId="19139" xr:uid="{D1C4B76D-B386-4546-91D3-0C78B21BD309}"/>
    <cellStyle name="Normal 5 3 3 2 7 6" xfId="10698" xr:uid="{B0508D7C-2F06-4485-ADA0-B323728963CF}"/>
    <cellStyle name="Normal 5 3 3 2 8" xfId="2596" xr:uid="{00000000-0005-0000-0000-0000C3190000}"/>
    <cellStyle name="Normal 5 3 3 2 8 2" xfId="6879" xr:uid="{00000000-0005-0000-0000-0000C4190000}"/>
    <cellStyle name="Normal 5 3 3 2 8 2 2" xfId="32211" xr:uid="{86F9A3DE-6328-4852-AF91-9F4B812AD860}"/>
    <cellStyle name="Normal 5 3 3 2 8 2 3" xfId="23770" xr:uid="{A6E0D8FC-029F-45E6-B069-8EAEB67896E0}"/>
    <cellStyle name="Normal 5 3 3 2 8 2 4" xfId="15329" xr:uid="{8F347E7B-5B46-434B-8999-8C178D499B60}"/>
    <cellStyle name="Normal 5 3 3 2 8 3" xfId="27993" xr:uid="{7941CA3E-9623-442B-9335-9380393E1CE5}"/>
    <cellStyle name="Normal 5 3 3 2 8 4" xfId="19552" xr:uid="{83336BA5-7545-4005-AECC-34095E907ADC}"/>
    <cellStyle name="Normal 5 3 3 2 8 5" xfId="11111" xr:uid="{E0A8BBA7-81F2-451B-BFE7-A735A5A111C9}"/>
    <cellStyle name="Normal 5 3 3 2 9" xfId="4814" xr:uid="{00000000-0005-0000-0000-0000C5190000}"/>
    <cellStyle name="Normal 5 3 3 2 9 2" xfId="30146" xr:uid="{7750AF71-882F-497A-9A65-3E6EE0F61474}"/>
    <cellStyle name="Normal 5 3 3 2 9 3" xfId="21705" xr:uid="{416C7E9D-DB55-4728-9DBB-CD1C1D803318}"/>
    <cellStyle name="Normal 5 3 3 2 9 4" xfId="13264" xr:uid="{CB2928C0-784E-441A-9F1C-B399190F18A0}"/>
    <cellStyle name="Normal 5 3 3 3" xfId="446" xr:uid="{00000000-0005-0000-0000-0000C6190000}"/>
    <cellStyle name="Normal 5 3 3 3 10" xfId="17491" xr:uid="{F2B1DDA2-631D-4282-9D79-61E655423FE9}"/>
    <cellStyle name="Normal 5 3 3 3 11" xfId="9050" xr:uid="{9A553BF9-5D62-46DE-B89B-273BD0E5F950}"/>
    <cellStyle name="Normal 5 3 3 3 2" xfId="447" xr:uid="{00000000-0005-0000-0000-0000C7190000}"/>
    <cellStyle name="Normal 5 3 3 3 2 10" xfId="9051" xr:uid="{CC1D1D71-25B0-4053-847E-A018453FF635}"/>
    <cellStyle name="Normal 5 3 3 3 2 2" xfId="921" xr:uid="{00000000-0005-0000-0000-0000C8190000}"/>
    <cellStyle name="Normal 5 3 3 3 2 2 2" xfId="3155" xr:uid="{00000000-0005-0000-0000-0000C9190000}"/>
    <cellStyle name="Normal 5 3 3 3 2 2 2 2" xfId="7377" xr:uid="{00000000-0005-0000-0000-0000CA190000}"/>
    <cellStyle name="Normal 5 3 3 3 2 2 2 2 2" xfId="32709" xr:uid="{A6733280-2170-4D9F-B3EF-B4A9CD01748B}"/>
    <cellStyle name="Normal 5 3 3 3 2 2 2 2 3" xfId="24268" xr:uid="{A686187E-40CB-4524-AEA2-01723A9A43CF}"/>
    <cellStyle name="Normal 5 3 3 3 2 2 2 2 4" xfId="15827" xr:uid="{55E8C38E-4E23-4F2A-8594-0ED028FCF20A}"/>
    <cellStyle name="Normal 5 3 3 3 2 2 2 3" xfId="28491" xr:uid="{0D0E6E32-1AA7-435D-9738-AD163F4071F9}"/>
    <cellStyle name="Normal 5 3 3 3 2 2 2 4" xfId="20050" xr:uid="{C6DA1050-4597-486D-ADB4-6DA97D472BD9}"/>
    <cellStyle name="Normal 5 3 3 3 2 2 2 5" xfId="11609" xr:uid="{E62FDB21-960D-49FC-AC55-5F79BF71FE06}"/>
    <cellStyle name="Normal 5 3 3 3 2 2 3" xfId="5232" xr:uid="{00000000-0005-0000-0000-0000CB190000}"/>
    <cellStyle name="Normal 5 3 3 3 2 2 3 2" xfId="30564" xr:uid="{E57B4535-1D7D-44A7-9FB9-0BC0FB6D77E0}"/>
    <cellStyle name="Normal 5 3 3 3 2 2 3 3" xfId="22123" xr:uid="{58CB89ED-20D1-4C97-A942-42DF320BAA84}"/>
    <cellStyle name="Normal 5 3 3 3 2 2 3 4" xfId="13682" xr:uid="{628C08F9-ED74-492D-88BB-F65678F9C011}"/>
    <cellStyle name="Normal 5 3 3 3 2 2 4" xfId="26346" xr:uid="{8CEB2D60-CCDB-4192-883D-D18B5375F57F}"/>
    <cellStyle name="Normal 5 3 3 3 2 2 5" xfId="17905" xr:uid="{D94847EE-BDFA-48C4-9AF5-4DF3763E2597}"/>
    <cellStyle name="Normal 5 3 3 3 2 2 6" xfId="9464" xr:uid="{D0A022FD-9B60-4B7F-90BA-5FCBFE6215A3}"/>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2 2 2" xfId="33122" xr:uid="{79B7C0EB-B64C-4C84-B0EE-08C9EA4D22C1}"/>
    <cellStyle name="Normal 5 3 3 3 2 3 2 2 3" xfId="24681" xr:uid="{96B73E6E-C691-401A-974F-25D0CBFA3780}"/>
    <cellStyle name="Normal 5 3 3 3 2 3 2 2 4" xfId="16240" xr:uid="{F78490EB-52CF-4FA7-A429-A58153D6A596}"/>
    <cellStyle name="Normal 5 3 3 3 2 3 2 3" xfId="28904" xr:uid="{EF10B53E-9518-4C7A-BF4C-F6A82F90F994}"/>
    <cellStyle name="Normal 5 3 3 3 2 3 2 4" xfId="20463" xr:uid="{0B4807A7-7FBE-4D37-B707-9D54B3FFE611}"/>
    <cellStyle name="Normal 5 3 3 3 2 3 2 5" xfId="12022" xr:uid="{9BE9959B-5A57-43B0-9FA0-94392A29D4C0}"/>
    <cellStyle name="Normal 5 3 3 3 2 3 3" xfId="5645" xr:uid="{00000000-0005-0000-0000-0000CF190000}"/>
    <cellStyle name="Normal 5 3 3 3 2 3 3 2" xfId="30977" xr:uid="{35DA987C-778E-450D-B7AF-564139DA318E}"/>
    <cellStyle name="Normal 5 3 3 3 2 3 3 3" xfId="22536" xr:uid="{0F513876-A783-41C9-9510-AF6A6007DB3B}"/>
    <cellStyle name="Normal 5 3 3 3 2 3 3 4" xfId="14095" xr:uid="{63356AAC-FE46-4844-85ED-14F892250356}"/>
    <cellStyle name="Normal 5 3 3 3 2 3 4" xfId="26759" xr:uid="{50FBF793-41BB-46B9-9D00-9C0082ADD920}"/>
    <cellStyle name="Normal 5 3 3 3 2 3 5" xfId="18318" xr:uid="{80C68584-458A-44B9-B27E-F3FC895E2BC5}"/>
    <cellStyle name="Normal 5 3 3 3 2 3 6" xfId="9877" xr:uid="{93C6ECDE-47FD-4B79-9457-6BC3F63AD34E}"/>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2 2 2" xfId="33535" xr:uid="{F2A8889A-F6C6-40CA-94AA-97FFFA2821D4}"/>
    <cellStyle name="Normal 5 3 3 3 2 4 2 2 3" xfId="25094" xr:uid="{4B7BDE35-2C4A-47B5-B909-E48EDB3B913F}"/>
    <cellStyle name="Normal 5 3 3 3 2 4 2 2 4" xfId="16653" xr:uid="{89C02EB8-D892-46E5-ACD4-77396730F07E}"/>
    <cellStyle name="Normal 5 3 3 3 2 4 2 3" xfId="29317" xr:uid="{659ADF33-57CF-4D63-A8B2-963FDB8EEC33}"/>
    <cellStyle name="Normal 5 3 3 3 2 4 2 4" xfId="20876" xr:uid="{6F22D842-0157-429D-8941-1B77F2D3CAAD}"/>
    <cellStyle name="Normal 5 3 3 3 2 4 2 5" xfId="12435" xr:uid="{0583FD57-21BB-4011-9DB3-7C72AF604B77}"/>
    <cellStyle name="Normal 5 3 3 3 2 4 3" xfId="6058" xr:uid="{00000000-0005-0000-0000-0000D3190000}"/>
    <cellStyle name="Normal 5 3 3 3 2 4 3 2" xfId="31390" xr:uid="{B81E1745-A9B1-46C5-8CE4-F4C091805F58}"/>
    <cellStyle name="Normal 5 3 3 3 2 4 3 3" xfId="22949" xr:uid="{C3A2B040-AAA9-49D0-86AE-5A21D7A49CDE}"/>
    <cellStyle name="Normal 5 3 3 3 2 4 3 4" xfId="14508" xr:uid="{09E0C02A-B13C-406B-9CA4-AEB1AD2B29A2}"/>
    <cellStyle name="Normal 5 3 3 3 2 4 4" xfId="27172" xr:uid="{57210F57-03BA-4D93-8051-6B7E7A4638D0}"/>
    <cellStyle name="Normal 5 3 3 3 2 4 5" xfId="18731" xr:uid="{1A3147E7-63DD-4EC4-9868-C31C20309D02}"/>
    <cellStyle name="Normal 5 3 3 3 2 4 6" xfId="10290" xr:uid="{82B5F52D-9A7B-4C95-A5CE-9478F905407D}"/>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2 2 2" xfId="33948" xr:uid="{2A548BCD-9015-4A64-924A-21F6E6D8C4B1}"/>
    <cellStyle name="Normal 5 3 3 3 2 5 2 2 3" xfId="25507" xr:uid="{4DDBED59-56B3-442A-AE70-B5B306515C2A}"/>
    <cellStyle name="Normal 5 3 3 3 2 5 2 2 4" xfId="17066" xr:uid="{7BA741F1-1401-4B91-9AD2-A6ACB5ED2386}"/>
    <cellStyle name="Normal 5 3 3 3 2 5 2 3" xfId="29730" xr:uid="{4568B80F-1088-4C85-AF21-43058B5C7EAA}"/>
    <cellStyle name="Normal 5 3 3 3 2 5 2 4" xfId="21289" xr:uid="{AD1D2ABF-4C83-426E-884F-666696F91AB8}"/>
    <cellStyle name="Normal 5 3 3 3 2 5 2 5" xfId="12848" xr:uid="{EC583851-C9D2-4512-8BD5-1EB42333AE05}"/>
    <cellStyle name="Normal 5 3 3 3 2 5 3" xfId="6471" xr:uid="{00000000-0005-0000-0000-0000D7190000}"/>
    <cellStyle name="Normal 5 3 3 3 2 5 3 2" xfId="31803" xr:uid="{0F93626F-B789-41FC-AE05-0C3B52159324}"/>
    <cellStyle name="Normal 5 3 3 3 2 5 3 3" xfId="23362" xr:uid="{925CA4F7-2C77-4529-A160-DE90A8295402}"/>
    <cellStyle name="Normal 5 3 3 3 2 5 3 4" xfId="14921" xr:uid="{60043DD4-EAA9-4925-A8A9-362D1CB9A821}"/>
    <cellStyle name="Normal 5 3 3 3 2 5 4" xfId="27585" xr:uid="{DFC99E54-55CC-478B-B316-D0C55C36DC41}"/>
    <cellStyle name="Normal 5 3 3 3 2 5 5" xfId="19144" xr:uid="{2FC509FA-CD1B-4883-8F78-DDA3A8C22F98}"/>
    <cellStyle name="Normal 5 3 3 3 2 5 6" xfId="10703" xr:uid="{2AC5FCE9-5BF7-426C-8F59-F8023B486B9A}"/>
    <cellStyle name="Normal 5 3 3 3 2 6" xfId="2601" xr:uid="{00000000-0005-0000-0000-0000D8190000}"/>
    <cellStyle name="Normal 5 3 3 3 2 6 2" xfId="6884" xr:uid="{00000000-0005-0000-0000-0000D9190000}"/>
    <cellStyle name="Normal 5 3 3 3 2 6 2 2" xfId="32216" xr:uid="{E7BE1683-0E2C-4381-BEFA-F66752161058}"/>
    <cellStyle name="Normal 5 3 3 3 2 6 2 3" xfId="23775" xr:uid="{15BA9B3B-05B9-47C7-87D4-81682A405BC1}"/>
    <cellStyle name="Normal 5 3 3 3 2 6 2 4" xfId="15334" xr:uid="{171FBB80-EE3D-47CE-9433-BCB64E20AC84}"/>
    <cellStyle name="Normal 5 3 3 3 2 6 3" xfId="27998" xr:uid="{B8DEFF2D-DB5D-4529-B8D3-2507AFEECE27}"/>
    <cellStyle name="Normal 5 3 3 3 2 6 4" xfId="19557" xr:uid="{3E42096E-D364-4EF2-BB88-923A608CC235}"/>
    <cellStyle name="Normal 5 3 3 3 2 6 5" xfId="11116" xr:uid="{ACC9DF47-F15A-48D9-B36C-805CFE0A7220}"/>
    <cellStyle name="Normal 5 3 3 3 2 7" xfId="4819" xr:uid="{00000000-0005-0000-0000-0000DA190000}"/>
    <cellStyle name="Normal 5 3 3 3 2 7 2" xfId="30151" xr:uid="{C38E781D-4C1F-4A84-ADDE-8F76C281EF9C}"/>
    <cellStyle name="Normal 5 3 3 3 2 7 3" xfId="21710" xr:uid="{B616DC7A-BA8F-480A-AC2B-2AE0041553D2}"/>
    <cellStyle name="Normal 5 3 3 3 2 7 4" xfId="13269" xr:uid="{78268555-47ED-4613-9B31-304C274EEEE5}"/>
    <cellStyle name="Normal 5 3 3 3 2 8" xfId="25933" xr:uid="{EF6DEC28-EED5-412F-9F9E-9FBC45E073C9}"/>
    <cellStyle name="Normal 5 3 3 3 2 9" xfId="17492" xr:uid="{3FA00B93-4EB4-4F13-A4E1-60B284F53A08}"/>
    <cellStyle name="Normal 5 3 3 3 3" xfId="920" xr:uid="{00000000-0005-0000-0000-0000DB190000}"/>
    <cellStyle name="Normal 5 3 3 3 3 2" xfId="3154" xr:uid="{00000000-0005-0000-0000-0000DC190000}"/>
    <cellStyle name="Normal 5 3 3 3 3 2 2" xfId="7376" xr:uid="{00000000-0005-0000-0000-0000DD190000}"/>
    <cellStyle name="Normal 5 3 3 3 3 2 2 2" xfId="32708" xr:uid="{1D667413-8A38-4BDD-9A61-8E7BC77B77AE}"/>
    <cellStyle name="Normal 5 3 3 3 3 2 2 3" xfId="24267" xr:uid="{2F4344A2-667F-4A44-B8B7-25291E2659F0}"/>
    <cellStyle name="Normal 5 3 3 3 3 2 2 4" xfId="15826" xr:uid="{A1F6601C-7514-43F4-A04F-9BAB8B813C21}"/>
    <cellStyle name="Normal 5 3 3 3 3 2 3" xfId="28490" xr:uid="{85393560-77B4-4C2B-97CC-1478FAEEFA82}"/>
    <cellStyle name="Normal 5 3 3 3 3 2 4" xfId="20049" xr:uid="{AA51A5F6-7985-4C29-8B49-44C41BEB4756}"/>
    <cellStyle name="Normal 5 3 3 3 3 2 5" xfId="11608" xr:uid="{3BA27E3D-D2DB-45B5-BE6C-DDFE7640BC75}"/>
    <cellStyle name="Normal 5 3 3 3 3 3" xfId="5231" xr:uid="{00000000-0005-0000-0000-0000DE190000}"/>
    <cellStyle name="Normal 5 3 3 3 3 3 2" xfId="30563" xr:uid="{909B3B04-3A0F-4CB6-8D89-C09AAECCAE4D}"/>
    <cellStyle name="Normal 5 3 3 3 3 3 3" xfId="22122" xr:uid="{10149196-E323-4BBE-8F92-53050F20A793}"/>
    <cellStyle name="Normal 5 3 3 3 3 3 4" xfId="13681" xr:uid="{C6ED6183-8D27-4A27-B7A8-7DDCFEC0FA96}"/>
    <cellStyle name="Normal 5 3 3 3 3 4" xfId="26345" xr:uid="{8AB30775-A687-4208-8630-8B3D21C11A8C}"/>
    <cellStyle name="Normal 5 3 3 3 3 5" xfId="17904" xr:uid="{C1AB8CC0-7ACD-47DC-AA67-F4876CB63858}"/>
    <cellStyle name="Normal 5 3 3 3 3 6" xfId="9463" xr:uid="{047644AB-1B44-4341-86C1-93738A98ACE3}"/>
    <cellStyle name="Normal 5 3 3 3 4" xfId="1337" xr:uid="{00000000-0005-0000-0000-0000DF190000}"/>
    <cellStyle name="Normal 5 3 3 3 4 2" xfId="3567" xr:uid="{00000000-0005-0000-0000-0000E0190000}"/>
    <cellStyle name="Normal 5 3 3 3 4 2 2" xfId="7789" xr:uid="{00000000-0005-0000-0000-0000E1190000}"/>
    <cellStyle name="Normal 5 3 3 3 4 2 2 2" xfId="33121" xr:uid="{F425B57D-8AC3-4A56-8AB2-CD3A6355A31E}"/>
    <cellStyle name="Normal 5 3 3 3 4 2 2 3" xfId="24680" xr:uid="{2739DEE8-DBE9-49BF-B7F8-BBD499E4D028}"/>
    <cellStyle name="Normal 5 3 3 3 4 2 2 4" xfId="16239" xr:uid="{2C6F2D1C-A138-472E-A544-C0820F00F219}"/>
    <cellStyle name="Normal 5 3 3 3 4 2 3" xfId="28903" xr:uid="{90513B7A-C3E5-4F66-B4E4-0797A5AF1984}"/>
    <cellStyle name="Normal 5 3 3 3 4 2 4" xfId="20462" xr:uid="{051E876D-E795-47E8-9F59-2FCEA77D6D07}"/>
    <cellStyle name="Normal 5 3 3 3 4 2 5" xfId="12021" xr:uid="{E11A979A-90FF-4C0E-B53F-27C5BEEBC677}"/>
    <cellStyle name="Normal 5 3 3 3 4 3" xfId="5644" xr:uid="{00000000-0005-0000-0000-0000E2190000}"/>
    <cellStyle name="Normal 5 3 3 3 4 3 2" xfId="30976" xr:uid="{012CBE98-18B2-40BF-BCCA-CF1C33734D70}"/>
    <cellStyle name="Normal 5 3 3 3 4 3 3" xfId="22535" xr:uid="{BB1F08F7-5186-4567-8B59-21156BD3B96D}"/>
    <cellStyle name="Normal 5 3 3 3 4 3 4" xfId="14094" xr:uid="{73F76AA2-0B51-4344-841C-83AB787409E1}"/>
    <cellStyle name="Normal 5 3 3 3 4 4" xfId="26758" xr:uid="{F1B37602-44A4-4CB7-A22D-092D2C6CD3DF}"/>
    <cellStyle name="Normal 5 3 3 3 4 5" xfId="18317" xr:uid="{4CAD23CC-3446-4C0D-9D90-6A334D86FF56}"/>
    <cellStyle name="Normal 5 3 3 3 4 6" xfId="9876" xr:uid="{2FB6BC03-8F32-4A50-8F57-5E36BB710193}"/>
    <cellStyle name="Normal 5 3 3 3 5" xfId="1750" xr:uid="{00000000-0005-0000-0000-0000E3190000}"/>
    <cellStyle name="Normal 5 3 3 3 5 2" xfId="3980" xr:uid="{00000000-0005-0000-0000-0000E4190000}"/>
    <cellStyle name="Normal 5 3 3 3 5 2 2" xfId="8202" xr:uid="{00000000-0005-0000-0000-0000E5190000}"/>
    <cellStyle name="Normal 5 3 3 3 5 2 2 2" xfId="33534" xr:uid="{E16C74BB-24B8-4394-96A7-68FB0ECF2A39}"/>
    <cellStyle name="Normal 5 3 3 3 5 2 2 3" xfId="25093" xr:uid="{8DF9593C-FFC5-4FBB-90A3-2EEBAB9866DF}"/>
    <cellStyle name="Normal 5 3 3 3 5 2 2 4" xfId="16652" xr:uid="{5323A1E4-F8A0-4147-9E07-4B406BE39281}"/>
    <cellStyle name="Normal 5 3 3 3 5 2 3" xfId="29316" xr:uid="{ACF318B5-354F-4231-98C5-10E9648BD7CC}"/>
    <cellStyle name="Normal 5 3 3 3 5 2 4" xfId="20875" xr:uid="{54F1299E-3A50-4E38-BF63-695E8D85C11B}"/>
    <cellStyle name="Normal 5 3 3 3 5 2 5" xfId="12434" xr:uid="{8B1F2C1A-1EAD-46F7-89A2-CDB16F8AE1AD}"/>
    <cellStyle name="Normal 5 3 3 3 5 3" xfId="6057" xr:uid="{00000000-0005-0000-0000-0000E6190000}"/>
    <cellStyle name="Normal 5 3 3 3 5 3 2" xfId="31389" xr:uid="{7A075CA4-0969-4966-9451-18C903574595}"/>
    <cellStyle name="Normal 5 3 3 3 5 3 3" xfId="22948" xr:uid="{F629B9FF-DB01-4EF0-9F29-8C0B02AE2235}"/>
    <cellStyle name="Normal 5 3 3 3 5 3 4" xfId="14507" xr:uid="{25126CFA-0B2B-461B-9F2B-175004203BDC}"/>
    <cellStyle name="Normal 5 3 3 3 5 4" xfId="27171" xr:uid="{6B9D25D4-4119-437F-AE7E-1CF9B97C8D5F}"/>
    <cellStyle name="Normal 5 3 3 3 5 5" xfId="18730" xr:uid="{54DAF828-DD98-4863-AA90-A87FABF3178B}"/>
    <cellStyle name="Normal 5 3 3 3 5 6" xfId="10289" xr:uid="{7DE4A3E1-FB11-467A-A031-B689C0AE50DA}"/>
    <cellStyle name="Normal 5 3 3 3 6" xfId="2164" xr:uid="{00000000-0005-0000-0000-0000E7190000}"/>
    <cellStyle name="Normal 5 3 3 3 6 2" xfId="4393" xr:uid="{00000000-0005-0000-0000-0000E8190000}"/>
    <cellStyle name="Normal 5 3 3 3 6 2 2" xfId="8615" xr:uid="{00000000-0005-0000-0000-0000E9190000}"/>
    <cellStyle name="Normal 5 3 3 3 6 2 2 2" xfId="33947" xr:uid="{208B2295-8D04-4395-8F6D-875DC87749C2}"/>
    <cellStyle name="Normal 5 3 3 3 6 2 2 3" xfId="25506" xr:uid="{6FDDC907-2A3A-47F2-865B-3CE0643431A6}"/>
    <cellStyle name="Normal 5 3 3 3 6 2 2 4" xfId="17065" xr:uid="{523CFD73-D751-4E06-AB79-7ABC76BC882E}"/>
    <cellStyle name="Normal 5 3 3 3 6 2 3" xfId="29729" xr:uid="{81CE710B-BEAB-4BD8-A1C1-3493AEC40A8E}"/>
    <cellStyle name="Normal 5 3 3 3 6 2 4" xfId="21288" xr:uid="{C44CADAD-83DB-4888-9BE7-26FF448EFE81}"/>
    <cellStyle name="Normal 5 3 3 3 6 2 5" xfId="12847" xr:uid="{237DC45C-6905-4811-8491-C6539D5D4B78}"/>
    <cellStyle name="Normal 5 3 3 3 6 3" xfId="6470" xr:uid="{00000000-0005-0000-0000-0000EA190000}"/>
    <cellStyle name="Normal 5 3 3 3 6 3 2" xfId="31802" xr:uid="{EAC5DEB4-ACF9-449C-AF3B-DC97074EC0DB}"/>
    <cellStyle name="Normal 5 3 3 3 6 3 3" xfId="23361" xr:uid="{76A9C471-20AB-4D34-A3B3-ABDC739FA4E7}"/>
    <cellStyle name="Normal 5 3 3 3 6 3 4" xfId="14920" xr:uid="{D0CDFC84-A49D-48DE-87AF-6AB444D962DD}"/>
    <cellStyle name="Normal 5 3 3 3 6 4" xfId="27584" xr:uid="{41862C8C-CD23-4298-AFB3-651BC3F67176}"/>
    <cellStyle name="Normal 5 3 3 3 6 5" xfId="19143" xr:uid="{AC10789E-3060-4546-856E-54810D578C4F}"/>
    <cellStyle name="Normal 5 3 3 3 6 6" xfId="10702" xr:uid="{D4A288BF-742D-47D5-8A20-3853935AAACF}"/>
    <cellStyle name="Normal 5 3 3 3 7" xfId="2600" xr:uid="{00000000-0005-0000-0000-0000EB190000}"/>
    <cellStyle name="Normal 5 3 3 3 7 2" xfId="6883" xr:uid="{00000000-0005-0000-0000-0000EC190000}"/>
    <cellStyle name="Normal 5 3 3 3 7 2 2" xfId="32215" xr:uid="{39365662-57D4-4D99-AA00-8279B231DBB1}"/>
    <cellStyle name="Normal 5 3 3 3 7 2 3" xfId="23774" xr:uid="{19AAF202-9B6B-4E55-85EA-5AE8E9DE497A}"/>
    <cellStyle name="Normal 5 3 3 3 7 2 4" xfId="15333" xr:uid="{7492DF32-E1B6-4EA2-B859-C77C38F5F68C}"/>
    <cellStyle name="Normal 5 3 3 3 7 3" xfId="27997" xr:uid="{088E3171-F9F8-44B3-9DEA-A77FA5AFF8CB}"/>
    <cellStyle name="Normal 5 3 3 3 7 4" xfId="19556" xr:uid="{A6BDBF2B-661A-42A0-B222-B4C7B9760D74}"/>
    <cellStyle name="Normal 5 3 3 3 7 5" xfId="11115" xr:uid="{4BF371CA-3BAE-4582-8EEF-C8590612F3D5}"/>
    <cellStyle name="Normal 5 3 3 3 8" xfId="4818" xr:uid="{00000000-0005-0000-0000-0000ED190000}"/>
    <cellStyle name="Normal 5 3 3 3 8 2" xfId="30150" xr:uid="{796781EB-9301-4948-98EF-614D95E83666}"/>
    <cellStyle name="Normal 5 3 3 3 8 3" xfId="21709" xr:uid="{E29A0382-FFFF-43E1-B9B6-59774FB64980}"/>
    <cellStyle name="Normal 5 3 3 3 8 4" xfId="13268" xr:uid="{CFF55A74-3D76-4B63-B36D-FACBA10665A6}"/>
    <cellStyle name="Normal 5 3 3 3 9" xfId="25932" xr:uid="{F01BB82F-9328-402A-ABBF-55782E5CB93E}"/>
    <cellStyle name="Normal 5 3 3 4" xfId="448" xr:uid="{00000000-0005-0000-0000-0000EE190000}"/>
    <cellStyle name="Normal 5 3 3 4 10" xfId="9052" xr:uid="{BF8705AE-1EF3-4F3A-B130-4068688EEC05}"/>
    <cellStyle name="Normal 5 3 3 4 2" xfId="922" xr:uid="{00000000-0005-0000-0000-0000EF190000}"/>
    <cellStyle name="Normal 5 3 3 4 2 2" xfId="3156" xr:uid="{00000000-0005-0000-0000-0000F0190000}"/>
    <cellStyle name="Normal 5 3 3 4 2 2 2" xfId="7378" xr:uid="{00000000-0005-0000-0000-0000F1190000}"/>
    <cellStyle name="Normal 5 3 3 4 2 2 2 2" xfId="32710" xr:uid="{28876996-44C7-47C2-838E-49453B1AF8A6}"/>
    <cellStyle name="Normal 5 3 3 4 2 2 2 3" xfId="24269" xr:uid="{F27BB3AA-3BF3-4EB4-AADA-9B9C3E56649C}"/>
    <cellStyle name="Normal 5 3 3 4 2 2 2 4" xfId="15828" xr:uid="{273176C5-A3B9-4809-8A2F-5773221D2F69}"/>
    <cellStyle name="Normal 5 3 3 4 2 2 3" xfId="28492" xr:uid="{C8265016-4E41-40C0-8B9A-7F8AD00F1049}"/>
    <cellStyle name="Normal 5 3 3 4 2 2 4" xfId="20051" xr:uid="{F11D5872-BA9F-4E11-AFBE-5E191DFD8C32}"/>
    <cellStyle name="Normal 5 3 3 4 2 2 5" xfId="11610" xr:uid="{071B097B-6F6E-4948-ACE6-216021405315}"/>
    <cellStyle name="Normal 5 3 3 4 2 3" xfId="5233" xr:uid="{00000000-0005-0000-0000-0000F2190000}"/>
    <cellStyle name="Normal 5 3 3 4 2 3 2" xfId="30565" xr:uid="{B8022501-5582-4926-BEBF-5C0F77CA0CFC}"/>
    <cellStyle name="Normal 5 3 3 4 2 3 3" xfId="22124" xr:uid="{80387729-50C9-4683-BAAF-BFDA9D23C552}"/>
    <cellStyle name="Normal 5 3 3 4 2 3 4" xfId="13683" xr:uid="{1FA1D295-A426-4C8A-A3FD-A83DFE430577}"/>
    <cellStyle name="Normal 5 3 3 4 2 4" xfId="26347" xr:uid="{63BDBA89-D56B-4A7F-806D-8CD9131ECDDE}"/>
    <cellStyle name="Normal 5 3 3 4 2 5" xfId="17906" xr:uid="{B91ABA68-F102-437C-B658-CABE14D303B6}"/>
    <cellStyle name="Normal 5 3 3 4 2 6" xfId="9465" xr:uid="{E77CCD2D-CF10-418D-84F2-8AF13D4E145D}"/>
    <cellStyle name="Normal 5 3 3 4 3" xfId="1339" xr:uid="{00000000-0005-0000-0000-0000F3190000}"/>
    <cellStyle name="Normal 5 3 3 4 3 2" xfId="3569" xr:uid="{00000000-0005-0000-0000-0000F4190000}"/>
    <cellStyle name="Normal 5 3 3 4 3 2 2" xfId="7791" xr:uid="{00000000-0005-0000-0000-0000F5190000}"/>
    <cellStyle name="Normal 5 3 3 4 3 2 2 2" xfId="33123" xr:uid="{9F3F248B-42D9-4175-B379-DDCD45396A49}"/>
    <cellStyle name="Normal 5 3 3 4 3 2 2 3" xfId="24682" xr:uid="{276E3D3D-7751-4829-BDE0-5298266AD2FD}"/>
    <cellStyle name="Normal 5 3 3 4 3 2 2 4" xfId="16241" xr:uid="{C4315C72-0B7C-47B0-AD96-F8D7B648A526}"/>
    <cellStyle name="Normal 5 3 3 4 3 2 3" xfId="28905" xr:uid="{9048391F-21FB-4667-B3F0-CDCFE0A93895}"/>
    <cellStyle name="Normal 5 3 3 4 3 2 4" xfId="20464" xr:uid="{8D0EAC37-7D2B-41BB-A23E-B01E5B549D53}"/>
    <cellStyle name="Normal 5 3 3 4 3 2 5" xfId="12023" xr:uid="{E50E1C8C-BA1C-481D-A481-FA01680F1C0E}"/>
    <cellStyle name="Normal 5 3 3 4 3 3" xfId="5646" xr:uid="{00000000-0005-0000-0000-0000F6190000}"/>
    <cellStyle name="Normal 5 3 3 4 3 3 2" xfId="30978" xr:uid="{69E73E9D-AD0E-496D-B762-4C8EB8ED3201}"/>
    <cellStyle name="Normal 5 3 3 4 3 3 3" xfId="22537" xr:uid="{BDD019BA-D546-4E87-89A9-E6159DDFD159}"/>
    <cellStyle name="Normal 5 3 3 4 3 3 4" xfId="14096" xr:uid="{F0159AE5-E396-4D53-B28E-D8AFB2E13843}"/>
    <cellStyle name="Normal 5 3 3 4 3 4" xfId="26760" xr:uid="{CBDDAE46-2314-4509-9D98-84E40A54D885}"/>
    <cellStyle name="Normal 5 3 3 4 3 5" xfId="18319" xr:uid="{4FC86101-3EF3-4A1E-A3F1-EBDDA411EE82}"/>
    <cellStyle name="Normal 5 3 3 4 3 6" xfId="9878" xr:uid="{D03B8D6C-0594-4176-B4AF-CDBC232F3BB9}"/>
    <cellStyle name="Normal 5 3 3 4 4" xfId="1752" xr:uid="{00000000-0005-0000-0000-0000F7190000}"/>
    <cellStyle name="Normal 5 3 3 4 4 2" xfId="3982" xr:uid="{00000000-0005-0000-0000-0000F8190000}"/>
    <cellStyle name="Normal 5 3 3 4 4 2 2" xfId="8204" xr:uid="{00000000-0005-0000-0000-0000F9190000}"/>
    <cellStyle name="Normal 5 3 3 4 4 2 2 2" xfId="33536" xr:uid="{2FEA33B7-692B-4391-A6B7-62F60F87EB3F}"/>
    <cellStyle name="Normal 5 3 3 4 4 2 2 3" xfId="25095" xr:uid="{108ACABF-D9EA-4657-9C61-2B9C78E4E943}"/>
    <cellStyle name="Normal 5 3 3 4 4 2 2 4" xfId="16654" xr:uid="{9C06B731-45DA-45E5-B05D-C1B1F6CD8D74}"/>
    <cellStyle name="Normal 5 3 3 4 4 2 3" xfId="29318" xr:uid="{1E8AD9A7-529A-4045-8A2B-D311C4F7253E}"/>
    <cellStyle name="Normal 5 3 3 4 4 2 4" xfId="20877" xr:uid="{A961EC1D-092E-4158-96A2-C8848C4A33ED}"/>
    <cellStyle name="Normal 5 3 3 4 4 2 5" xfId="12436" xr:uid="{72D89407-AB97-4E4D-A958-48B90E083730}"/>
    <cellStyle name="Normal 5 3 3 4 4 3" xfId="6059" xr:uid="{00000000-0005-0000-0000-0000FA190000}"/>
    <cellStyle name="Normal 5 3 3 4 4 3 2" xfId="31391" xr:uid="{0B251906-F1F3-429D-B547-E4366F2F7ED9}"/>
    <cellStyle name="Normal 5 3 3 4 4 3 3" xfId="22950" xr:uid="{703E2D7B-CA36-48CF-AB18-347372FDABA1}"/>
    <cellStyle name="Normal 5 3 3 4 4 3 4" xfId="14509" xr:uid="{4DDD9EEA-3B53-41D2-9D4C-AC842B480FB1}"/>
    <cellStyle name="Normal 5 3 3 4 4 4" xfId="27173" xr:uid="{17D80EF4-9777-4F68-A815-A1FA266300AF}"/>
    <cellStyle name="Normal 5 3 3 4 4 5" xfId="18732" xr:uid="{2522A2F8-FB00-462E-B49B-294255255ED1}"/>
    <cellStyle name="Normal 5 3 3 4 4 6" xfId="10291" xr:uid="{7E15675B-148E-4B88-BC98-215316F0832C}"/>
    <cellStyle name="Normal 5 3 3 4 5" xfId="2166" xr:uid="{00000000-0005-0000-0000-0000FB190000}"/>
    <cellStyle name="Normal 5 3 3 4 5 2" xfId="4395" xr:uid="{00000000-0005-0000-0000-0000FC190000}"/>
    <cellStyle name="Normal 5 3 3 4 5 2 2" xfId="8617" xr:uid="{00000000-0005-0000-0000-0000FD190000}"/>
    <cellStyle name="Normal 5 3 3 4 5 2 2 2" xfId="33949" xr:uid="{4934D703-5C8D-49D9-9417-006228AB1966}"/>
    <cellStyle name="Normal 5 3 3 4 5 2 2 3" xfId="25508" xr:uid="{18B984E8-1A25-4139-86DE-428DF4826BCE}"/>
    <cellStyle name="Normal 5 3 3 4 5 2 2 4" xfId="17067" xr:uid="{358E6E70-01E5-42C9-AC24-A31F987B9D67}"/>
    <cellStyle name="Normal 5 3 3 4 5 2 3" xfId="29731" xr:uid="{E4E778B4-E55B-4BC9-905F-EC538CFDD067}"/>
    <cellStyle name="Normal 5 3 3 4 5 2 4" xfId="21290" xr:uid="{6257B3FC-B0A6-4137-849F-19704703A747}"/>
    <cellStyle name="Normal 5 3 3 4 5 2 5" xfId="12849" xr:uid="{51ECF968-8A56-47CE-B966-D3AA4F09E70B}"/>
    <cellStyle name="Normal 5 3 3 4 5 3" xfId="6472" xr:uid="{00000000-0005-0000-0000-0000FE190000}"/>
    <cellStyle name="Normal 5 3 3 4 5 3 2" xfId="31804" xr:uid="{7B3037C3-6FF0-442B-B1C2-242F78A79F6A}"/>
    <cellStyle name="Normal 5 3 3 4 5 3 3" xfId="23363" xr:uid="{2664E2C5-CE73-42BE-A3DE-B4B7294324F9}"/>
    <cellStyle name="Normal 5 3 3 4 5 3 4" xfId="14922" xr:uid="{5A627354-947F-4573-BC57-335B5222F703}"/>
    <cellStyle name="Normal 5 3 3 4 5 4" xfId="27586" xr:uid="{3F56F64B-9B6B-450B-90AF-2B2CCAEEB921}"/>
    <cellStyle name="Normal 5 3 3 4 5 5" xfId="19145" xr:uid="{3B6D7A6D-1B1A-4185-B9D9-5E48C87D0F33}"/>
    <cellStyle name="Normal 5 3 3 4 5 6" xfId="10704" xr:uid="{7E5DAF7F-68AB-4AF6-90CA-288E8226B113}"/>
    <cellStyle name="Normal 5 3 3 4 6" xfId="2602" xr:uid="{00000000-0005-0000-0000-0000FF190000}"/>
    <cellStyle name="Normal 5 3 3 4 6 2" xfId="6885" xr:uid="{00000000-0005-0000-0000-0000001A0000}"/>
    <cellStyle name="Normal 5 3 3 4 6 2 2" xfId="32217" xr:uid="{B5645029-2379-49BA-8804-05683D196A5E}"/>
    <cellStyle name="Normal 5 3 3 4 6 2 3" xfId="23776" xr:uid="{B93B37AD-3691-4575-9479-31914C0B2B2B}"/>
    <cellStyle name="Normal 5 3 3 4 6 2 4" xfId="15335" xr:uid="{8E225246-792C-4977-A91E-B0AF2FFB3AD8}"/>
    <cellStyle name="Normal 5 3 3 4 6 3" xfId="27999" xr:uid="{8E070076-3151-4643-90F5-9EF7B88EBE1D}"/>
    <cellStyle name="Normal 5 3 3 4 6 4" xfId="19558" xr:uid="{B85C7F23-5C27-45B2-A01D-0B7DE8B46780}"/>
    <cellStyle name="Normal 5 3 3 4 6 5" xfId="11117" xr:uid="{27B71D1D-3299-4209-A4B5-BA86B29D2248}"/>
    <cellStyle name="Normal 5 3 3 4 7" xfId="4820" xr:uid="{00000000-0005-0000-0000-0000011A0000}"/>
    <cellStyle name="Normal 5 3 3 4 7 2" xfId="30152" xr:uid="{0F25771A-0FBA-4381-80AD-F63C87E3B5A3}"/>
    <cellStyle name="Normal 5 3 3 4 7 3" xfId="21711" xr:uid="{EE16BCBC-C4F1-46A3-BE5D-6FDC9D4EBC17}"/>
    <cellStyle name="Normal 5 3 3 4 7 4" xfId="13270" xr:uid="{A41AE674-7B69-4E25-8EE9-F0E451D9AE44}"/>
    <cellStyle name="Normal 5 3 3 4 8" xfId="25934" xr:uid="{AD322A14-0C97-4557-9DFB-FFC060EED57A}"/>
    <cellStyle name="Normal 5 3 3 4 9" xfId="17493" xr:uid="{6B5C6A81-955C-4251-9449-71F48F191126}"/>
    <cellStyle name="Normal 5 3 3 5" xfId="915" xr:uid="{00000000-0005-0000-0000-0000021A0000}"/>
    <cellStyle name="Normal 5 3 3 5 2" xfId="3149" xr:uid="{00000000-0005-0000-0000-0000031A0000}"/>
    <cellStyle name="Normal 5 3 3 5 2 2" xfId="7371" xr:uid="{00000000-0005-0000-0000-0000041A0000}"/>
    <cellStyle name="Normal 5 3 3 5 2 2 2" xfId="32703" xr:uid="{43F2D770-6A73-47BC-884E-574C47C235D5}"/>
    <cellStyle name="Normal 5 3 3 5 2 2 3" xfId="24262" xr:uid="{108E165C-19BA-4A33-B088-D4360F638C69}"/>
    <cellStyle name="Normal 5 3 3 5 2 2 4" xfId="15821" xr:uid="{0E512AF2-7BA9-4CBB-9175-C98EC6EEECBA}"/>
    <cellStyle name="Normal 5 3 3 5 2 3" xfId="28485" xr:uid="{F647D74C-BD8D-4E69-8E2C-A527C923E48F}"/>
    <cellStyle name="Normal 5 3 3 5 2 4" xfId="20044" xr:uid="{8DAB4417-30EB-488B-AE30-DAA0AAB3BF6C}"/>
    <cellStyle name="Normal 5 3 3 5 2 5" xfId="11603" xr:uid="{8DBFF103-EEDC-4327-BBA6-EF47E31AD8B1}"/>
    <cellStyle name="Normal 5 3 3 5 3" xfId="5226" xr:uid="{00000000-0005-0000-0000-0000051A0000}"/>
    <cellStyle name="Normal 5 3 3 5 3 2" xfId="30558" xr:uid="{D3D02999-EC7E-435A-9DDE-1F07602CE67D}"/>
    <cellStyle name="Normal 5 3 3 5 3 3" xfId="22117" xr:uid="{3AD63009-FDAB-4E30-9E72-19BA8E9A4810}"/>
    <cellStyle name="Normal 5 3 3 5 3 4" xfId="13676" xr:uid="{CFF9D250-86A2-4A13-8529-D972978E6B56}"/>
    <cellStyle name="Normal 5 3 3 5 4" xfId="26340" xr:uid="{9DB05339-4ADA-4915-A5E4-C8E31B4C7908}"/>
    <cellStyle name="Normal 5 3 3 5 5" xfId="17899" xr:uid="{7EEAF74F-F644-45C0-8E6A-2BE8A152518C}"/>
    <cellStyle name="Normal 5 3 3 5 6" xfId="9458" xr:uid="{E170743E-8928-4B1C-A315-EC44DAB4CFCA}"/>
    <cellStyle name="Normal 5 3 3 6" xfId="1332" xr:uid="{00000000-0005-0000-0000-0000061A0000}"/>
    <cellStyle name="Normal 5 3 3 6 2" xfId="3562" xr:uid="{00000000-0005-0000-0000-0000071A0000}"/>
    <cellStyle name="Normal 5 3 3 6 2 2" xfId="7784" xr:uid="{00000000-0005-0000-0000-0000081A0000}"/>
    <cellStyle name="Normal 5 3 3 6 2 2 2" xfId="33116" xr:uid="{3764A533-001F-42FC-8D55-7A6EFBF91820}"/>
    <cellStyle name="Normal 5 3 3 6 2 2 3" xfId="24675" xr:uid="{8021B178-0843-41AB-99FC-D2059E24C5E9}"/>
    <cellStyle name="Normal 5 3 3 6 2 2 4" xfId="16234" xr:uid="{5D99C43C-F561-487F-907A-A13FC767739A}"/>
    <cellStyle name="Normal 5 3 3 6 2 3" xfId="28898" xr:uid="{9DFB4EC9-64DC-4609-B281-EC2BB15BC8E1}"/>
    <cellStyle name="Normal 5 3 3 6 2 4" xfId="20457" xr:uid="{3AFD9FEB-DC1D-48EC-9208-CCBC503432AA}"/>
    <cellStyle name="Normal 5 3 3 6 2 5" xfId="12016" xr:uid="{7C0E95FA-AE7F-4606-B6C3-18FE2F77B471}"/>
    <cellStyle name="Normal 5 3 3 6 3" xfId="5639" xr:uid="{00000000-0005-0000-0000-0000091A0000}"/>
    <cellStyle name="Normal 5 3 3 6 3 2" xfId="30971" xr:uid="{8D143A00-699F-41A4-A9F2-BF58BF3A5E94}"/>
    <cellStyle name="Normal 5 3 3 6 3 3" xfId="22530" xr:uid="{9CB56452-3719-40E3-9414-7B7F010A5969}"/>
    <cellStyle name="Normal 5 3 3 6 3 4" xfId="14089" xr:uid="{CE914B14-15BD-42E3-A924-46BE92024DF2}"/>
    <cellStyle name="Normal 5 3 3 6 4" xfId="26753" xr:uid="{1BC7E48C-83E3-40C6-A605-44FDABB8CB12}"/>
    <cellStyle name="Normal 5 3 3 6 5" xfId="18312" xr:uid="{C4CF955B-81BC-42CB-9ADA-5A5A013BAF9D}"/>
    <cellStyle name="Normal 5 3 3 6 6" xfId="9871" xr:uid="{F21FEC83-DE52-40E5-8B4F-7CF8F05326E1}"/>
    <cellStyle name="Normal 5 3 3 7" xfId="1745" xr:uid="{00000000-0005-0000-0000-00000A1A0000}"/>
    <cellStyle name="Normal 5 3 3 7 2" xfId="3975" xr:uid="{00000000-0005-0000-0000-00000B1A0000}"/>
    <cellStyle name="Normal 5 3 3 7 2 2" xfId="8197" xr:uid="{00000000-0005-0000-0000-00000C1A0000}"/>
    <cellStyle name="Normal 5 3 3 7 2 2 2" xfId="33529" xr:uid="{5F56A73A-27E2-40C8-A7FA-C6577C1F7D5E}"/>
    <cellStyle name="Normal 5 3 3 7 2 2 3" xfId="25088" xr:uid="{C862A19B-8EEA-4B3E-86FB-3BE1115E46EE}"/>
    <cellStyle name="Normal 5 3 3 7 2 2 4" xfId="16647" xr:uid="{4DE72B10-0D89-4AA5-B0E0-15B2391F8FA0}"/>
    <cellStyle name="Normal 5 3 3 7 2 3" xfId="29311" xr:uid="{27E2902F-2014-41FD-AD7B-6236AA37F849}"/>
    <cellStyle name="Normal 5 3 3 7 2 4" xfId="20870" xr:uid="{7D5DB16D-D155-4843-9193-803522415499}"/>
    <cellStyle name="Normal 5 3 3 7 2 5" xfId="12429" xr:uid="{B06F5A27-2C80-46FF-92A4-FE0091D7C50E}"/>
    <cellStyle name="Normal 5 3 3 7 3" xfId="6052" xr:uid="{00000000-0005-0000-0000-00000D1A0000}"/>
    <cellStyle name="Normal 5 3 3 7 3 2" xfId="31384" xr:uid="{E8FFA0E3-19D6-4AFD-A5AC-69B541B07383}"/>
    <cellStyle name="Normal 5 3 3 7 3 3" xfId="22943" xr:uid="{FE929091-E3DD-4E1E-9BBF-A1A9B8099D9F}"/>
    <cellStyle name="Normal 5 3 3 7 3 4" xfId="14502" xr:uid="{2782C06F-553E-47C1-8A3B-765C7BDD9266}"/>
    <cellStyle name="Normal 5 3 3 7 4" xfId="27166" xr:uid="{12724B3C-B286-4B4F-BB3E-37D2DB1FE6D5}"/>
    <cellStyle name="Normal 5 3 3 7 5" xfId="18725" xr:uid="{8F86B39C-3B6F-4DF6-9E9C-73BC65EB5C65}"/>
    <cellStyle name="Normal 5 3 3 7 6" xfId="10284" xr:uid="{697ABE68-C436-4E60-B297-A6F079CCBC58}"/>
    <cellStyle name="Normal 5 3 3 8" xfId="2159" xr:uid="{00000000-0005-0000-0000-00000E1A0000}"/>
    <cellStyle name="Normal 5 3 3 8 2" xfId="4388" xr:uid="{00000000-0005-0000-0000-00000F1A0000}"/>
    <cellStyle name="Normal 5 3 3 8 2 2" xfId="8610" xr:uid="{00000000-0005-0000-0000-0000101A0000}"/>
    <cellStyle name="Normal 5 3 3 8 2 2 2" xfId="33942" xr:uid="{4B1F3B39-AE8C-44E4-AF64-56B84D20706E}"/>
    <cellStyle name="Normal 5 3 3 8 2 2 3" xfId="25501" xr:uid="{A9F4DF2F-40A7-439D-938A-D0EA2B2832B0}"/>
    <cellStyle name="Normal 5 3 3 8 2 2 4" xfId="17060" xr:uid="{A815577E-A9C8-4FED-8C3C-821617DE9D64}"/>
    <cellStyle name="Normal 5 3 3 8 2 3" xfId="29724" xr:uid="{999BA80B-81DE-4276-947E-DAA5182FF203}"/>
    <cellStyle name="Normal 5 3 3 8 2 4" xfId="21283" xr:uid="{8330ADDB-C71E-407C-9F05-2A7E4314F328}"/>
    <cellStyle name="Normal 5 3 3 8 2 5" xfId="12842" xr:uid="{75A66D0C-9CD9-4B07-9928-87960F1CC977}"/>
    <cellStyle name="Normal 5 3 3 8 3" xfId="6465" xr:uid="{00000000-0005-0000-0000-0000111A0000}"/>
    <cellStyle name="Normal 5 3 3 8 3 2" xfId="31797" xr:uid="{CD4DD43C-431D-4BEB-B66E-3338568099F4}"/>
    <cellStyle name="Normal 5 3 3 8 3 3" xfId="23356" xr:uid="{65581969-6FAC-4340-9E1A-E35ABBAF46A8}"/>
    <cellStyle name="Normal 5 3 3 8 3 4" xfId="14915" xr:uid="{9A026594-416F-4430-BEB1-82D2AE9B0173}"/>
    <cellStyle name="Normal 5 3 3 8 4" xfId="27579" xr:uid="{EEE3255A-D50E-431F-8D0D-98710485E434}"/>
    <cellStyle name="Normal 5 3 3 8 5" xfId="19138" xr:uid="{553C6163-788E-43FE-ACC7-FEA6647BB434}"/>
    <cellStyle name="Normal 5 3 3 8 6" xfId="10697" xr:uid="{47BEA83F-567F-4239-AEE1-A77BA6DCE36E}"/>
    <cellStyle name="Normal 5 3 3 9" xfId="2595" xr:uid="{00000000-0005-0000-0000-0000121A0000}"/>
    <cellStyle name="Normal 5 3 3 9 2" xfId="6878" xr:uid="{00000000-0005-0000-0000-0000131A0000}"/>
    <cellStyle name="Normal 5 3 3 9 2 2" xfId="32210" xr:uid="{85C312F0-E972-4B02-B738-B70AC6A582F6}"/>
    <cellStyle name="Normal 5 3 3 9 2 3" xfId="23769" xr:uid="{BAEB3DED-000F-495A-A37E-7DF68DA1647A}"/>
    <cellStyle name="Normal 5 3 3 9 2 4" xfId="15328" xr:uid="{B16F003E-9135-4573-8512-B6CFC57D033A}"/>
    <cellStyle name="Normal 5 3 3 9 3" xfId="27992" xr:uid="{077F0817-C973-4B43-A5B5-309BBBED9532}"/>
    <cellStyle name="Normal 5 3 3 9 4" xfId="19551" xr:uid="{6C814C4E-69B9-4461-B731-06D0DD3E7241}"/>
    <cellStyle name="Normal 5 3 3 9 5" xfId="11110" xr:uid="{BC5F4184-3CF6-4A2B-84EA-B3F3DAA2575A}"/>
    <cellStyle name="Normal 5 3 4" xfId="449" xr:uid="{00000000-0005-0000-0000-0000141A0000}"/>
    <cellStyle name="Normal 5 3 4 10" xfId="25935" xr:uid="{1FF44933-092A-44A0-97E2-376DBF12BB62}"/>
    <cellStyle name="Normal 5 3 4 11" xfId="17494" xr:uid="{04593DBD-896B-4475-800C-CFA3B7F998E4}"/>
    <cellStyle name="Normal 5 3 4 12" xfId="9053" xr:uid="{98C47DD2-8BE3-4F65-9589-7E8E88CDE526}"/>
    <cellStyle name="Normal 5 3 4 2" xfId="450" xr:uid="{00000000-0005-0000-0000-0000151A0000}"/>
    <cellStyle name="Normal 5 3 4 2 10" xfId="17495" xr:uid="{CF181779-D42E-4288-9D1B-1D2AE8881E65}"/>
    <cellStyle name="Normal 5 3 4 2 11" xfId="9054" xr:uid="{DB047F4C-657A-4F6E-BCE4-AB513E82DB39}"/>
    <cellStyle name="Normal 5 3 4 2 2" xfId="451" xr:uid="{00000000-0005-0000-0000-0000161A0000}"/>
    <cellStyle name="Normal 5 3 4 2 2 10" xfId="9055" xr:uid="{63D754FA-B8DE-4282-9377-CA773751C052}"/>
    <cellStyle name="Normal 5 3 4 2 2 2" xfId="925" xr:uid="{00000000-0005-0000-0000-0000171A0000}"/>
    <cellStyle name="Normal 5 3 4 2 2 2 2" xfId="3159" xr:uid="{00000000-0005-0000-0000-0000181A0000}"/>
    <cellStyle name="Normal 5 3 4 2 2 2 2 2" xfId="7381" xr:uid="{00000000-0005-0000-0000-0000191A0000}"/>
    <cellStyle name="Normal 5 3 4 2 2 2 2 2 2" xfId="32713" xr:uid="{545FF81A-598F-4FAB-82B0-E40BA31656E9}"/>
    <cellStyle name="Normal 5 3 4 2 2 2 2 2 3" xfId="24272" xr:uid="{CEAB26F4-F145-4BA0-BFC7-E6A807A00CE8}"/>
    <cellStyle name="Normal 5 3 4 2 2 2 2 2 4" xfId="15831" xr:uid="{68B89C4B-F918-4AEB-BCC6-B0ED7B95C7E6}"/>
    <cellStyle name="Normal 5 3 4 2 2 2 2 3" xfId="28495" xr:uid="{6330AC06-AD4B-4C41-8E9B-35A7C283EE4A}"/>
    <cellStyle name="Normal 5 3 4 2 2 2 2 4" xfId="20054" xr:uid="{F8573C6D-2716-46E8-BA3D-5330797D2193}"/>
    <cellStyle name="Normal 5 3 4 2 2 2 2 5" xfId="11613" xr:uid="{C0172570-5F92-4D56-B0B0-2439A7E2F863}"/>
    <cellStyle name="Normal 5 3 4 2 2 2 3" xfId="5236" xr:uid="{00000000-0005-0000-0000-00001A1A0000}"/>
    <cellStyle name="Normal 5 3 4 2 2 2 3 2" xfId="30568" xr:uid="{DC95A7E9-51E1-4F6C-8B66-D1A1424054C5}"/>
    <cellStyle name="Normal 5 3 4 2 2 2 3 3" xfId="22127" xr:uid="{5968B861-B754-42B9-AE28-2E9844A02288}"/>
    <cellStyle name="Normal 5 3 4 2 2 2 3 4" xfId="13686" xr:uid="{50E558F1-228D-4CF8-B8D4-3997FBCB59CD}"/>
    <cellStyle name="Normal 5 3 4 2 2 2 4" xfId="26350" xr:uid="{133649E6-AE1A-49C9-B686-A41FD43DC445}"/>
    <cellStyle name="Normal 5 3 4 2 2 2 5" xfId="17909" xr:uid="{4BF9DC8B-F38F-41BC-82DB-94ECFF52D07C}"/>
    <cellStyle name="Normal 5 3 4 2 2 2 6" xfId="9468" xr:uid="{42B525E1-3F89-4B11-BFC9-C74F482A6A02}"/>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2 2 2" xfId="33126" xr:uid="{5EE01C11-A2AC-44F6-866A-2B96D1A2FD7A}"/>
    <cellStyle name="Normal 5 3 4 2 2 3 2 2 3" xfId="24685" xr:uid="{E0D3D2B1-1926-4B04-8890-71E1AD18BBCE}"/>
    <cellStyle name="Normal 5 3 4 2 2 3 2 2 4" xfId="16244" xr:uid="{2E6EB9AA-68B1-4483-A09C-77994BB1465A}"/>
    <cellStyle name="Normal 5 3 4 2 2 3 2 3" xfId="28908" xr:uid="{D8E280BE-813A-418D-ABED-759B077FC247}"/>
    <cellStyle name="Normal 5 3 4 2 2 3 2 4" xfId="20467" xr:uid="{665342BE-FBBF-4DF8-B11A-AF9B73A02F8A}"/>
    <cellStyle name="Normal 5 3 4 2 2 3 2 5" xfId="12026" xr:uid="{35DC4F93-5959-446F-812D-B86FD372EF15}"/>
    <cellStyle name="Normal 5 3 4 2 2 3 3" xfId="5649" xr:uid="{00000000-0005-0000-0000-00001E1A0000}"/>
    <cellStyle name="Normal 5 3 4 2 2 3 3 2" xfId="30981" xr:uid="{2849993D-1AA8-4423-AF7E-65D507749F0B}"/>
    <cellStyle name="Normal 5 3 4 2 2 3 3 3" xfId="22540" xr:uid="{C05C0C22-033C-499C-87CD-2CC423D82B70}"/>
    <cellStyle name="Normal 5 3 4 2 2 3 3 4" xfId="14099" xr:uid="{C25164E9-3192-4C92-A6D1-BB573B51FBD7}"/>
    <cellStyle name="Normal 5 3 4 2 2 3 4" xfId="26763" xr:uid="{A9560C81-F139-427E-BD55-14BFF5152514}"/>
    <cellStyle name="Normal 5 3 4 2 2 3 5" xfId="18322" xr:uid="{55B8803F-805C-456A-8043-E555638A91BA}"/>
    <cellStyle name="Normal 5 3 4 2 2 3 6" xfId="9881" xr:uid="{6D25B0AD-9449-4BCD-B1F4-71284C61C8EA}"/>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2 2 2" xfId="33539" xr:uid="{AB088E47-4D7D-48CB-8E43-8970D5F3F5B1}"/>
    <cellStyle name="Normal 5 3 4 2 2 4 2 2 3" xfId="25098" xr:uid="{1DB69891-678F-4C40-9CAF-B8192E94B8BC}"/>
    <cellStyle name="Normal 5 3 4 2 2 4 2 2 4" xfId="16657" xr:uid="{6D1872DB-FCEC-4959-AF37-F1B99A0055D5}"/>
    <cellStyle name="Normal 5 3 4 2 2 4 2 3" xfId="29321" xr:uid="{169E7146-68A0-4451-8DA4-A6E4D22C706B}"/>
    <cellStyle name="Normal 5 3 4 2 2 4 2 4" xfId="20880" xr:uid="{7F59048C-DAB0-47EA-8E45-926B65421F13}"/>
    <cellStyle name="Normal 5 3 4 2 2 4 2 5" xfId="12439" xr:uid="{16413877-A048-4198-BC61-EFEF0580E238}"/>
    <cellStyle name="Normal 5 3 4 2 2 4 3" xfId="6062" xr:uid="{00000000-0005-0000-0000-0000221A0000}"/>
    <cellStyle name="Normal 5 3 4 2 2 4 3 2" xfId="31394" xr:uid="{3FC41744-D39C-4F1F-A2E9-5EE6326D3E77}"/>
    <cellStyle name="Normal 5 3 4 2 2 4 3 3" xfId="22953" xr:uid="{9D7C2356-B502-406D-90DF-C0FCDD133D7D}"/>
    <cellStyle name="Normal 5 3 4 2 2 4 3 4" xfId="14512" xr:uid="{F491488B-1EA7-4F8C-BAEF-CBFABBE81100}"/>
    <cellStyle name="Normal 5 3 4 2 2 4 4" xfId="27176" xr:uid="{017C0749-6C54-461E-BCD5-9FC8A80A4017}"/>
    <cellStyle name="Normal 5 3 4 2 2 4 5" xfId="18735" xr:uid="{B6024799-F2CC-492B-92C0-430A8635A4A9}"/>
    <cellStyle name="Normal 5 3 4 2 2 4 6" xfId="10294" xr:uid="{506676A5-5D6B-4DE5-ABD2-F81893FFA1B1}"/>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2 2 2" xfId="33952" xr:uid="{51869E5A-7777-4CA5-BF35-3DE722491765}"/>
    <cellStyle name="Normal 5 3 4 2 2 5 2 2 3" xfId="25511" xr:uid="{5A28C7B3-157E-41D0-A600-9C46BE85DFF0}"/>
    <cellStyle name="Normal 5 3 4 2 2 5 2 2 4" xfId="17070" xr:uid="{4A050E81-85C8-4651-99AF-04DAE04EF42C}"/>
    <cellStyle name="Normal 5 3 4 2 2 5 2 3" xfId="29734" xr:uid="{0684EAEE-7245-4A29-B643-B88E3EECCA3D}"/>
    <cellStyle name="Normal 5 3 4 2 2 5 2 4" xfId="21293" xr:uid="{52CBE69A-DE77-4832-B19C-A9746ED5E37E}"/>
    <cellStyle name="Normal 5 3 4 2 2 5 2 5" xfId="12852" xr:uid="{FE782852-0826-4226-9AEC-5792CD76C9D3}"/>
    <cellStyle name="Normal 5 3 4 2 2 5 3" xfId="6475" xr:uid="{00000000-0005-0000-0000-0000261A0000}"/>
    <cellStyle name="Normal 5 3 4 2 2 5 3 2" xfId="31807" xr:uid="{BB4A041A-820F-467C-9EAA-E59F0027D855}"/>
    <cellStyle name="Normal 5 3 4 2 2 5 3 3" xfId="23366" xr:uid="{39177F0D-8909-4CA0-A4A6-0261059010C7}"/>
    <cellStyle name="Normal 5 3 4 2 2 5 3 4" xfId="14925" xr:uid="{9220C1C0-8475-4680-B754-39FB6A4F5313}"/>
    <cellStyle name="Normal 5 3 4 2 2 5 4" xfId="27589" xr:uid="{2C58BAE0-4E8C-4279-9722-7F6644E1262B}"/>
    <cellStyle name="Normal 5 3 4 2 2 5 5" xfId="19148" xr:uid="{2304E2D4-3591-4B38-8E44-A007810E767A}"/>
    <cellStyle name="Normal 5 3 4 2 2 5 6" xfId="10707" xr:uid="{57D70B0E-14A1-42BE-8869-659A2FA6E116}"/>
    <cellStyle name="Normal 5 3 4 2 2 6" xfId="2605" xr:uid="{00000000-0005-0000-0000-0000271A0000}"/>
    <cellStyle name="Normal 5 3 4 2 2 6 2" xfId="6888" xr:uid="{00000000-0005-0000-0000-0000281A0000}"/>
    <cellStyle name="Normal 5 3 4 2 2 6 2 2" xfId="32220" xr:uid="{A92E3F3B-420B-44FB-89AE-4E21FFECEC75}"/>
    <cellStyle name="Normal 5 3 4 2 2 6 2 3" xfId="23779" xr:uid="{A41B69CD-925D-4F03-8A7C-1A317D71A6AC}"/>
    <cellStyle name="Normal 5 3 4 2 2 6 2 4" xfId="15338" xr:uid="{665509B7-F4B1-4416-A570-4FCDF5758199}"/>
    <cellStyle name="Normal 5 3 4 2 2 6 3" xfId="28002" xr:uid="{334E83D3-06D6-4CB5-ABA2-DBFC5AE591AE}"/>
    <cellStyle name="Normal 5 3 4 2 2 6 4" xfId="19561" xr:uid="{260200EE-F47E-4A31-B292-D2D689DFF2D2}"/>
    <cellStyle name="Normal 5 3 4 2 2 6 5" xfId="11120" xr:uid="{5E22D688-D0D9-4FA8-A15A-D95A4FB63805}"/>
    <cellStyle name="Normal 5 3 4 2 2 7" xfId="4823" xr:uid="{00000000-0005-0000-0000-0000291A0000}"/>
    <cellStyle name="Normal 5 3 4 2 2 7 2" xfId="30155" xr:uid="{F25FF60E-3F77-4369-9C0F-59023ABA7C86}"/>
    <cellStyle name="Normal 5 3 4 2 2 7 3" xfId="21714" xr:uid="{8A51EA8E-D42B-47DD-8EEC-2A57192E76DE}"/>
    <cellStyle name="Normal 5 3 4 2 2 7 4" xfId="13273" xr:uid="{5C0B46EF-8599-48A8-9789-DF155023056F}"/>
    <cellStyle name="Normal 5 3 4 2 2 8" xfId="25937" xr:uid="{9FCFBA87-B67D-414C-8C7B-2CEB30EE1F94}"/>
    <cellStyle name="Normal 5 3 4 2 2 9" xfId="17496" xr:uid="{B2DC250A-76D5-46B7-B0E0-323B9A805433}"/>
    <cellStyle name="Normal 5 3 4 2 3" xfId="924" xr:uid="{00000000-0005-0000-0000-00002A1A0000}"/>
    <cellStyle name="Normal 5 3 4 2 3 2" xfId="3158" xr:uid="{00000000-0005-0000-0000-00002B1A0000}"/>
    <cellStyle name="Normal 5 3 4 2 3 2 2" xfId="7380" xr:uid="{00000000-0005-0000-0000-00002C1A0000}"/>
    <cellStyle name="Normal 5 3 4 2 3 2 2 2" xfId="32712" xr:uid="{0BFAEA9D-CA80-40C8-9FE8-F8706A452514}"/>
    <cellStyle name="Normal 5 3 4 2 3 2 2 3" xfId="24271" xr:uid="{66DAAA05-2074-43F2-9A50-7C44ACBE03C9}"/>
    <cellStyle name="Normal 5 3 4 2 3 2 2 4" xfId="15830" xr:uid="{669D940D-5314-43ED-9DAE-B663B2B9D05A}"/>
    <cellStyle name="Normal 5 3 4 2 3 2 3" xfId="28494" xr:uid="{972BAABA-3460-45C1-B395-C34CE36D7EEC}"/>
    <cellStyle name="Normal 5 3 4 2 3 2 4" xfId="20053" xr:uid="{C660540B-DA68-4233-B8E6-3514BA373191}"/>
    <cellStyle name="Normal 5 3 4 2 3 2 5" xfId="11612" xr:uid="{24051152-CA4E-46BF-8F3A-5482B48C1B56}"/>
    <cellStyle name="Normal 5 3 4 2 3 3" xfId="5235" xr:uid="{00000000-0005-0000-0000-00002D1A0000}"/>
    <cellStyle name="Normal 5 3 4 2 3 3 2" xfId="30567" xr:uid="{EFE3A192-DA6D-4D52-AE88-2FD8B1FBB7CF}"/>
    <cellStyle name="Normal 5 3 4 2 3 3 3" xfId="22126" xr:uid="{A558A990-7BC9-413D-8607-6BDE9B3DB068}"/>
    <cellStyle name="Normal 5 3 4 2 3 3 4" xfId="13685" xr:uid="{2088787B-FBDA-429C-9925-D078FD1C3F0D}"/>
    <cellStyle name="Normal 5 3 4 2 3 4" xfId="26349" xr:uid="{DB9B79A2-E56B-4D20-BF89-88DD619A2E2D}"/>
    <cellStyle name="Normal 5 3 4 2 3 5" xfId="17908" xr:uid="{881BABC7-28CA-480E-982E-D8B544533E02}"/>
    <cellStyle name="Normal 5 3 4 2 3 6" xfId="9467" xr:uid="{C6B05DAA-68CE-4FD9-8845-384335DF60A8}"/>
    <cellStyle name="Normal 5 3 4 2 4" xfId="1341" xr:uid="{00000000-0005-0000-0000-00002E1A0000}"/>
    <cellStyle name="Normal 5 3 4 2 4 2" xfId="3571" xr:uid="{00000000-0005-0000-0000-00002F1A0000}"/>
    <cellStyle name="Normal 5 3 4 2 4 2 2" xfId="7793" xr:uid="{00000000-0005-0000-0000-0000301A0000}"/>
    <cellStyle name="Normal 5 3 4 2 4 2 2 2" xfId="33125" xr:uid="{9CD17C5B-749B-4E52-8142-0129C7FE11A9}"/>
    <cellStyle name="Normal 5 3 4 2 4 2 2 3" xfId="24684" xr:uid="{3C9DD708-FDD5-40DD-A66A-F74AC531A5CA}"/>
    <cellStyle name="Normal 5 3 4 2 4 2 2 4" xfId="16243" xr:uid="{FA34D97D-D40D-414C-8667-2881639E3972}"/>
    <cellStyle name="Normal 5 3 4 2 4 2 3" xfId="28907" xr:uid="{C7E0D333-3CFC-4AD3-B386-8D8F15DB5784}"/>
    <cellStyle name="Normal 5 3 4 2 4 2 4" xfId="20466" xr:uid="{FCC75582-7F1E-45B0-9987-A28CA0E8932F}"/>
    <cellStyle name="Normal 5 3 4 2 4 2 5" xfId="12025" xr:uid="{F3F3A610-9597-4BF4-BE4F-D5BB817D0835}"/>
    <cellStyle name="Normal 5 3 4 2 4 3" xfId="5648" xr:uid="{00000000-0005-0000-0000-0000311A0000}"/>
    <cellStyle name="Normal 5 3 4 2 4 3 2" xfId="30980" xr:uid="{F95BC482-BED0-4201-86E2-A7DD45827C11}"/>
    <cellStyle name="Normal 5 3 4 2 4 3 3" xfId="22539" xr:uid="{1295CBF0-7B07-442C-88A9-B8E353FCEC16}"/>
    <cellStyle name="Normal 5 3 4 2 4 3 4" xfId="14098" xr:uid="{95651299-0395-4DFD-B466-B29F81426C3A}"/>
    <cellStyle name="Normal 5 3 4 2 4 4" xfId="26762" xr:uid="{240CA337-A302-4A56-A63D-BE79A446C2ED}"/>
    <cellStyle name="Normal 5 3 4 2 4 5" xfId="18321" xr:uid="{0B8213B5-7734-47F9-B009-BA65D6845519}"/>
    <cellStyle name="Normal 5 3 4 2 4 6" xfId="9880" xr:uid="{0D2CFCC7-EBA0-46EF-81B0-3B427DB5F958}"/>
    <cellStyle name="Normal 5 3 4 2 5" xfId="1754" xr:uid="{00000000-0005-0000-0000-0000321A0000}"/>
    <cellStyle name="Normal 5 3 4 2 5 2" xfId="3984" xr:uid="{00000000-0005-0000-0000-0000331A0000}"/>
    <cellStyle name="Normal 5 3 4 2 5 2 2" xfId="8206" xr:uid="{00000000-0005-0000-0000-0000341A0000}"/>
    <cellStyle name="Normal 5 3 4 2 5 2 2 2" xfId="33538" xr:uid="{472BCF91-8A9C-4CB4-8E0A-0E6766472603}"/>
    <cellStyle name="Normal 5 3 4 2 5 2 2 3" xfId="25097" xr:uid="{6A9C3A28-821E-4746-AF99-5D8517444687}"/>
    <cellStyle name="Normal 5 3 4 2 5 2 2 4" xfId="16656" xr:uid="{A7D15B52-8919-43A6-8FA5-B21BE60A3F81}"/>
    <cellStyle name="Normal 5 3 4 2 5 2 3" xfId="29320" xr:uid="{0E4227B3-B94F-4387-A22D-060DFEDB411E}"/>
    <cellStyle name="Normal 5 3 4 2 5 2 4" xfId="20879" xr:uid="{DD2E6CB9-1D91-447B-AB39-741F1705AF5A}"/>
    <cellStyle name="Normal 5 3 4 2 5 2 5" xfId="12438" xr:uid="{BBEF69EB-2699-467F-8DD2-856A9AB7F11D}"/>
    <cellStyle name="Normal 5 3 4 2 5 3" xfId="6061" xr:uid="{00000000-0005-0000-0000-0000351A0000}"/>
    <cellStyle name="Normal 5 3 4 2 5 3 2" xfId="31393" xr:uid="{F4C29B7B-E902-4A71-ABDA-14FD90F1E996}"/>
    <cellStyle name="Normal 5 3 4 2 5 3 3" xfId="22952" xr:uid="{1393711D-0283-4229-A95B-08DD06251B45}"/>
    <cellStyle name="Normal 5 3 4 2 5 3 4" xfId="14511" xr:uid="{AA7934BB-E3C7-4956-A00A-BCCC2A281C5B}"/>
    <cellStyle name="Normal 5 3 4 2 5 4" xfId="27175" xr:uid="{15025BFA-00C7-4AE0-89B5-5424D21CFFBD}"/>
    <cellStyle name="Normal 5 3 4 2 5 5" xfId="18734" xr:uid="{5758C1C8-1280-42B3-8E2D-527F6A6650D4}"/>
    <cellStyle name="Normal 5 3 4 2 5 6" xfId="10293" xr:uid="{30A3BF98-BA26-4C5F-B3DF-72F8FA9BA881}"/>
    <cellStyle name="Normal 5 3 4 2 6" xfId="2168" xr:uid="{00000000-0005-0000-0000-0000361A0000}"/>
    <cellStyle name="Normal 5 3 4 2 6 2" xfId="4397" xr:uid="{00000000-0005-0000-0000-0000371A0000}"/>
    <cellStyle name="Normal 5 3 4 2 6 2 2" xfId="8619" xr:uid="{00000000-0005-0000-0000-0000381A0000}"/>
    <cellStyle name="Normal 5 3 4 2 6 2 2 2" xfId="33951" xr:uid="{5693449A-94B5-4BBB-8635-02DF982B46B7}"/>
    <cellStyle name="Normal 5 3 4 2 6 2 2 3" xfId="25510" xr:uid="{CDCD8536-9F57-44ED-8F3A-FE1D38A77AD6}"/>
    <cellStyle name="Normal 5 3 4 2 6 2 2 4" xfId="17069" xr:uid="{B4F9A5E2-AC99-4908-B4FA-C1B0797DB15B}"/>
    <cellStyle name="Normal 5 3 4 2 6 2 3" xfId="29733" xr:uid="{28DA1CB0-89EE-4BBF-AB6D-30A18AACFFEC}"/>
    <cellStyle name="Normal 5 3 4 2 6 2 4" xfId="21292" xr:uid="{052C8FC7-E1FA-473C-AA39-CA61426D88F7}"/>
    <cellStyle name="Normal 5 3 4 2 6 2 5" xfId="12851" xr:uid="{87983126-F23D-42B4-8BE2-A14DEDDC6671}"/>
    <cellStyle name="Normal 5 3 4 2 6 3" xfId="6474" xr:uid="{00000000-0005-0000-0000-0000391A0000}"/>
    <cellStyle name="Normal 5 3 4 2 6 3 2" xfId="31806" xr:uid="{85C7C979-D3BE-4CF1-90A9-96EE94C68159}"/>
    <cellStyle name="Normal 5 3 4 2 6 3 3" xfId="23365" xr:uid="{1BF0A375-725A-46DD-B5D6-6CB4F7D2DEAC}"/>
    <cellStyle name="Normal 5 3 4 2 6 3 4" xfId="14924" xr:uid="{FEFA9901-1180-48CE-BEB9-F57A060D26CC}"/>
    <cellStyle name="Normal 5 3 4 2 6 4" xfId="27588" xr:uid="{AB5952A5-FD07-4F2F-AA3A-5303CD1EA086}"/>
    <cellStyle name="Normal 5 3 4 2 6 5" xfId="19147" xr:uid="{3A44F30A-DC40-483C-A947-41318B8983D5}"/>
    <cellStyle name="Normal 5 3 4 2 6 6" xfId="10706" xr:uid="{C2DD1711-1C3F-47CA-8394-2BF9CEDF1D83}"/>
    <cellStyle name="Normal 5 3 4 2 7" xfId="2604" xr:uid="{00000000-0005-0000-0000-00003A1A0000}"/>
    <cellStyle name="Normal 5 3 4 2 7 2" xfId="6887" xr:uid="{00000000-0005-0000-0000-00003B1A0000}"/>
    <cellStyle name="Normal 5 3 4 2 7 2 2" xfId="32219" xr:uid="{0F8F0101-ADA3-4308-9208-CA594A960026}"/>
    <cellStyle name="Normal 5 3 4 2 7 2 3" xfId="23778" xr:uid="{BCCB04A0-C45A-4E67-B20E-CEF08F45D025}"/>
    <cellStyle name="Normal 5 3 4 2 7 2 4" xfId="15337" xr:uid="{1FEAD6B6-8135-4FF4-9AF8-45352F3DE686}"/>
    <cellStyle name="Normal 5 3 4 2 7 3" xfId="28001" xr:uid="{92FEB7A8-3C23-4A67-BD4C-56EE38766CBE}"/>
    <cellStyle name="Normal 5 3 4 2 7 4" xfId="19560" xr:uid="{6793829B-1B07-4DF3-B391-FDB6F922F1CF}"/>
    <cellStyle name="Normal 5 3 4 2 7 5" xfId="11119" xr:uid="{49D74C59-C223-40FB-9E31-0C1B1D40E578}"/>
    <cellStyle name="Normal 5 3 4 2 8" xfId="4822" xr:uid="{00000000-0005-0000-0000-00003C1A0000}"/>
    <cellStyle name="Normal 5 3 4 2 8 2" xfId="30154" xr:uid="{5F6255EA-F819-4E3A-AB3C-2049F75FE56E}"/>
    <cellStyle name="Normal 5 3 4 2 8 3" xfId="21713" xr:uid="{26EEE0CA-A272-4A5C-8C32-64B5F32A48AC}"/>
    <cellStyle name="Normal 5 3 4 2 8 4" xfId="13272" xr:uid="{0B07AAA2-70CD-4BDF-A1AD-5E3B04AF517C}"/>
    <cellStyle name="Normal 5 3 4 2 9" xfId="25936" xr:uid="{331E3916-9549-4672-B9F8-0A5420AFD8F3}"/>
    <cellStyle name="Normal 5 3 4 3" xfId="452" xr:uid="{00000000-0005-0000-0000-00003D1A0000}"/>
    <cellStyle name="Normal 5 3 4 3 10" xfId="9056" xr:uid="{6FBFCC22-51AA-4C49-8F5D-F5CE9EA31616}"/>
    <cellStyle name="Normal 5 3 4 3 2" xfId="926" xr:uid="{00000000-0005-0000-0000-00003E1A0000}"/>
    <cellStyle name="Normal 5 3 4 3 2 2" xfId="3160" xr:uid="{00000000-0005-0000-0000-00003F1A0000}"/>
    <cellStyle name="Normal 5 3 4 3 2 2 2" xfId="7382" xr:uid="{00000000-0005-0000-0000-0000401A0000}"/>
    <cellStyle name="Normal 5 3 4 3 2 2 2 2" xfId="32714" xr:uid="{5D7A0CBA-EB69-4D35-B083-11B708871DB4}"/>
    <cellStyle name="Normal 5 3 4 3 2 2 2 3" xfId="24273" xr:uid="{B24A85DA-2360-41F9-94F2-591A0A7B019E}"/>
    <cellStyle name="Normal 5 3 4 3 2 2 2 4" xfId="15832" xr:uid="{2AF5BC9D-6471-4E91-AD79-5278431B081A}"/>
    <cellStyle name="Normal 5 3 4 3 2 2 3" xfId="28496" xr:uid="{1CAA41EB-DF82-4EAE-BAEE-37A6AA58F44F}"/>
    <cellStyle name="Normal 5 3 4 3 2 2 4" xfId="20055" xr:uid="{07343610-A3CF-415E-B5C3-4B8BCC714FED}"/>
    <cellStyle name="Normal 5 3 4 3 2 2 5" xfId="11614" xr:uid="{28EB375D-172E-4D44-B0B3-36CC99FBAE7F}"/>
    <cellStyle name="Normal 5 3 4 3 2 3" xfId="5237" xr:uid="{00000000-0005-0000-0000-0000411A0000}"/>
    <cellStyle name="Normal 5 3 4 3 2 3 2" xfId="30569" xr:uid="{F012A6B7-99AB-4F45-A447-9F9A84ABAE08}"/>
    <cellStyle name="Normal 5 3 4 3 2 3 3" xfId="22128" xr:uid="{38BD8B70-0BA0-4107-87F8-2325AAE5F994}"/>
    <cellStyle name="Normal 5 3 4 3 2 3 4" xfId="13687" xr:uid="{DFA21DE2-16D8-4C4F-9051-459E33D29F1E}"/>
    <cellStyle name="Normal 5 3 4 3 2 4" xfId="26351" xr:uid="{E46EB4D2-8AB4-4D45-901C-D7F27EF11CD0}"/>
    <cellStyle name="Normal 5 3 4 3 2 5" xfId="17910" xr:uid="{66106482-DB31-4C4F-A78D-71A466947073}"/>
    <cellStyle name="Normal 5 3 4 3 2 6" xfId="9469" xr:uid="{DF783764-883C-4735-AE1D-0BBF628613A7}"/>
    <cellStyle name="Normal 5 3 4 3 3" xfId="1343" xr:uid="{00000000-0005-0000-0000-0000421A0000}"/>
    <cellStyle name="Normal 5 3 4 3 3 2" xfId="3573" xr:uid="{00000000-0005-0000-0000-0000431A0000}"/>
    <cellStyle name="Normal 5 3 4 3 3 2 2" xfId="7795" xr:uid="{00000000-0005-0000-0000-0000441A0000}"/>
    <cellStyle name="Normal 5 3 4 3 3 2 2 2" xfId="33127" xr:uid="{62E6BE41-6F9E-46F4-A794-6D8953C99585}"/>
    <cellStyle name="Normal 5 3 4 3 3 2 2 3" xfId="24686" xr:uid="{4E998AB2-65EA-452C-9078-D605A9A7456E}"/>
    <cellStyle name="Normal 5 3 4 3 3 2 2 4" xfId="16245" xr:uid="{56EF8BFA-7999-4292-89AD-F408864E0D97}"/>
    <cellStyle name="Normal 5 3 4 3 3 2 3" xfId="28909" xr:uid="{08A8545E-C5F3-435B-9EE8-625E98C364F9}"/>
    <cellStyle name="Normal 5 3 4 3 3 2 4" xfId="20468" xr:uid="{5E236838-7A9F-4216-AF0C-E0783D33B7B9}"/>
    <cellStyle name="Normal 5 3 4 3 3 2 5" xfId="12027" xr:uid="{AA64CAC3-4269-4995-AF22-C30C9DA51DFB}"/>
    <cellStyle name="Normal 5 3 4 3 3 3" xfId="5650" xr:uid="{00000000-0005-0000-0000-0000451A0000}"/>
    <cellStyle name="Normal 5 3 4 3 3 3 2" xfId="30982" xr:uid="{69C8EC71-122D-499D-BB13-92D47B9D5803}"/>
    <cellStyle name="Normal 5 3 4 3 3 3 3" xfId="22541" xr:uid="{3787A781-A25F-473D-903B-A7618A055935}"/>
    <cellStyle name="Normal 5 3 4 3 3 3 4" xfId="14100" xr:uid="{FC669A4C-3C0A-4305-8D2B-1B4A566F07F9}"/>
    <cellStyle name="Normal 5 3 4 3 3 4" xfId="26764" xr:uid="{3849888C-6349-47A4-B3CC-9011CE713074}"/>
    <cellStyle name="Normal 5 3 4 3 3 5" xfId="18323" xr:uid="{50B46966-FF31-4FC6-8C39-922C54B75981}"/>
    <cellStyle name="Normal 5 3 4 3 3 6" xfId="9882" xr:uid="{2CDC2A38-EE7F-4626-BA4E-7FC61C4976EE}"/>
    <cellStyle name="Normal 5 3 4 3 4" xfId="1756" xr:uid="{00000000-0005-0000-0000-0000461A0000}"/>
    <cellStyle name="Normal 5 3 4 3 4 2" xfId="3986" xr:uid="{00000000-0005-0000-0000-0000471A0000}"/>
    <cellStyle name="Normal 5 3 4 3 4 2 2" xfId="8208" xr:uid="{00000000-0005-0000-0000-0000481A0000}"/>
    <cellStyle name="Normal 5 3 4 3 4 2 2 2" xfId="33540" xr:uid="{8959CCDB-15C4-4781-AAC2-0143F82F4F86}"/>
    <cellStyle name="Normal 5 3 4 3 4 2 2 3" xfId="25099" xr:uid="{224823AD-802A-429F-80CB-CE0D44E26C0C}"/>
    <cellStyle name="Normal 5 3 4 3 4 2 2 4" xfId="16658" xr:uid="{54ED58DD-A79B-4CAA-95E5-8E8E524FCABA}"/>
    <cellStyle name="Normal 5 3 4 3 4 2 3" xfId="29322" xr:uid="{18C5678C-40E6-4D5D-946A-88D8770BED85}"/>
    <cellStyle name="Normal 5 3 4 3 4 2 4" xfId="20881" xr:uid="{1D31C5FB-0A40-403C-885F-5833DB258656}"/>
    <cellStyle name="Normal 5 3 4 3 4 2 5" xfId="12440" xr:uid="{80A01F9A-7EF5-487C-A7F3-97A2BDAF6C47}"/>
    <cellStyle name="Normal 5 3 4 3 4 3" xfId="6063" xr:uid="{00000000-0005-0000-0000-0000491A0000}"/>
    <cellStyle name="Normal 5 3 4 3 4 3 2" xfId="31395" xr:uid="{8F336B59-9443-4B32-AC38-213D77060AC9}"/>
    <cellStyle name="Normal 5 3 4 3 4 3 3" xfId="22954" xr:uid="{4367E8E6-969B-4C09-ACE5-2FF7D7548B19}"/>
    <cellStyle name="Normal 5 3 4 3 4 3 4" xfId="14513" xr:uid="{AA14E3B7-ECEF-4016-B56C-BD127B71EFF1}"/>
    <cellStyle name="Normal 5 3 4 3 4 4" xfId="27177" xr:uid="{8437D05A-2BE7-47AB-82F0-5F9BAF60726E}"/>
    <cellStyle name="Normal 5 3 4 3 4 5" xfId="18736" xr:uid="{A0807C94-9905-4AD9-8234-590975BF5846}"/>
    <cellStyle name="Normal 5 3 4 3 4 6" xfId="10295" xr:uid="{E8A98FD3-32A4-418D-BEFC-7EB49B5EA30F}"/>
    <cellStyle name="Normal 5 3 4 3 5" xfId="2170" xr:uid="{00000000-0005-0000-0000-00004A1A0000}"/>
    <cellStyle name="Normal 5 3 4 3 5 2" xfId="4399" xr:uid="{00000000-0005-0000-0000-00004B1A0000}"/>
    <cellStyle name="Normal 5 3 4 3 5 2 2" xfId="8621" xr:uid="{00000000-0005-0000-0000-00004C1A0000}"/>
    <cellStyle name="Normal 5 3 4 3 5 2 2 2" xfId="33953" xr:uid="{ABBABE41-2652-4363-89A5-60300F443086}"/>
    <cellStyle name="Normal 5 3 4 3 5 2 2 3" xfId="25512" xr:uid="{619CB408-98F6-4B3D-98F4-EE074D6E8C16}"/>
    <cellStyle name="Normal 5 3 4 3 5 2 2 4" xfId="17071" xr:uid="{D548D3AE-140A-4090-A827-9C5ACC67185B}"/>
    <cellStyle name="Normal 5 3 4 3 5 2 3" xfId="29735" xr:uid="{042ACD89-FF19-4A67-8241-5C0BABDEC912}"/>
    <cellStyle name="Normal 5 3 4 3 5 2 4" xfId="21294" xr:uid="{AA8D726D-26B1-490E-B383-D942D4B4D2B2}"/>
    <cellStyle name="Normal 5 3 4 3 5 2 5" xfId="12853" xr:uid="{E8FDD895-EE96-4DD2-AF4A-DCD14E8FF59B}"/>
    <cellStyle name="Normal 5 3 4 3 5 3" xfId="6476" xr:uid="{00000000-0005-0000-0000-00004D1A0000}"/>
    <cellStyle name="Normal 5 3 4 3 5 3 2" xfId="31808" xr:uid="{D0AAD16E-ED79-49CC-B68B-87079CE12523}"/>
    <cellStyle name="Normal 5 3 4 3 5 3 3" xfId="23367" xr:uid="{34FCA2CE-4D87-40CF-95D3-5A8C31744C02}"/>
    <cellStyle name="Normal 5 3 4 3 5 3 4" xfId="14926" xr:uid="{82D9C137-AE75-43F9-9973-9A618934368C}"/>
    <cellStyle name="Normal 5 3 4 3 5 4" xfId="27590" xr:uid="{55BF09CD-7154-4CBF-A8F5-374604685826}"/>
    <cellStyle name="Normal 5 3 4 3 5 5" xfId="19149" xr:uid="{8F498156-23E5-46AA-9FFE-629A10B13B7F}"/>
    <cellStyle name="Normal 5 3 4 3 5 6" xfId="10708" xr:uid="{9FA4AB82-229A-4AC4-ABDD-5C6459726F4D}"/>
    <cellStyle name="Normal 5 3 4 3 6" xfId="2606" xr:uid="{00000000-0005-0000-0000-00004E1A0000}"/>
    <cellStyle name="Normal 5 3 4 3 6 2" xfId="6889" xr:uid="{00000000-0005-0000-0000-00004F1A0000}"/>
    <cellStyle name="Normal 5 3 4 3 6 2 2" xfId="32221" xr:uid="{D6B5E715-1240-4E14-BF75-C0A3819CE9EB}"/>
    <cellStyle name="Normal 5 3 4 3 6 2 3" xfId="23780" xr:uid="{CD7923EC-029D-4D41-9FFC-2F4747E22A2F}"/>
    <cellStyle name="Normal 5 3 4 3 6 2 4" xfId="15339" xr:uid="{FD6D12CC-B22E-44F5-B62D-6EEB67C11B13}"/>
    <cellStyle name="Normal 5 3 4 3 6 3" xfId="28003" xr:uid="{B732867A-2FB3-4F53-B9D8-E77178517154}"/>
    <cellStyle name="Normal 5 3 4 3 6 4" xfId="19562" xr:uid="{99C1F0F3-6CA1-4CC8-8C32-EABE2481C71D}"/>
    <cellStyle name="Normal 5 3 4 3 6 5" xfId="11121" xr:uid="{00B4E34C-5D2C-4191-A5EA-ED75A44B92E0}"/>
    <cellStyle name="Normal 5 3 4 3 7" xfId="4824" xr:uid="{00000000-0005-0000-0000-0000501A0000}"/>
    <cellStyle name="Normal 5 3 4 3 7 2" xfId="30156" xr:uid="{89D604BB-7DB4-44AB-A3E5-EB55AAF2B898}"/>
    <cellStyle name="Normal 5 3 4 3 7 3" xfId="21715" xr:uid="{AE4E8660-0194-4AFF-B595-4F8423511A41}"/>
    <cellStyle name="Normal 5 3 4 3 7 4" xfId="13274" xr:uid="{BFFA045F-921A-4E03-9B92-F55A54EDC495}"/>
    <cellStyle name="Normal 5 3 4 3 8" xfId="25938" xr:uid="{B52AF8B2-B301-4249-93F0-FB6D4C5AD3EE}"/>
    <cellStyle name="Normal 5 3 4 3 9" xfId="17497" xr:uid="{D6E62C5C-EFA8-4DB8-AD0B-047CA4E36598}"/>
    <cellStyle name="Normal 5 3 4 4" xfId="923" xr:uid="{00000000-0005-0000-0000-0000511A0000}"/>
    <cellStyle name="Normal 5 3 4 4 2" xfId="3157" xr:uid="{00000000-0005-0000-0000-0000521A0000}"/>
    <cellStyle name="Normal 5 3 4 4 2 2" xfId="7379" xr:uid="{00000000-0005-0000-0000-0000531A0000}"/>
    <cellStyle name="Normal 5 3 4 4 2 2 2" xfId="32711" xr:uid="{C1EE930C-C40D-4ADB-BD0C-0B9B48968A90}"/>
    <cellStyle name="Normal 5 3 4 4 2 2 3" xfId="24270" xr:uid="{EB8CD077-94DB-493C-844B-756C3567477B}"/>
    <cellStyle name="Normal 5 3 4 4 2 2 4" xfId="15829" xr:uid="{26CC7FA5-C28D-483D-9D41-F3B51795ECDF}"/>
    <cellStyle name="Normal 5 3 4 4 2 3" xfId="28493" xr:uid="{AC760C7A-E217-4B6E-B626-212FFF701363}"/>
    <cellStyle name="Normal 5 3 4 4 2 4" xfId="20052" xr:uid="{DDBB996D-DDF5-454E-AF59-CEE338CC432C}"/>
    <cellStyle name="Normal 5 3 4 4 2 5" xfId="11611" xr:uid="{2D86299A-506B-4F01-8D6C-37E99A52111C}"/>
    <cellStyle name="Normal 5 3 4 4 3" xfId="5234" xr:uid="{00000000-0005-0000-0000-0000541A0000}"/>
    <cellStyle name="Normal 5 3 4 4 3 2" xfId="30566" xr:uid="{A33EA26F-0946-4823-8FD9-AB04B4465050}"/>
    <cellStyle name="Normal 5 3 4 4 3 3" xfId="22125" xr:uid="{43489DA3-6F55-479D-B62F-3D6DE24BA293}"/>
    <cellStyle name="Normal 5 3 4 4 3 4" xfId="13684" xr:uid="{A609E40F-3878-41BE-87E4-FFAA4FAD933F}"/>
    <cellStyle name="Normal 5 3 4 4 4" xfId="26348" xr:uid="{04167F6B-4C4E-4CAD-AB20-4C3246EAD433}"/>
    <cellStyle name="Normal 5 3 4 4 5" xfId="17907" xr:uid="{EF090F96-6585-4C18-AC2F-B235C9A1AFB5}"/>
    <cellStyle name="Normal 5 3 4 4 6" xfId="9466" xr:uid="{0F094243-B62D-4D86-80AB-91BF91C139CF}"/>
    <cellStyle name="Normal 5 3 4 5" xfId="1340" xr:uid="{00000000-0005-0000-0000-0000551A0000}"/>
    <cellStyle name="Normal 5 3 4 5 2" xfId="3570" xr:uid="{00000000-0005-0000-0000-0000561A0000}"/>
    <cellStyle name="Normal 5 3 4 5 2 2" xfId="7792" xr:uid="{00000000-0005-0000-0000-0000571A0000}"/>
    <cellStyle name="Normal 5 3 4 5 2 2 2" xfId="33124" xr:uid="{3FB7EC11-DDC5-472D-AC0A-75052A87FE30}"/>
    <cellStyle name="Normal 5 3 4 5 2 2 3" xfId="24683" xr:uid="{FDE20556-3D3C-4808-B49E-E2BA6D7213C2}"/>
    <cellStyle name="Normal 5 3 4 5 2 2 4" xfId="16242" xr:uid="{68FD34F4-32AE-420B-907A-ED2CDE22B1AA}"/>
    <cellStyle name="Normal 5 3 4 5 2 3" xfId="28906" xr:uid="{EAF4640E-AA7F-4206-9DB8-7F43F43A282A}"/>
    <cellStyle name="Normal 5 3 4 5 2 4" xfId="20465" xr:uid="{B0B66F68-68C4-4FD1-AF50-EAE678DDD0DD}"/>
    <cellStyle name="Normal 5 3 4 5 2 5" xfId="12024" xr:uid="{818F49E0-72D1-4850-9657-1C2198E2826F}"/>
    <cellStyle name="Normal 5 3 4 5 3" xfId="5647" xr:uid="{00000000-0005-0000-0000-0000581A0000}"/>
    <cellStyle name="Normal 5 3 4 5 3 2" xfId="30979" xr:uid="{2F63EDE8-BCEC-43DE-BCDF-614A95C89BDF}"/>
    <cellStyle name="Normal 5 3 4 5 3 3" xfId="22538" xr:uid="{B0B5E662-B102-4049-B4F1-159BC8FED824}"/>
    <cellStyle name="Normal 5 3 4 5 3 4" xfId="14097" xr:uid="{947C7EF7-9A6A-46BE-9E68-38E1CEBD828E}"/>
    <cellStyle name="Normal 5 3 4 5 4" xfId="26761" xr:uid="{DF668250-399C-4F2F-BF70-F8B4F3DDB1F5}"/>
    <cellStyle name="Normal 5 3 4 5 5" xfId="18320" xr:uid="{0783131A-CB34-45B1-970D-DC0D96615877}"/>
    <cellStyle name="Normal 5 3 4 5 6" xfId="9879" xr:uid="{3BFF140A-3CC2-4C45-A131-189592C2F926}"/>
    <cellStyle name="Normal 5 3 4 6" xfId="1753" xr:uid="{00000000-0005-0000-0000-0000591A0000}"/>
    <cellStyle name="Normal 5 3 4 6 2" xfId="3983" xr:uid="{00000000-0005-0000-0000-00005A1A0000}"/>
    <cellStyle name="Normal 5 3 4 6 2 2" xfId="8205" xr:uid="{00000000-0005-0000-0000-00005B1A0000}"/>
    <cellStyle name="Normal 5 3 4 6 2 2 2" xfId="33537" xr:uid="{FB28294C-77F9-4B68-83E3-04DAF233F0D2}"/>
    <cellStyle name="Normal 5 3 4 6 2 2 3" xfId="25096" xr:uid="{DC01FA6A-070C-411E-BB6F-61941563567B}"/>
    <cellStyle name="Normal 5 3 4 6 2 2 4" xfId="16655" xr:uid="{ACA30F32-6DDB-48F5-8AE3-7D16CDE010EA}"/>
    <cellStyle name="Normal 5 3 4 6 2 3" xfId="29319" xr:uid="{01BB7BE8-9A82-439A-9C65-04A309FDB3CA}"/>
    <cellStyle name="Normal 5 3 4 6 2 4" xfId="20878" xr:uid="{96241F88-50BF-471A-8532-C80BDCF1A5E1}"/>
    <cellStyle name="Normal 5 3 4 6 2 5" xfId="12437" xr:uid="{59DC3FF9-FFB0-492B-BD83-9E72DCD3E432}"/>
    <cellStyle name="Normal 5 3 4 6 3" xfId="6060" xr:uid="{00000000-0005-0000-0000-00005C1A0000}"/>
    <cellStyle name="Normal 5 3 4 6 3 2" xfId="31392" xr:uid="{DDA5DB2D-2CF7-47A6-8C5A-7A865D4BAFE3}"/>
    <cellStyle name="Normal 5 3 4 6 3 3" xfId="22951" xr:uid="{F5FE8BD6-AE8E-4087-B608-3D1776280FDB}"/>
    <cellStyle name="Normal 5 3 4 6 3 4" xfId="14510" xr:uid="{333E22B3-D0AD-428C-96C5-D7FC4EE2FD3B}"/>
    <cellStyle name="Normal 5 3 4 6 4" xfId="27174" xr:uid="{404114F8-E00F-4EF2-9EB0-53B868DFFD55}"/>
    <cellStyle name="Normal 5 3 4 6 5" xfId="18733" xr:uid="{E71E36F8-B886-42B2-AF8A-E60B23E1CFBB}"/>
    <cellStyle name="Normal 5 3 4 6 6" xfId="10292" xr:uid="{4F697BB0-83E6-4296-BD52-DFAC26F65E08}"/>
    <cellStyle name="Normal 5 3 4 7" xfId="2167" xr:uid="{00000000-0005-0000-0000-00005D1A0000}"/>
    <cellStyle name="Normal 5 3 4 7 2" xfId="4396" xr:uid="{00000000-0005-0000-0000-00005E1A0000}"/>
    <cellStyle name="Normal 5 3 4 7 2 2" xfId="8618" xr:uid="{00000000-0005-0000-0000-00005F1A0000}"/>
    <cellStyle name="Normal 5 3 4 7 2 2 2" xfId="33950" xr:uid="{3AD43947-3BEA-43C0-97FA-050ACF7FF430}"/>
    <cellStyle name="Normal 5 3 4 7 2 2 3" xfId="25509" xr:uid="{AD26CCC8-66CA-414B-91AB-1A7BDEADFC92}"/>
    <cellStyle name="Normal 5 3 4 7 2 2 4" xfId="17068" xr:uid="{6478A407-46A4-4CED-917A-DAA2C48F2D5A}"/>
    <cellStyle name="Normal 5 3 4 7 2 3" xfId="29732" xr:uid="{89DE4168-315A-4911-9B73-9DA4469562F6}"/>
    <cellStyle name="Normal 5 3 4 7 2 4" xfId="21291" xr:uid="{E92D067E-AD0C-40E1-96AF-CDCD0C7A0FD4}"/>
    <cellStyle name="Normal 5 3 4 7 2 5" xfId="12850" xr:uid="{34CAD8ED-C05C-4244-986E-244AB61A0D38}"/>
    <cellStyle name="Normal 5 3 4 7 3" xfId="6473" xr:uid="{00000000-0005-0000-0000-0000601A0000}"/>
    <cellStyle name="Normal 5 3 4 7 3 2" xfId="31805" xr:uid="{2DFF7C49-5956-4A10-807F-83367C26405C}"/>
    <cellStyle name="Normal 5 3 4 7 3 3" xfId="23364" xr:uid="{1EEC51C9-DA41-4BBB-B949-4159FA048BEA}"/>
    <cellStyle name="Normal 5 3 4 7 3 4" xfId="14923" xr:uid="{F8609153-B127-4703-B357-F3B59832B0E4}"/>
    <cellStyle name="Normal 5 3 4 7 4" xfId="27587" xr:uid="{B4B06C7E-9272-4CB5-9AB4-994E0B55B855}"/>
    <cellStyle name="Normal 5 3 4 7 5" xfId="19146" xr:uid="{1712928B-1927-4EBF-9F60-3336D10FB536}"/>
    <cellStyle name="Normal 5 3 4 7 6" xfId="10705" xr:uid="{337B0503-ECBC-42A1-9070-76B76C4EA77E}"/>
    <cellStyle name="Normal 5 3 4 8" xfId="2603" xr:uid="{00000000-0005-0000-0000-0000611A0000}"/>
    <cellStyle name="Normal 5 3 4 8 2" xfId="6886" xr:uid="{00000000-0005-0000-0000-0000621A0000}"/>
    <cellStyle name="Normal 5 3 4 8 2 2" xfId="32218" xr:uid="{F1963089-CCFF-4EB0-9E92-A43E4E38F90F}"/>
    <cellStyle name="Normal 5 3 4 8 2 3" xfId="23777" xr:uid="{D856A9A3-201A-489D-960F-C75E2754996B}"/>
    <cellStyle name="Normal 5 3 4 8 2 4" xfId="15336" xr:uid="{4B42D007-B325-4791-BF75-D82B243CF340}"/>
    <cellStyle name="Normal 5 3 4 8 3" xfId="28000" xr:uid="{FE70172F-0DD3-41DD-A7D0-B269708BABDA}"/>
    <cellStyle name="Normal 5 3 4 8 4" xfId="19559" xr:uid="{A54544BB-2E80-480A-BEDB-E39F6A9E2027}"/>
    <cellStyle name="Normal 5 3 4 8 5" xfId="11118" xr:uid="{B8464466-0DD7-4CED-9FEF-EA9AEDC8202B}"/>
    <cellStyle name="Normal 5 3 4 9" xfId="4821" xr:uid="{00000000-0005-0000-0000-0000631A0000}"/>
    <cellStyle name="Normal 5 3 4 9 2" xfId="30153" xr:uid="{725B0F15-0A36-4173-B9EB-F7765E3D8463}"/>
    <cellStyle name="Normal 5 3 4 9 3" xfId="21712" xr:uid="{50CBA2F6-2B3A-4857-8286-9C4368E903A2}"/>
    <cellStyle name="Normal 5 3 4 9 4" xfId="13271" xr:uid="{682A2199-06B6-4DE3-BAC4-C7B6F3F141B1}"/>
    <cellStyle name="Normal 5 3 5" xfId="453" xr:uid="{00000000-0005-0000-0000-0000641A0000}"/>
    <cellStyle name="Normal 5 3 5 10" xfId="17498" xr:uid="{20421D40-83F2-407C-B3B9-FC60D6E7C485}"/>
    <cellStyle name="Normal 5 3 5 11" xfId="9057" xr:uid="{6149723F-DD87-4A0A-A821-B52DB8AB98A8}"/>
    <cellStyle name="Normal 5 3 5 2" xfId="454" xr:uid="{00000000-0005-0000-0000-0000651A0000}"/>
    <cellStyle name="Normal 5 3 5 2 10" xfId="9058" xr:uid="{873C3B8F-7D97-4D91-898B-7EEAA6DF3602}"/>
    <cellStyle name="Normal 5 3 5 2 2" xfId="928" xr:uid="{00000000-0005-0000-0000-0000661A0000}"/>
    <cellStyle name="Normal 5 3 5 2 2 2" xfId="3162" xr:uid="{00000000-0005-0000-0000-0000671A0000}"/>
    <cellStyle name="Normal 5 3 5 2 2 2 2" xfId="7384" xr:uid="{00000000-0005-0000-0000-0000681A0000}"/>
    <cellStyle name="Normal 5 3 5 2 2 2 2 2" xfId="32716" xr:uid="{71B01563-7E91-4762-BBCD-57F40EA00BB4}"/>
    <cellStyle name="Normal 5 3 5 2 2 2 2 3" xfId="24275" xr:uid="{4F63B8E3-ED51-4CE0-901B-2C7863342176}"/>
    <cellStyle name="Normal 5 3 5 2 2 2 2 4" xfId="15834" xr:uid="{E4454512-EBE2-492D-84A7-CA6A445CBAF6}"/>
    <cellStyle name="Normal 5 3 5 2 2 2 3" xfId="28498" xr:uid="{D07353B6-30E7-44CD-9BBE-3976024A3088}"/>
    <cellStyle name="Normal 5 3 5 2 2 2 4" xfId="20057" xr:uid="{9E755958-E7F4-4096-B42C-A555A0A4A5BF}"/>
    <cellStyle name="Normal 5 3 5 2 2 2 5" xfId="11616" xr:uid="{BDB64839-54A8-4BE1-B0F2-C1949601F8C8}"/>
    <cellStyle name="Normal 5 3 5 2 2 3" xfId="5239" xr:uid="{00000000-0005-0000-0000-0000691A0000}"/>
    <cellStyle name="Normal 5 3 5 2 2 3 2" xfId="30571" xr:uid="{07149A56-BCFB-4FA7-86F9-BE87C8A16E68}"/>
    <cellStyle name="Normal 5 3 5 2 2 3 3" xfId="22130" xr:uid="{48C9324B-EB42-4C6B-9891-0B9306D4A017}"/>
    <cellStyle name="Normal 5 3 5 2 2 3 4" xfId="13689" xr:uid="{88588EDE-3887-4FCD-8451-91AF7A731D2B}"/>
    <cellStyle name="Normal 5 3 5 2 2 4" xfId="26353" xr:uid="{7FD75164-1511-44F1-9939-B72C69EA89DF}"/>
    <cellStyle name="Normal 5 3 5 2 2 5" xfId="17912" xr:uid="{17E1929D-1A9F-45C7-B2EA-6DDA8D3105BA}"/>
    <cellStyle name="Normal 5 3 5 2 2 6" xfId="9471" xr:uid="{BF6D25E7-B6D9-4370-B2CE-C9880267531A}"/>
    <cellStyle name="Normal 5 3 5 2 3" xfId="1345" xr:uid="{00000000-0005-0000-0000-00006A1A0000}"/>
    <cellStyle name="Normal 5 3 5 2 3 2" xfId="3575" xr:uid="{00000000-0005-0000-0000-00006B1A0000}"/>
    <cellStyle name="Normal 5 3 5 2 3 2 2" xfId="7797" xr:uid="{00000000-0005-0000-0000-00006C1A0000}"/>
    <cellStyle name="Normal 5 3 5 2 3 2 2 2" xfId="33129" xr:uid="{48ED9C10-5C3B-43D7-A0F4-204D5B047172}"/>
    <cellStyle name="Normal 5 3 5 2 3 2 2 3" xfId="24688" xr:uid="{83E54A13-5F9B-4525-A149-D80077A05DD2}"/>
    <cellStyle name="Normal 5 3 5 2 3 2 2 4" xfId="16247" xr:uid="{2F89ED5D-DF06-4919-80FD-80E6628D69EF}"/>
    <cellStyle name="Normal 5 3 5 2 3 2 3" xfId="28911" xr:uid="{F754D3A2-2057-4D37-AB7A-8AE0A87EDF96}"/>
    <cellStyle name="Normal 5 3 5 2 3 2 4" xfId="20470" xr:uid="{3E235F2C-55E8-459B-A64D-273568AFD0E7}"/>
    <cellStyle name="Normal 5 3 5 2 3 2 5" xfId="12029" xr:uid="{A38D216F-C437-4AA8-975B-12650F88A128}"/>
    <cellStyle name="Normal 5 3 5 2 3 3" xfId="5652" xr:uid="{00000000-0005-0000-0000-00006D1A0000}"/>
    <cellStyle name="Normal 5 3 5 2 3 3 2" xfId="30984" xr:uid="{902EFD21-1BF7-44C7-BCE4-2DC213575035}"/>
    <cellStyle name="Normal 5 3 5 2 3 3 3" xfId="22543" xr:uid="{27E9314C-9EC9-4835-9E73-1E2D8105E02F}"/>
    <cellStyle name="Normal 5 3 5 2 3 3 4" xfId="14102" xr:uid="{3FFA752C-4B5D-4C6A-A238-8331430F0BC9}"/>
    <cellStyle name="Normal 5 3 5 2 3 4" xfId="26766" xr:uid="{345473C8-44A1-4DFB-BEEC-14EB6F9A1CA0}"/>
    <cellStyle name="Normal 5 3 5 2 3 5" xfId="18325" xr:uid="{786F9DA9-2E50-417B-A63A-F66822F62ECF}"/>
    <cellStyle name="Normal 5 3 5 2 3 6" xfId="9884" xr:uid="{97641B84-29B6-4E0C-84B1-A5E54D6D3F34}"/>
    <cellStyle name="Normal 5 3 5 2 4" xfId="1758" xr:uid="{00000000-0005-0000-0000-00006E1A0000}"/>
    <cellStyle name="Normal 5 3 5 2 4 2" xfId="3988" xr:uid="{00000000-0005-0000-0000-00006F1A0000}"/>
    <cellStyle name="Normal 5 3 5 2 4 2 2" xfId="8210" xr:uid="{00000000-0005-0000-0000-0000701A0000}"/>
    <cellStyle name="Normal 5 3 5 2 4 2 2 2" xfId="33542" xr:uid="{3F2D0DAB-3CCE-4F43-9527-045C15B9C6BB}"/>
    <cellStyle name="Normal 5 3 5 2 4 2 2 3" xfId="25101" xr:uid="{C1A9454B-2F98-4BE3-88E7-B8118F8F1C0E}"/>
    <cellStyle name="Normal 5 3 5 2 4 2 2 4" xfId="16660" xr:uid="{396A0CE3-00CD-4628-BA7D-87D8232C51AC}"/>
    <cellStyle name="Normal 5 3 5 2 4 2 3" xfId="29324" xr:uid="{0646BB18-D1DC-4E75-99A4-269E5F2FD296}"/>
    <cellStyle name="Normal 5 3 5 2 4 2 4" xfId="20883" xr:uid="{D4ECD68D-9F5A-4A3F-BF91-6AD7A4D2477D}"/>
    <cellStyle name="Normal 5 3 5 2 4 2 5" xfId="12442" xr:uid="{5BC9B172-8099-414D-B373-E56006DEE5AF}"/>
    <cellStyle name="Normal 5 3 5 2 4 3" xfId="6065" xr:uid="{00000000-0005-0000-0000-0000711A0000}"/>
    <cellStyle name="Normal 5 3 5 2 4 3 2" xfId="31397" xr:uid="{F320BA3C-71B0-43AC-809E-D9F5D2CB5840}"/>
    <cellStyle name="Normal 5 3 5 2 4 3 3" xfId="22956" xr:uid="{83A77C55-19E2-4970-95A5-B7ECEF13FD1D}"/>
    <cellStyle name="Normal 5 3 5 2 4 3 4" xfId="14515" xr:uid="{08A84F24-9007-4B10-A442-37B2F5436070}"/>
    <cellStyle name="Normal 5 3 5 2 4 4" xfId="27179" xr:uid="{34C5FFDE-94E2-4330-8F7D-71CB585468BA}"/>
    <cellStyle name="Normal 5 3 5 2 4 5" xfId="18738" xr:uid="{EDE0A722-B6E4-4EF1-8C2C-713FBF290E62}"/>
    <cellStyle name="Normal 5 3 5 2 4 6" xfId="10297" xr:uid="{53EDEC65-CA72-4CC6-9280-765E55386BA1}"/>
    <cellStyle name="Normal 5 3 5 2 5" xfId="2172" xr:uid="{00000000-0005-0000-0000-0000721A0000}"/>
    <cellStyle name="Normal 5 3 5 2 5 2" xfId="4401" xr:uid="{00000000-0005-0000-0000-0000731A0000}"/>
    <cellStyle name="Normal 5 3 5 2 5 2 2" xfId="8623" xr:uid="{00000000-0005-0000-0000-0000741A0000}"/>
    <cellStyle name="Normal 5 3 5 2 5 2 2 2" xfId="33955" xr:uid="{81515C11-6076-4213-8387-983A24D2E1C4}"/>
    <cellStyle name="Normal 5 3 5 2 5 2 2 3" xfId="25514" xr:uid="{92AAA7EB-4FD4-496A-BD20-0371E4C7E6EC}"/>
    <cellStyle name="Normal 5 3 5 2 5 2 2 4" xfId="17073" xr:uid="{BAE49DF6-820E-4F82-8433-D90174A6D3CF}"/>
    <cellStyle name="Normal 5 3 5 2 5 2 3" xfId="29737" xr:uid="{1486F601-7B3D-4D80-A82B-FC3C3E6E7F6C}"/>
    <cellStyle name="Normal 5 3 5 2 5 2 4" xfId="21296" xr:uid="{F46D916C-49F5-4458-B07F-132C5A44733E}"/>
    <cellStyle name="Normal 5 3 5 2 5 2 5" xfId="12855" xr:uid="{66FAF1F4-2677-4D48-BFCB-BEBED988B67A}"/>
    <cellStyle name="Normal 5 3 5 2 5 3" xfId="6478" xr:uid="{00000000-0005-0000-0000-0000751A0000}"/>
    <cellStyle name="Normal 5 3 5 2 5 3 2" xfId="31810" xr:uid="{D01B9D34-1776-4C5E-8E38-B86041FE787F}"/>
    <cellStyle name="Normal 5 3 5 2 5 3 3" xfId="23369" xr:uid="{A090E134-ACCD-46B5-BCE7-65A259F337CC}"/>
    <cellStyle name="Normal 5 3 5 2 5 3 4" xfId="14928" xr:uid="{5C20EB2D-F854-49DB-9251-562EEF2ABE75}"/>
    <cellStyle name="Normal 5 3 5 2 5 4" xfId="27592" xr:uid="{8AE086CD-CE71-424E-AD57-27640852F8B4}"/>
    <cellStyle name="Normal 5 3 5 2 5 5" xfId="19151" xr:uid="{951F8333-1458-41E8-AECB-7969BC049C7C}"/>
    <cellStyle name="Normal 5 3 5 2 5 6" xfId="10710" xr:uid="{8BB36204-3029-42A6-B1E2-C62F73CC204A}"/>
    <cellStyle name="Normal 5 3 5 2 6" xfId="2608" xr:uid="{00000000-0005-0000-0000-0000761A0000}"/>
    <cellStyle name="Normal 5 3 5 2 6 2" xfId="6891" xr:uid="{00000000-0005-0000-0000-0000771A0000}"/>
    <cellStyle name="Normal 5 3 5 2 6 2 2" xfId="32223" xr:uid="{E667F230-48EF-4C71-A014-6797C830E729}"/>
    <cellStyle name="Normal 5 3 5 2 6 2 3" xfId="23782" xr:uid="{263A0298-A232-467C-826E-D417FC04CD10}"/>
    <cellStyle name="Normal 5 3 5 2 6 2 4" xfId="15341" xr:uid="{01BDDC8A-9E00-461D-8163-44363DF4FDF8}"/>
    <cellStyle name="Normal 5 3 5 2 6 3" xfId="28005" xr:uid="{9A4E58A2-37F1-4B73-A44C-C9DD19ECA671}"/>
    <cellStyle name="Normal 5 3 5 2 6 4" xfId="19564" xr:uid="{ECD82744-0875-468E-8C29-296906C66872}"/>
    <cellStyle name="Normal 5 3 5 2 6 5" xfId="11123" xr:uid="{6AD5A705-9948-47DF-8A0C-50FB9B92B93A}"/>
    <cellStyle name="Normal 5 3 5 2 7" xfId="4826" xr:uid="{00000000-0005-0000-0000-0000781A0000}"/>
    <cellStyle name="Normal 5 3 5 2 7 2" xfId="30158" xr:uid="{32A9D399-B9F4-4FDA-B921-4096B6A33C52}"/>
    <cellStyle name="Normal 5 3 5 2 7 3" xfId="21717" xr:uid="{A4A54517-F562-4DBA-81F8-234B52D9FC60}"/>
    <cellStyle name="Normal 5 3 5 2 7 4" xfId="13276" xr:uid="{A1B4E7A4-310A-4B70-AC82-84EA86CBCC60}"/>
    <cellStyle name="Normal 5 3 5 2 8" xfId="25940" xr:uid="{66A0B78D-8006-4734-BDA6-2F4DE0EBC1C0}"/>
    <cellStyle name="Normal 5 3 5 2 9" xfId="17499" xr:uid="{9A8D77E6-7614-41BD-949E-F9B9F67D2D50}"/>
    <cellStyle name="Normal 5 3 5 3" xfId="927" xr:uid="{00000000-0005-0000-0000-0000791A0000}"/>
    <cellStyle name="Normal 5 3 5 3 2" xfId="3161" xr:uid="{00000000-0005-0000-0000-00007A1A0000}"/>
    <cellStyle name="Normal 5 3 5 3 2 2" xfId="7383" xr:uid="{00000000-0005-0000-0000-00007B1A0000}"/>
    <cellStyle name="Normal 5 3 5 3 2 2 2" xfId="32715" xr:uid="{6ACAF3F3-2E8C-4E08-90FF-3F12316FDE1E}"/>
    <cellStyle name="Normal 5 3 5 3 2 2 3" xfId="24274" xr:uid="{5BDA82F3-0A90-4089-8FA3-A6C6BE3BA3A0}"/>
    <cellStyle name="Normal 5 3 5 3 2 2 4" xfId="15833" xr:uid="{2CB4A939-6B50-470A-BC79-D23563D11989}"/>
    <cellStyle name="Normal 5 3 5 3 2 3" xfId="28497" xr:uid="{E61310F9-9385-4F9E-805D-37C8FB399949}"/>
    <cellStyle name="Normal 5 3 5 3 2 4" xfId="20056" xr:uid="{5AA42BF4-2387-438F-861E-F8991EC02A6F}"/>
    <cellStyle name="Normal 5 3 5 3 2 5" xfId="11615" xr:uid="{94A13569-A9B7-47C9-AFA8-2D6715C249A1}"/>
    <cellStyle name="Normal 5 3 5 3 3" xfId="5238" xr:uid="{00000000-0005-0000-0000-00007C1A0000}"/>
    <cellStyle name="Normal 5 3 5 3 3 2" xfId="30570" xr:uid="{F41F29EC-9DD5-470F-A546-423F75E3D77F}"/>
    <cellStyle name="Normal 5 3 5 3 3 3" xfId="22129" xr:uid="{179BCCFE-5FA1-4EA3-9218-D368BD1BFA54}"/>
    <cellStyle name="Normal 5 3 5 3 3 4" xfId="13688" xr:uid="{1E7ECDFA-FF2A-42F1-9328-3706547DAC4D}"/>
    <cellStyle name="Normal 5 3 5 3 4" xfId="26352" xr:uid="{ACBE4AF1-D0EB-4CF2-8B69-4A8DBA178CF3}"/>
    <cellStyle name="Normal 5 3 5 3 5" xfId="17911" xr:uid="{14FF7668-1EB6-4555-87DF-E098AF35F99C}"/>
    <cellStyle name="Normal 5 3 5 3 6" xfId="9470" xr:uid="{BBB3132C-3B00-494E-B20B-715011515E68}"/>
    <cellStyle name="Normal 5 3 5 4" xfId="1344" xr:uid="{00000000-0005-0000-0000-00007D1A0000}"/>
    <cellStyle name="Normal 5 3 5 4 2" xfId="3574" xr:uid="{00000000-0005-0000-0000-00007E1A0000}"/>
    <cellStyle name="Normal 5 3 5 4 2 2" xfId="7796" xr:uid="{00000000-0005-0000-0000-00007F1A0000}"/>
    <cellStyle name="Normal 5 3 5 4 2 2 2" xfId="33128" xr:uid="{CB439841-54BF-4D9B-8EEB-11268707AF81}"/>
    <cellStyle name="Normal 5 3 5 4 2 2 3" xfId="24687" xr:uid="{4DBF0747-2FA1-4317-9F43-A6E611FF12BA}"/>
    <cellStyle name="Normal 5 3 5 4 2 2 4" xfId="16246" xr:uid="{CCAD72AB-661A-465E-9384-18DF727D6477}"/>
    <cellStyle name="Normal 5 3 5 4 2 3" xfId="28910" xr:uid="{679BC987-EDD5-4E7F-99AF-4CAC54627BEE}"/>
    <cellStyle name="Normal 5 3 5 4 2 4" xfId="20469" xr:uid="{002FAFDF-78AC-424F-B348-3809988F60CB}"/>
    <cellStyle name="Normal 5 3 5 4 2 5" xfId="12028" xr:uid="{ED10DB4F-0BCF-470E-98B7-737512618BBC}"/>
    <cellStyle name="Normal 5 3 5 4 3" xfId="5651" xr:uid="{00000000-0005-0000-0000-0000801A0000}"/>
    <cellStyle name="Normal 5 3 5 4 3 2" xfId="30983" xr:uid="{0F15BEE7-3318-4160-8417-C6A3FC843096}"/>
    <cellStyle name="Normal 5 3 5 4 3 3" xfId="22542" xr:uid="{CA302ACB-13D1-4EAD-861A-C7916959282A}"/>
    <cellStyle name="Normal 5 3 5 4 3 4" xfId="14101" xr:uid="{E0558AC4-A51F-4176-BC79-8762192F34ED}"/>
    <cellStyle name="Normal 5 3 5 4 4" xfId="26765" xr:uid="{9AE33188-A341-40CE-BC25-4B3210876DD6}"/>
    <cellStyle name="Normal 5 3 5 4 5" xfId="18324" xr:uid="{0E912A36-8237-45CF-B7B8-0E911DB047CA}"/>
    <cellStyle name="Normal 5 3 5 4 6" xfId="9883" xr:uid="{51D1DEED-45CF-44AF-BABE-CF6CAF69450D}"/>
    <cellStyle name="Normal 5 3 5 5" xfId="1757" xr:uid="{00000000-0005-0000-0000-0000811A0000}"/>
    <cellStyle name="Normal 5 3 5 5 2" xfId="3987" xr:uid="{00000000-0005-0000-0000-0000821A0000}"/>
    <cellStyle name="Normal 5 3 5 5 2 2" xfId="8209" xr:uid="{00000000-0005-0000-0000-0000831A0000}"/>
    <cellStyle name="Normal 5 3 5 5 2 2 2" xfId="33541" xr:uid="{BAD95147-9D36-4B26-9407-820ACFCF2A25}"/>
    <cellStyle name="Normal 5 3 5 5 2 2 3" xfId="25100" xr:uid="{94376E1F-BF36-4320-984A-255E1567DF9F}"/>
    <cellStyle name="Normal 5 3 5 5 2 2 4" xfId="16659" xr:uid="{AF6504C5-906A-4EF7-9215-8024ECBD6F94}"/>
    <cellStyle name="Normal 5 3 5 5 2 3" xfId="29323" xr:uid="{3FA2652C-B6A1-4090-9CE5-45BD97AB4BFE}"/>
    <cellStyle name="Normal 5 3 5 5 2 4" xfId="20882" xr:uid="{214D640E-8BCB-4A31-B1F2-2AC443B09BAC}"/>
    <cellStyle name="Normal 5 3 5 5 2 5" xfId="12441" xr:uid="{E06C4BDA-1419-4DC8-A512-DBAB90CAA220}"/>
    <cellStyle name="Normal 5 3 5 5 3" xfId="6064" xr:uid="{00000000-0005-0000-0000-0000841A0000}"/>
    <cellStyle name="Normal 5 3 5 5 3 2" xfId="31396" xr:uid="{BF555351-F32C-4239-91CE-7E0707940B5F}"/>
    <cellStyle name="Normal 5 3 5 5 3 3" xfId="22955" xr:uid="{50CBFB01-AE1B-45EF-92A7-BC6E21682CAC}"/>
    <cellStyle name="Normal 5 3 5 5 3 4" xfId="14514" xr:uid="{5D767D40-F20A-47BF-A643-49C3E34E554E}"/>
    <cellStyle name="Normal 5 3 5 5 4" xfId="27178" xr:uid="{51D65B20-0DD2-4AA2-84D4-4C548B4E21B1}"/>
    <cellStyle name="Normal 5 3 5 5 5" xfId="18737" xr:uid="{4B51335F-1780-416A-BB2A-73BCF8988041}"/>
    <cellStyle name="Normal 5 3 5 5 6" xfId="10296" xr:uid="{CA8613FC-F424-4DD8-B03C-F9553AE52DBB}"/>
    <cellStyle name="Normal 5 3 5 6" xfId="2171" xr:uid="{00000000-0005-0000-0000-0000851A0000}"/>
    <cellStyle name="Normal 5 3 5 6 2" xfId="4400" xr:uid="{00000000-0005-0000-0000-0000861A0000}"/>
    <cellStyle name="Normal 5 3 5 6 2 2" xfId="8622" xr:uid="{00000000-0005-0000-0000-0000871A0000}"/>
    <cellStyle name="Normal 5 3 5 6 2 2 2" xfId="33954" xr:uid="{3DE0F3DB-9744-427D-A853-BB5E1615219D}"/>
    <cellStyle name="Normal 5 3 5 6 2 2 3" xfId="25513" xr:uid="{D1983F44-BD57-46A6-AC4C-113AFE139B0D}"/>
    <cellStyle name="Normal 5 3 5 6 2 2 4" xfId="17072" xr:uid="{EE10519A-35CA-4CCD-B96C-D035E705527B}"/>
    <cellStyle name="Normal 5 3 5 6 2 3" xfId="29736" xr:uid="{CE88DD4A-D79D-4F52-A1D1-CA026ACE1603}"/>
    <cellStyle name="Normal 5 3 5 6 2 4" xfId="21295" xr:uid="{4310896B-0C85-4E7F-BDC3-0B526C524DA3}"/>
    <cellStyle name="Normal 5 3 5 6 2 5" xfId="12854" xr:uid="{FFA318AD-E3AB-4844-A857-3858E67013FD}"/>
    <cellStyle name="Normal 5 3 5 6 3" xfId="6477" xr:uid="{00000000-0005-0000-0000-0000881A0000}"/>
    <cellStyle name="Normal 5 3 5 6 3 2" xfId="31809" xr:uid="{F68CCDDC-E4BA-48B0-AD10-D8506C985603}"/>
    <cellStyle name="Normal 5 3 5 6 3 3" xfId="23368" xr:uid="{4FAEA316-52EC-4BE9-AA7E-CC8C81064D30}"/>
    <cellStyle name="Normal 5 3 5 6 3 4" xfId="14927" xr:uid="{A7ED7859-B12C-4D7D-A272-BB0131167A2C}"/>
    <cellStyle name="Normal 5 3 5 6 4" xfId="27591" xr:uid="{92DFC2E4-A420-439B-A940-65145E7F20EF}"/>
    <cellStyle name="Normal 5 3 5 6 5" xfId="19150" xr:uid="{8F30F9DA-67B4-4CAC-8F3C-1F478FFEE246}"/>
    <cellStyle name="Normal 5 3 5 6 6" xfId="10709" xr:uid="{8793043A-2F62-46BD-8FA9-C3D3B3C5E6C2}"/>
    <cellStyle name="Normal 5 3 5 7" xfId="2607" xr:uid="{00000000-0005-0000-0000-0000891A0000}"/>
    <cellStyle name="Normal 5 3 5 7 2" xfId="6890" xr:uid="{00000000-0005-0000-0000-00008A1A0000}"/>
    <cellStyle name="Normal 5 3 5 7 2 2" xfId="32222" xr:uid="{71566410-0DF8-4D20-B414-540FBAD33049}"/>
    <cellStyle name="Normal 5 3 5 7 2 3" xfId="23781" xr:uid="{92E41EB6-E107-44B1-869F-99299C8E303A}"/>
    <cellStyle name="Normal 5 3 5 7 2 4" xfId="15340" xr:uid="{988B16A4-4BDD-4B56-8199-12CBBAF83E5F}"/>
    <cellStyle name="Normal 5 3 5 7 3" xfId="28004" xr:uid="{F62CE3C8-B6AE-491A-8566-0A11DD42F299}"/>
    <cellStyle name="Normal 5 3 5 7 4" xfId="19563" xr:uid="{28801113-FE6B-46BF-A470-E595085AAAB2}"/>
    <cellStyle name="Normal 5 3 5 7 5" xfId="11122" xr:uid="{EA6D01B3-6C81-4A2B-8093-C79EC8016784}"/>
    <cellStyle name="Normal 5 3 5 8" xfId="4825" xr:uid="{00000000-0005-0000-0000-00008B1A0000}"/>
    <cellStyle name="Normal 5 3 5 8 2" xfId="30157" xr:uid="{C5D9118C-962A-4E52-8A01-2E200327F2DF}"/>
    <cellStyle name="Normal 5 3 5 8 3" xfId="21716" xr:uid="{CC08E190-8A40-45C5-B46A-3878E97A6D53}"/>
    <cellStyle name="Normal 5 3 5 8 4" xfId="13275" xr:uid="{BB6194F9-CD9D-4C29-B3B2-41333E2A0453}"/>
    <cellStyle name="Normal 5 3 5 9" xfId="25939" xr:uid="{CDB86E3D-7551-474F-BF66-D6EBDD9D0EAD}"/>
    <cellStyle name="Normal 5 3 6" xfId="455" xr:uid="{00000000-0005-0000-0000-00008C1A0000}"/>
    <cellStyle name="Normal 5 3 6 10" xfId="9059" xr:uid="{978BFB4D-1263-42AB-91DD-CB4D348EFDD2}"/>
    <cellStyle name="Normal 5 3 6 2" xfId="929" xr:uid="{00000000-0005-0000-0000-00008D1A0000}"/>
    <cellStyle name="Normal 5 3 6 2 2" xfId="3163" xr:uid="{00000000-0005-0000-0000-00008E1A0000}"/>
    <cellStyle name="Normal 5 3 6 2 2 2" xfId="7385" xr:uid="{00000000-0005-0000-0000-00008F1A0000}"/>
    <cellStyle name="Normal 5 3 6 2 2 2 2" xfId="32717" xr:uid="{3555AEB1-E501-46D0-A62E-EDD9D031FA95}"/>
    <cellStyle name="Normal 5 3 6 2 2 2 3" xfId="24276" xr:uid="{B4379E12-08D2-4E99-9B73-D031C98F596C}"/>
    <cellStyle name="Normal 5 3 6 2 2 2 4" xfId="15835" xr:uid="{74794106-82B3-492D-81C3-0A3322F38716}"/>
    <cellStyle name="Normal 5 3 6 2 2 3" xfId="28499" xr:uid="{06554085-AD2D-4C77-A44A-E48609828CF4}"/>
    <cellStyle name="Normal 5 3 6 2 2 4" xfId="20058" xr:uid="{50FB8D5E-0B01-4571-9E52-78FAB20E2850}"/>
    <cellStyle name="Normal 5 3 6 2 2 5" xfId="11617" xr:uid="{950275C7-1FF5-4D84-A597-5ED1BE4E88DC}"/>
    <cellStyle name="Normal 5 3 6 2 3" xfId="5240" xr:uid="{00000000-0005-0000-0000-0000901A0000}"/>
    <cellStyle name="Normal 5 3 6 2 3 2" xfId="30572" xr:uid="{2DA3D9FE-DC6C-4A77-B0B5-F6AFF0A58D42}"/>
    <cellStyle name="Normal 5 3 6 2 3 3" xfId="22131" xr:uid="{11A788FF-4650-476F-90E6-DEFFE3F11507}"/>
    <cellStyle name="Normal 5 3 6 2 3 4" xfId="13690" xr:uid="{43325D86-74BA-4318-B3B9-E5D4A293B157}"/>
    <cellStyle name="Normal 5 3 6 2 4" xfId="26354" xr:uid="{4178C3D6-1F19-45BE-B5C2-F7C561C1F87A}"/>
    <cellStyle name="Normal 5 3 6 2 5" xfId="17913" xr:uid="{B516B61A-5C4F-452B-8C5C-BEDBFBCAB869}"/>
    <cellStyle name="Normal 5 3 6 2 6" xfId="9472" xr:uid="{6961FD9E-13F0-4854-BD6E-7A06FF90B823}"/>
    <cellStyle name="Normal 5 3 6 3" xfId="1346" xr:uid="{00000000-0005-0000-0000-0000911A0000}"/>
    <cellStyle name="Normal 5 3 6 3 2" xfId="3576" xr:uid="{00000000-0005-0000-0000-0000921A0000}"/>
    <cellStyle name="Normal 5 3 6 3 2 2" xfId="7798" xr:uid="{00000000-0005-0000-0000-0000931A0000}"/>
    <cellStyle name="Normal 5 3 6 3 2 2 2" xfId="33130" xr:uid="{C69FDA30-4EBB-460D-AF53-4F42584915D9}"/>
    <cellStyle name="Normal 5 3 6 3 2 2 3" xfId="24689" xr:uid="{038E5093-5C4C-45C1-8B97-43F07FD4CBCD}"/>
    <cellStyle name="Normal 5 3 6 3 2 2 4" xfId="16248" xr:uid="{8B7E4FA6-FC82-4CC3-9B67-49D8765CA62E}"/>
    <cellStyle name="Normal 5 3 6 3 2 3" xfId="28912" xr:uid="{C876FD78-7E07-4013-9D0D-85884E7DA7A8}"/>
    <cellStyle name="Normal 5 3 6 3 2 4" xfId="20471" xr:uid="{B3B58653-A7AE-494C-9092-9E07B76A0A07}"/>
    <cellStyle name="Normal 5 3 6 3 2 5" xfId="12030" xr:uid="{A3EDA1A9-C921-467A-B85F-3EB513802362}"/>
    <cellStyle name="Normal 5 3 6 3 3" xfId="5653" xr:uid="{00000000-0005-0000-0000-0000941A0000}"/>
    <cellStyle name="Normal 5 3 6 3 3 2" xfId="30985" xr:uid="{AE87681B-9DFA-42C2-94A5-949227BD4849}"/>
    <cellStyle name="Normal 5 3 6 3 3 3" xfId="22544" xr:uid="{DF402F6F-DBBD-4001-9EA8-6DDA1094658E}"/>
    <cellStyle name="Normal 5 3 6 3 3 4" xfId="14103" xr:uid="{F5089A53-FAD9-41B9-9969-00199CF85D0C}"/>
    <cellStyle name="Normal 5 3 6 3 4" xfId="26767" xr:uid="{1E714BD0-655B-415D-859E-AB9AA0F58458}"/>
    <cellStyle name="Normal 5 3 6 3 5" xfId="18326" xr:uid="{32EC5C08-B1E1-46E7-B040-D4BD4D976100}"/>
    <cellStyle name="Normal 5 3 6 3 6" xfId="9885" xr:uid="{9ACEAAAD-3F1F-45A5-B299-D148CD4F6A31}"/>
    <cellStyle name="Normal 5 3 6 4" xfId="1759" xr:uid="{00000000-0005-0000-0000-0000951A0000}"/>
    <cellStyle name="Normal 5 3 6 4 2" xfId="3989" xr:uid="{00000000-0005-0000-0000-0000961A0000}"/>
    <cellStyle name="Normal 5 3 6 4 2 2" xfId="8211" xr:uid="{00000000-0005-0000-0000-0000971A0000}"/>
    <cellStyle name="Normal 5 3 6 4 2 2 2" xfId="33543" xr:uid="{E6370E2B-C4F1-45BB-83B9-80C919796849}"/>
    <cellStyle name="Normal 5 3 6 4 2 2 3" xfId="25102" xr:uid="{9B389DF6-41E4-4790-9B79-7D06753AEF95}"/>
    <cellStyle name="Normal 5 3 6 4 2 2 4" xfId="16661" xr:uid="{5DA28850-D109-4F15-BB62-903B50D882A2}"/>
    <cellStyle name="Normal 5 3 6 4 2 3" xfId="29325" xr:uid="{D4C95B27-1432-44E8-B9BF-A3321F054693}"/>
    <cellStyle name="Normal 5 3 6 4 2 4" xfId="20884" xr:uid="{139F6B6B-CE7B-408B-986F-75D557020929}"/>
    <cellStyle name="Normal 5 3 6 4 2 5" xfId="12443" xr:uid="{DC2D4058-052F-429B-A30C-1CD39EECB996}"/>
    <cellStyle name="Normal 5 3 6 4 3" xfId="6066" xr:uid="{00000000-0005-0000-0000-0000981A0000}"/>
    <cellStyle name="Normal 5 3 6 4 3 2" xfId="31398" xr:uid="{C2E632D6-73CF-4EB9-BCF3-B0144348DB6F}"/>
    <cellStyle name="Normal 5 3 6 4 3 3" xfId="22957" xr:uid="{B8C9781E-BADF-466E-B644-F1CFCBEAD8A2}"/>
    <cellStyle name="Normal 5 3 6 4 3 4" xfId="14516" xr:uid="{A2D4B912-75AE-4A69-87A3-D1F871C84388}"/>
    <cellStyle name="Normal 5 3 6 4 4" xfId="27180" xr:uid="{6B12AF8A-B549-4EBD-83FC-7D91C6252D21}"/>
    <cellStyle name="Normal 5 3 6 4 5" xfId="18739" xr:uid="{850FC2DC-2679-49A4-9EC6-10320B3C40FA}"/>
    <cellStyle name="Normal 5 3 6 4 6" xfId="10298" xr:uid="{95EA7FEC-B082-41D3-A52E-55870CECB2BF}"/>
    <cellStyle name="Normal 5 3 6 5" xfId="2173" xr:uid="{00000000-0005-0000-0000-0000991A0000}"/>
    <cellStyle name="Normal 5 3 6 5 2" xfId="4402" xr:uid="{00000000-0005-0000-0000-00009A1A0000}"/>
    <cellStyle name="Normal 5 3 6 5 2 2" xfId="8624" xr:uid="{00000000-0005-0000-0000-00009B1A0000}"/>
    <cellStyle name="Normal 5 3 6 5 2 2 2" xfId="33956" xr:uid="{E0A4BEA3-A972-4B2C-9F74-0C281A767AB4}"/>
    <cellStyle name="Normal 5 3 6 5 2 2 3" xfId="25515" xr:uid="{77222612-4D26-4705-AFE3-BA24141568D1}"/>
    <cellStyle name="Normal 5 3 6 5 2 2 4" xfId="17074" xr:uid="{F9C25E77-B76D-4452-AB23-783EA721D2E1}"/>
    <cellStyle name="Normal 5 3 6 5 2 3" xfId="29738" xr:uid="{A9411CBC-FE64-40DC-9473-F1522EDCFC30}"/>
    <cellStyle name="Normal 5 3 6 5 2 4" xfId="21297" xr:uid="{0B722C44-453A-4133-9421-92F757B07C89}"/>
    <cellStyle name="Normal 5 3 6 5 2 5" xfId="12856" xr:uid="{BF270D8E-ABE4-4085-A75B-6814FC93375F}"/>
    <cellStyle name="Normal 5 3 6 5 3" xfId="6479" xr:uid="{00000000-0005-0000-0000-00009C1A0000}"/>
    <cellStyle name="Normal 5 3 6 5 3 2" xfId="31811" xr:uid="{6A044F03-2BC0-4204-9187-F56B5BB92453}"/>
    <cellStyle name="Normal 5 3 6 5 3 3" xfId="23370" xr:uid="{58138218-6973-4312-A573-5B72475AB70F}"/>
    <cellStyle name="Normal 5 3 6 5 3 4" xfId="14929" xr:uid="{8F16F106-DB4A-4326-BAEC-EFDB9395BC45}"/>
    <cellStyle name="Normal 5 3 6 5 4" xfId="27593" xr:uid="{84CAC06B-5756-499D-885E-A8FDCBFDAB18}"/>
    <cellStyle name="Normal 5 3 6 5 5" xfId="19152" xr:uid="{61C996A5-1D7B-48E9-8378-BE1BE5E92F35}"/>
    <cellStyle name="Normal 5 3 6 5 6" xfId="10711" xr:uid="{7E22BDA5-65F0-4FC1-A3A6-CA43F258734F}"/>
    <cellStyle name="Normal 5 3 6 6" xfId="2609" xr:uid="{00000000-0005-0000-0000-00009D1A0000}"/>
    <cellStyle name="Normal 5 3 6 6 2" xfId="6892" xr:uid="{00000000-0005-0000-0000-00009E1A0000}"/>
    <cellStyle name="Normal 5 3 6 6 2 2" xfId="32224" xr:uid="{5E258CD5-AB6A-4ABD-8BF0-AAF96A56C427}"/>
    <cellStyle name="Normal 5 3 6 6 2 3" xfId="23783" xr:uid="{BE9DA1C6-3EC8-4CBA-9CED-3185DD111B6F}"/>
    <cellStyle name="Normal 5 3 6 6 2 4" xfId="15342" xr:uid="{0819E129-ECDC-4046-9E38-9D7B4A48916F}"/>
    <cellStyle name="Normal 5 3 6 6 3" xfId="28006" xr:uid="{8CE9E977-0F70-4624-81C9-C7D1E672A11E}"/>
    <cellStyle name="Normal 5 3 6 6 4" xfId="19565" xr:uid="{41B3D7F8-E2D7-4F3F-97B8-7EDD6E8B1224}"/>
    <cellStyle name="Normal 5 3 6 6 5" xfId="11124" xr:uid="{5912747E-9159-4470-B6BB-8D02CC0E18FA}"/>
    <cellStyle name="Normal 5 3 6 7" xfId="4827" xr:uid="{00000000-0005-0000-0000-00009F1A0000}"/>
    <cellStyle name="Normal 5 3 6 7 2" xfId="30159" xr:uid="{E67435C1-D435-47DE-AC5A-7C7F45CD2586}"/>
    <cellStyle name="Normal 5 3 6 7 3" xfId="21718" xr:uid="{309966C3-16B6-41A0-B9F0-C158B57FBEBD}"/>
    <cellStyle name="Normal 5 3 6 7 4" xfId="13277" xr:uid="{932C3D11-271C-4DEF-9321-C66464732678}"/>
    <cellStyle name="Normal 5 3 6 8" xfId="25941" xr:uid="{8FC30190-E7B5-4A51-8AB5-373E737F7F35}"/>
    <cellStyle name="Normal 5 3 6 9" xfId="17500" xr:uid="{BD94D2C5-0805-4BE7-8076-A86AE6D28CA7}"/>
    <cellStyle name="Normal 5 3 7" xfId="913" xr:uid="{00000000-0005-0000-0000-0000A01A0000}"/>
    <cellStyle name="Normal 5 3 7 2" xfId="3148" xr:uid="{00000000-0005-0000-0000-0000A11A0000}"/>
    <cellStyle name="Normal 5 3 7 2 2" xfId="7370" xr:uid="{00000000-0005-0000-0000-0000A21A0000}"/>
    <cellStyle name="Normal 5 3 7 2 2 2" xfId="32702" xr:uid="{82978313-F3AC-46CA-ABD8-24C4FB48D570}"/>
    <cellStyle name="Normal 5 3 7 2 2 3" xfId="24261" xr:uid="{31805E91-D747-4F5E-B074-48326B8E084F}"/>
    <cellStyle name="Normal 5 3 7 2 2 4" xfId="15820" xr:uid="{5E906130-6CC0-42CF-995A-34932E256C42}"/>
    <cellStyle name="Normal 5 3 7 2 3" xfId="28484" xr:uid="{7AC2304C-322F-4A67-B406-C5A4C051F23B}"/>
    <cellStyle name="Normal 5 3 7 2 4" xfId="20043" xr:uid="{D6EE974D-A332-4817-962F-A29A9D9699A6}"/>
    <cellStyle name="Normal 5 3 7 2 5" xfId="11602" xr:uid="{7C052949-ACC1-4675-8D40-68E354189BF1}"/>
    <cellStyle name="Normal 5 3 7 3" xfId="5225" xr:uid="{00000000-0005-0000-0000-0000A31A0000}"/>
    <cellStyle name="Normal 5 3 7 3 2" xfId="30557" xr:uid="{747C5703-B7A4-41C1-AB76-7E5A28BE0DCD}"/>
    <cellStyle name="Normal 5 3 7 3 3" xfId="22116" xr:uid="{4C66B003-DB01-4F6B-8B9B-6908023F54AA}"/>
    <cellStyle name="Normal 5 3 7 3 4" xfId="13675" xr:uid="{D9C9C9A4-1F65-4E9C-963C-64032C381F99}"/>
    <cellStyle name="Normal 5 3 7 4" xfId="26339" xr:uid="{4785E6BF-F6A5-460B-84A8-B3E408470DBA}"/>
    <cellStyle name="Normal 5 3 7 5" xfId="17898" xr:uid="{78246008-493D-4AFE-A1D8-B330878C2219}"/>
    <cellStyle name="Normal 5 3 7 6" xfId="9457" xr:uid="{AFE5557B-5FE9-411F-A25C-A4BAA7C80A9D}"/>
    <cellStyle name="Normal 5 3 8" xfId="1331" xr:uid="{00000000-0005-0000-0000-0000A41A0000}"/>
    <cellStyle name="Normal 5 3 8 2" xfId="3561" xr:uid="{00000000-0005-0000-0000-0000A51A0000}"/>
    <cellStyle name="Normal 5 3 8 2 2" xfId="7783" xr:uid="{00000000-0005-0000-0000-0000A61A0000}"/>
    <cellStyle name="Normal 5 3 8 2 2 2" xfId="33115" xr:uid="{CCC1FE2D-F1E3-4958-8305-16A0D0DDE9F5}"/>
    <cellStyle name="Normal 5 3 8 2 2 3" xfId="24674" xr:uid="{DAE54F00-C73F-4661-9471-92F612692081}"/>
    <cellStyle name="Normal 5 3 8 2 2 4" xfId="16233" xr:uid="{BB68C10F-0B54-4C6B-AFE0-A219703B3316}"/>
    <cellStyle name="Normal 5 3 8 2 3" xfId="28897" xr:uid="{BA807BB4-5D4A-4EA0-924F-5F4D617BCBF5}"/>
    <cellStyle name="Normal 5 3 8 2 4" xfId="20456" xr:uid="{6F37A111-A723-4BF4-8272-0A7AF6185199}"/>
    <cellStyle name="Normal 5 3 8 2 5" xfId="12015" xr:uid="{0E059688-DF48-4745-B454-05E12FCF3169}"/>
    <cellStyle name="Normal 5 3 8 3" xfId="5638" xr:uid="{00000000-0005-0000-0000-0000A71A0000}"/>
    <cellStyle name="Normal 5 3 8 3 2" xfId="30970" xr:uid="{BC162AFC-1B0F-42BC-A36A-08276DC014A2}"/>
    <cellStyle name="Normal 5 3 8 3 3" xfId="22529" xr:uid="{9B6D2B9E-FBEB-4A6D-9138-8E9653BE2DE1}"/>
    <cellStyle name="Normal 5 3 8 3 4" xfId="14088" xr:uid="{1C225376-806B-410C-BCA0-8B3FDAC98303}"/>
    <cellStyle name="Normal 5 3 8 4" xfId="26752" xr:uid="{2161E58C-C9B8-4968-ADAA-3B17C5B19670}"/>
    <cellStyle name="Normal 5 3 8 5" xfId="18311" xr:uid="{ED36C771-38F8-4F3D-9BE2-415AE6722112}"/>
    <cellStyle name="Normal 5 3 8 6" xfId="9870" xr:uid="{D0C531B8-A2DA-4436-BA50-58124D5B1D64}"/>
    <cellStyle name="Normal 5 3 9" xfId="1744" xr:uid="{00000000-0005-0000-0000-0000A81A0000}"/>
    <cellStyle name="Normal 5 3 9 2" xfId="3974" xr:uid="{00000000-0005-0000-0000-0000A91A0000}"/>
    <cellStyle name="Normal 5 3 9 2 2" xfId="8196" xr:uid="{00000000-0005-0000-0000-0000AA1A0000}"/>
    <cellStyle name="Normal 5 3 9 2 2 2" xfId="33528" xr:uid="{35E50C2D-D298-4B5B-97DE-E81A3DE9F937}"/>
    <cellStyle name="Normal 5 3 9 2 2 3" xfId="25087" xr:uid="{98D44AC9-99AA-4D7E-996C-CC3C6C3A3313}"/>
    <cellStyle name="Normal 5 3 9 2 2 4" xfId="16646" xr:uid="{DB460C6F-5C73-469A-A411-2E53AB506DC6}"/>
    <cellStyle name="Normal 5 3 9 2 3" xfId="29310" xr:uid="{85DB15AF-2F9F-41D8-BED3-8C83BE1854C5}"/>
    <cellStyle name="Normal 5 3 9 2 4" xfId="20869" xr:uid="{007AECEB-4636-4F89-99BB-37C83D528589}"/>
    <cellStyle name="Normal 5 3 9 2 5" xfId="12428" xr:uid="{CA1C7691-31B6-43FC-B9D9-02D571B1356D}"/>
    <cellStyle name="Normal 5 3 9 3" xfId="6051" xr:uid="{00000000-0005-0000-0000-0000AB1A0000}"/>
    <cellStyle name="Normal 5 3 9 3 2" xfId="31383" xr:uid="{CF9B76B0-251A-4FDB-A784-02FAF1E039D2}"/>
    <cellStyle name="Normal 5 3 9 3 3" xfId="22942" xr:uid="{6887C37F-BD0B-4C8F-B1B0-E9D5E638FFA9}"/>
    <cellStyle name="Normal 5 3 9 3 4" xfId="14501" xr:uid="{8EAC23F5-7D8E-49B0-9F1F-90E61B46239C}"/>
    <cellStyle name="Normal 5 3 9 4" xfId="27165" xr:uid="{7A0D0AC1-F0FC-492E-8ECD-58A93345BF0C}"/>
    <cellStyle name="Normal 5 3 9 5" xfId="18724" xr:uid="{0E1BEF9A-5B7B-437E-8F51-6BD39879971E}"/>
    <cellStyle name="Normal 5 3 9 6" xfId="10283" xr:uid="{30C1636F-6F44-4F7D-93EC-B1B06A3601BF}"/>
    <cellStyle name="Normal 5 4" xfId="456" xr:uid="{00000000-0005-0000-0000-0000AC1A0000}"/>
    <cellStyle name="Normal 5 4 10" xfId="4828" xr:uid="{00000000-0005-0000-0000-0000AD1A0000}"/>
    <cellStyle name="Normal 5 4 10 2" xfId="30160" xr:uid="{B170118B-7C26-4AA5-8FDA-3F7770CF83C6}"/>
    <cellStyle name="Normal 5 4 10 3" xfId="21719" xr:uid="{C7866074-B78F-438F-8930-A014579E303B}"/>
    <cellStyle name="Normal 5 4 10 4" xfId="13278" xr:uid="{874BBE2E-1B3B-4C0B-A50B-E13B27474A63}"/>
    <cellStyle name="Normal 5 4 11" xfId="25942" xr:uid="{3FB23C1A-C8A6-41CD-8306-A8DED70CDE2C}"/>
    <cellStyle name="Normal 5 4 12" xfId="17501" xr:uid="{45422684-0776-45F3-9CD0-2265DC83B946}"/>
    <cellStyle name="Normal 5 4 13" xfId="9060" xr:uid="{C9F10176-8727-48BB-A3BB-2FE8BD9C98C8}"/>
    <cellStyle name="Normal 5 4 2" xfId="457" xr:uid="{00000000-0005-0000-0000-0000AE1A0000}"/>
    <cellStyle name="Normal 5 4 2 10" xfId="25943" xr:uid="{6A3519C2-C7A4-43F8-AA23-DAD31A404EB9}"/>
    <cellStyle name="Normal 5 4 2 11" xfId="17502" xr:uid="{41FD4B8D-F20E-4BB4-9546-9FB41D028FAE}"/>
    <cellStyle name="Normal 5 4 2 12" xfId="9061" xr:uid="{0F57144F-06F2-40F7-BA86-22D751DF7094}"/>
    <cellStyle name="Normal 5 4 2 2" xfId="458" xr:uid="{00000000-0005-0000-0000-0000AF1A0000}"/>
    <cellStyle name="Normal 5 4 2 2 10" xfId="17503" xr:uid="{26868C11-8219-4F1A-96F3-97E3BCC5F8CF}"/>
    <cellStyle name="Normal 5 4 2 2 11" xfId="9062" xr:uid="{085DE4A9-0A47-47FF-B954-92DB22EF19BD}"/>
    <cellStyle name="Normal 5 4 2 2 2" xfId="459" xr:uid="{00000000-0005-0000-0000-0000B01A0000}"/>
    <cellStyle name="Normal 5 4 2 2 2 10" xfId="9063" xr:uid="{D444AEAB-0003-43A9-96BF-F1B30D7E7678}"/>
    <cellStyle name="Normal 5 4 2 2 2 2" xfId="933" xr:uid="{00000000-0005-0000-0000-0000B11A0000}"/>
    <cellStyle name="Normal 5 4 2 2 2 2 2" xfId="3167" xr:uid="{00000000-0005-0000-0000-0000B21A0000}"/>
    <cellStyle name="Normal 5 4 2 2 2 2 2 2" xfId="7389" xr:uid="{00000000-0005-0000-0000-0000B31A0000}"/>
    <cellStyle name="Normal 5 4 2 2 2 2 2 2 2" xfId="32721" xr:uid="{FF31685F-D957-4C3E-B6F5-A370C198EB40}"/>
    <cellStyle name="Normal 5 4 2 2 2 2 2 2 3" xfId="24280" xr:uid="{FFC53278-BEDE-462F-A3DA-66B2A377C685}"/>
    <cellStyle name="Normal 5 4 2 2 2 2 2 2 4" xfId="15839" xr:uid="{0CDE461B-B90B-457E-B5A0-7C1CEE1ACD4F}"/>
    <cellStyle name="Normal 5 4 2 2 2 2 2 3" xfId="28503" xr:uid="{050EB538-7DBF-4374-87D8-7EB1ED3941C4}"/>
    <cellStyle name="Normal 5 4 2 2 2 2 2 4" xfId="20062" xr:uid="{97665850-2A92-45B6-928C-070BAD0E66C6}"/>
    <cellStyle name="Normal 5 4 2 2 2 2 2 5" xfId="11621" xr:uid="{307033F2-99AB-4816-B68C-475752FF0B2F}"/>
    <cellStyle name="Normal 5 4 2 2 2 2 3" xfId="5244" xr:uid="{00000000-0005-0000-0000-0000B41A0000}"/>
    <cellStyle name="Normal 5 4 2 2 2 2 3 2" xfId="30576" xr:uid="{C8A7AE83-74D8-478D-AB1A-E454E17DFA01}"/>
    <cellStyle name="Normal 5 4 2 2 2 2 3 3" xfId="22135" xr:uid="{C7CB40E8-3A5C-453E-91E1-F6007D0B6DD0}"/>
    <cellStyle name="Normal 5 4 2 2 2 2 3 4" xfId="13694" xr:uid="{0A0E8589-53DC-4165-AF87-16A84AE4D29D}"/>
    <cellStyle name="Normal 5 4 2 2 2 2 4" xfId="26358" xr:uid="{C787A546-B4E8-441C-8355-FB0636039098}"/>
    <cellStyle name="Normal 5 4 2 2 2 2 5" xfId="17917" xr:uid="{2EA92048-2CA7-42E0-B3CB-6792836F46F5}"/>
    <cellStyle name="Normal 5 4 2 2 2 2 6" xfId="9476" xr:uid="{45FF7D27-3EDD-4B8F-8D08-D6818B0817F7}"/>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2 2 2" xfId="33134" xr:uid="{417DB78D-A2C0-47CC-9CA0-32A23C97CADB}"/>
    <cellStyle name="Normal 5 4 2 2 2 3 2 2 3" xfId="24693" xr:uid="{079E469A-4FA0-4BB8-A1CD-530AF1CE9A05}"/>
    <cellStyle name="Normal 5 4 2 2 2 3 2 2 4" xfId="16252" xr:uid="{68C1A723-43B5-4FAD-B92D-072025D2F2D1}"/>
    <cellStyle name="Normal 5 4 2 2 2 3 2 3" xfId="28916" xr:uid="{1DDFBFF8-8B1B-42BD-ABD7-1E12660C0A03}"/>
    <cellStyle name="Normal 5 4 2 2 2 3 2 4" xfId="20475" xr:uid="{FB3A45BA-F742-4EF0-AF76-1EC17ADE8BF2}"/>
    <cellStyle name="Normal 5 4 2 2 2 3 2 5" xfId="12034" xr:uid="{176BADB7-077D-413E-9B9E-E17C173E8AA3}"/>
    <cellStyle name="Normal 5 4 2 2 2 3 3" xfId="5657" xr:uid="{00000000-0005-0000-0000-0000B81A0000}"/>
    <cellStyle name="Normal 5 4 2 2 2 3 3 2" xfId="30989" xr:uid="{744F2240-814D-4128-85F7-1F3AD89160C3}"/>
    <cellStyle name="Normal 5 4 2 2 2 3 3 3" xfId="22548" xr:uid="{2791A59E-FAAD-47B2-9DED-4A32457A990F}"/>
    <cellStyle name="Normal 5 4 2 2 2 3 3 4" xfId="14107" xr:uid="{E0CAD34D-1EB4-40F6-9664-02CB91ED203F}"/>
    <cellStyle name="Normal 5 4 2 2 2 3 4" xfId="26771" xr:uid="{BECB9D63-4F88-4AC2-BA7F-E9DE17C4AA98}"/>
    <cellStyle name="Normal 5 4 2 2 2 3 5" xfId="18330" xr:uid="{D94C9514-24FE-4DFB-82D1-F6A1D064401A}"/>
    <cellStyle name="Normal 5 4 2 2 2 3 6" xfId="9889" xr:uid="{E4A357D2-4B9C-43F0-8073-8DB880C8B23E}"/>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2 2 2" xfId="33547" xr:uid="{07224046-35BD-425E-920B-9587922FE06A}"/>
    <cellStyle name="Normal 5 4 2 2 2 4 2 2 3" xfId="25106" xr:uid="{1FEE3E29-0768-410C-B57F-2B20B8A0F373}"/>
    <cellStyle name="Normal 5 4 2 2 2 4 2 2 4" xfId="16665" xr:uid="{B59AADB0-388F-475D-93B4-FEB040AAFBE2}"/>
    <cellStyle name="Normal 5 4 2 2 2 4 2 3" xfId="29329" xr:uid="{8FDD6A98-34CA-44CF-9523-765129EBED1A}"/>
    <cellStyle name="Normal 5 4 2 2 2 4 2 4" xfId="20888" xr:uid="{4C84131A-4578-459A-BC07-363BA9CC15DD}"/>
    <cellStyle name="Normal 5 4 2 2 2 4 2 5" xfId="12447" xr:uid="{7B55935C-570F-4B69-97A8-6B84A0550961}"/>
    <cellStyle name="Normal 5 4 2 2 2 4 3" xfId="6070" xr:uid="{00000000-0005-0000-0000-0000BC1A0000}"/>
    <cellStyle name="Normal 5 4 2 2 2 4 3 2" xfId="31402" xr:uid="{9B8B4FD3-F929-455E-A97D-7A0FCDEFBA02}"/>
    <cellStyle name="Normal 5 4 2 2 2 4 3 3" xfId="22961" xr:uid="{D3971C79-B013-4EE6-AA68-83A21F057C03}"/>
    <cellStyle name="Normal 5 4 2 2 2 4 3 4" xfId="14520" xr:uid="{8D1CF83B-2B48-49D9-A422-FF01AF6ED572}"/>
    <cellStyle name="Normal 5 4 2 2 2 4 4" xfId="27184" xr:uid="{061E94E0-2233-454A-A33E-16A870E6E481}"/>
    <cellStyle name="Normal 5 4 2 2 2 4 5" xfId="18743" xr:uid="{59462501-128A-4471-B02A-52DC731A1372}"/>
    <cellStyle name="Normal 5 4 2 2 2 4 6" xfId="10302" xr:uid="{C4287001-A193-4E89-A715-988706B7E0BB}"/>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2 2 2" xfId="33960" xr:uid="{4A1FF1A2-CA76-477E-A353-129213939B9B}"/>
    <cellStyle name="Normal 5 4 2 2 2 5 2 2 3" xfId="25519" xr:uid="{4C0DC771-2D6F-44D4-8C16-422BFABB3F8D}"/>
    <cellStyle name="Normal 5 4 2 2 2 5 2 2 4" xfId="17078" xr:uid="{ED2C5B29-164E-40D1-A89D-57E6B9C40D75}"/>
    <cellStyle name="Normal 5 4 2 2 2 5 2 3" xfId="29742" xr:uid="{B5018495-B151-44DB-B039-ACD8A7FB9321}"/>
    <cellStyle name="Normal 5 4 2 2 2 5 2 4" xfId="21301" xr:uid="{D50FF875-FFCF-4BD3-A34F-A73B7C7ACD06}"/>
    <cellStyle name="Normal 5 4 2 2 2 5 2 5" xfId="12860" xr:uid="{65198147-29C6-4E65-A3ED-A32A716764B7}"/>
    <cellStyle name="Normal 5 4 2 2 2 5 3" xfId="6483" xr:uid="{00000000-0005-0000-0000-0000C01A0000}"/>
    <cellStyle name="Normal 5 4 2 2 2 5 3 2" xfId="31815" xr:uid="{0981806F-F9EA-4F89-8F75-83E5C7870EE2}"/>
    <cellStyle name="Normal 5 4 2 2 2 5 3 3" xfId="23374" xr:uid="{772A14CC-9765-4CF0-959A-BC01B69CD5A2}"/>
    <cellStyle name="Normal 5 4 2 2 2 5 3 4" xfId="14933" xr:uid="{4A19C860-D747-430E-8487-16675EACFCFF}"/>
    <cellStyle name="Normal 5 4 2 2 2 5 4" xfId="27597" xr:uid="{3FACE9B3-014C-4D0D-BCC0-17F2B150408E}"/>
    <cellStyle name="Normal 5 4 2 2 2 5 5" xfId="19156" xr:uid="{96785979-9332-4F0C-BE4D-296C3A178875}"/>
    <cellStyle name="Normal 5 4 2 2 2 5 6" xfId="10715" xr:uid="{B9986350-43FB-4598-948E-D7A1C160E728}"/>
    <cellStyle name="Normal 5 4 2 2 2 6" xfId="2613" xr:uid="{00000000-0005-0000-0000-0000C11A0000}"/>
    <cellStyle name="Normal 5 4 2 2 2 6 2" xfId="6896" xr:uid="{00000000-0005-0000-0000-0000C21A0000}"/>
    <cellStyle name="Normal 5 4 2 2 2 6 2 2" xfId="32228" xr:uid="{5953FF1E-9AA9-4CB1-9807-F88BA1A22BC2}"/>
    <cellStyle name="Normal 5 4 2 2 2 6 2 3" xfId="23787" xr:uid="{7DBD5202-EE0F-4276-8BE6-0ABC70C96A9F}"/>
    <cellStyle name="Normal 5 4 2 2 2 6 2 4" xfId="15346" xr:uid="{B69957F6-FEEA-4DA0-934A-0264C1FABE67}"/>
    <cellStyle name="Normal 5 4 2 2 2 6 3" xfId="28010" xr:uid="{16EF1BA6-93B7-4889-B21D-34468DD97CC5}"/>
    <cellStyle name="Normal 5 4 2 2 2 6 4" xfId="19569" xr:uid="{78D940FB-4100-4499-BEE4-1F47CAF2B909}"/>
    <cellStyle name="Normal 5 4 2 2 2 6 5" xfId="11128" xr:uid="{824D9170-A994-4D03-A03D-BF8D2EC625B4}"/>
    <cellStyle name="Normal 5 4 2 2 2 7" xfId="4831" xr:uid="{00000000-0005-0000-0000-0000C31A0000}"/>
    <cellStyle name="Normal 5 4 2 2 2 7 2" xfId="30163" xr:uid="{2F2FFEB1-0745-445E-B5DF-A9083D730918}"/>
    <cellStyle name="Normal 5 4 2 2 2 7 3" xfId="21722" xr:uid="{98B92459-915C-4BFC-A2DE-82C196414A6E}"/>
    <cellStyle name="Normal 5 4 2 2 2 7 4" xfId="13281" xr:uid="{1E97B51F-8D5F-4C05-B4EA-E60CCE772587}"/>
    <cellStyle name="Normal 5 4 2 2 2 8" xfId="25945" xr:uid="{281BE917-B021-407A-A7F5-5E39BBCC162E}"/>
    <cellStyle name="Normal 5 4 2 2 2 9" xfId="17504" xr:uid="{7FADEF8F-210A-4A75-8E39-AFCBFB08A83F}"/>
    <cellStyle name="Normal 5 4 2 2 3" xfId="932" xr:uid="{00000000-0005-0000-0000-0000C41A0000}"/>
    <cellStyle name="Normal 5 4 2 2 3 2" xfId="3166" xr:uid="{00000000-0005-0000-0000-0000C51A0000}"/>
    <cellStyle name="Normal 5 4 2 2 3 2 2" xfId="7388" xr:uid="{00000000-0005-0000-0000-0000C61A0000}"/>
    <cellStyle name="Normal 5 4 2 2 3 2 2 2" xfId="32720" xr:uid="{C92D9DEC-C1F8-464D-90BF-7DF6F8A013D6}"/>
    <cellStyle name="Normal 5 4 2 2 3 2 2 3" xfId="24279" xr:uid="{18DFD8BA-F999-419C-ADAB-34BDAAB937EF}"/>
    <cellStyle name="Normal 5 4 2 2 3 2 2 4" xfId="15838" xr:uid="{B6DFE4D3-98E1-4BC8-851C-60CA98012BAA}"/>
    <cellStyle name="Normal 5 4 2 2 3 2 3" xfId="28502" xr:uid="{0F965DE3-AE2B-4986-BE8A-8C9F6D06DBA0}"/>
    <cellStyle name="Normal 5 4 2 2 3 2 4" xfId="20061" xr:uid="{183DEF59-96EF-42A7-80EF-B32291C43FBB}"/>
    <cellStyle name="Normal 5 4 2 2 3 2 5" xfId="11620" xr:uid="{C47F7718-1180-4C7F-A16E-BF0CED741301}"/>
    <cellStyle name="Normal 5 4 2 2 3 3" xfId="5243" xr:uid="{00000000-0005-0000-0000-0000C71A0000}"/>
    <cellStyle name="Normal 5 4 2 2 3 3 2" xfId="30575" xr:uid="{9FFCEB97-E04B-4018-B6CB-77D8FD3E3EB0}"/>
    <cellStyle name="Normal 5 4 2 2 3 3 3" xfId="22134" xr:uid="{5A633103-BB02-4F93-9E20-B7D2D2A2897F}"/>
    <cellStyle name="Normal 5 4 2 2 3 3 4" xfId="13693" xr:uid="{ED3382CD-CE09-4C93-B444-9961C7B87583}"/>
    <cellStyle name="Normal 5 4 2 2 3 4" xfId="26357" xr:uid="{4573981A-41CC-4ED3-B6A1-AA1025E062CE}"/>
    <cellStyle name="Normal 5 4 2 2 3 5" xfId="17916" xr:uid="{988B82C5-BFC5-4942-AD2C-BD8E14D4AB6D}"/>
    <cellStyle name="Normal 5 4 2 2 3 6" xfId="9475" xr:uid="{A8D1A556-7B12-4E16-B4E3-FB712990D5A3}"/>
    <cellStyle name="Normal 5 4 2 2 4" xfId="1349" xr:uid="{00000000-0005-0000-0000-0000C81A0000}"/>
    <cellStyle name="Normal 5 4 2 2 4 2" xfId="3579" xr:uid="{00000000-0005-0000-0000-0000C91A0000}"/>
    <cellStyle name="Normal 5 4 2 2 4 2 2" xfId="7801" xr:uid="{00000000-0005-0000-0000-0000CA1A0000}"/>
    <cellStyle name="Normal 5 4 2 2 4 2 2 2" xfId="33133" xr:uid="{70325191-15FC-4430-A4FA-64C4BBDF52BD}"/>
    <cellStyle name="Normal 5 4 2 2 4 2 2 3" xfId="24692" xr:uid="{05DC3E12-9077-41B2-B211-DCCB92015C00}"/>
    <cellStyle name="Normal 5 4 2 2 4 2 2 4" xfId="16251" xr:uid="{EE5491B8-6E2A-4866-9BB9-FBBAEECD33CC}"/>
    <cellStyle name="Normal 5 4 2 2 4 2 3" xfId="28915" xr:uid="{9FFCA4FB-C569-4DDD-9958-9ABAA5BA4F3D}"/>
    <cellStyle name="Normal 5 4 2 2 4 2 4" xfId="20474" xr:uid="{87AFD490-2E1C-4299-9A8A-875BB5A4860C}"/>
    <cellStyle name="Normal 5 4 2 2 4 2 5" xfId="12033" xr:uid="{A929A9AA-1F36-4352-BB6A-55C04E2305E1}"/>
    <cellStyle name="Normal 5 4 2 2 4 3" xfId="5656" xr:uid="{00000000-0005-0000-0000-0000CB1A0000}"/>
    <cellStyle name="Normal 5 4 2 2 4 3 2" xfId="30988" xr:uid="{1A250119-AE12-429A-B7C2-659F909B6A8A}"/>
    <cellStyle name="Normal 5 4 2 2 4 3 3" xfId="22547" xr:uid="{B4BFF9B3-0A6C-4968-A2D6-41F657E96BE1}"/>
    <cellStyle name="Normal 5 4 2 2 4 3 4" xfId="14106" xr:uid="{4EB99D28-A095-46C0-A74F-B077B27C73FF}"/>
    <cellStyle name="Normal 5 4 2 2 4 4" xfId="26770" xr:uid="{3D5BDA38-B345-4280-8098-602B8A98BF70}"/>
    <cellStyle name="Normal 5 4 2 2 4 5" xfId="18329" xr:uid="{7F28DE06-80B1-441D-85C8-19682E3398C2}"/>
    <cellStyle name="Normal 5 4 2 2 4 6" xfId="9888" xr:uid="{4E5D59A4-1F80-497B-B91E-9D2062FE6CE6}"/>
    <cellStyle name="Normal 5 4 2 2 5" xfId="1762" xr:uid="{00000000-0005-0000-0000-0000CC1A0000}"/>
    <cellStyle name="Normal 5 4 2 2 5 2" xfId="3992" xr:uid="{00000000-0005-0000-0000-0000CD1A0000}"/>
    <cellStyle name="Normal 5 4 2 2 5 2 2" xfId="8214" xr:uid="{00000000-0005-0000-0000-0000CE1A0000}"/>
    <cellStyle name="Normal 5 4 2 2 5 2 2 2" xfId="33546" xr:uid="{C14EB96F-4555-4ECD-8E1A-099F4199D137}"/>
    <cellStyle name="Normal 5 4 2 2 5 2 2 3" xfId="25105" xr:uid="{C60341A2-DF8A-4897-A214-EA03CFBAAB2C}"/>
    <cellStyle name="Normal 5 4 2 2 5 2 2 4" xfId="16664" xr:uid="{C2EA69F4-4E76-4B9F-8A37-1FED54765077}"/>
    <cellStyle name="Normal 5 4 2 2 5 2 3" xfId="29328" xr:uid="{25B346C9-E07D-4C0E-B281-D732BD2408C9}"/>
    <cellStyle name="Normal 5 4 2 2 5 2 4" xfId="20887" xr:uid="{D86A1A7F-7E64-4DF4-9411-EB0FF1830849}"/>
    <cellStyle name="Normal 5 4 2 2 5 2 5" xfId="12446" xr:uid="{9D988D8C-2573-4DDE-B173-570B3FE01EDF}"/>
    <cellStyle name="Normal 5 4 2 2 5 3" xfId="6069" xr:uid="{00000000-0005-0000-0000-0000CF1A0000}"/>
    <cellStyle name="Normal 5 4 2 2 5 3 2" xfId="31401" xr:uid="{61592EE9-7877-41F7-A201-C9A383C35E5D}"/>
    <cellStyle name="Normal 5 4 2 2 5 3 3" xfId="22960" xr:uid="{CCAA4D4F-F86F-402A-B7AA-080F854BD57E}"/>
    <cellStyle name="Normal 5 4 2 2 5 3 4" xfId="14519" xr:uid="{364FE2D0-5628-4106-99A4-4985A728948A}"/>
    <cellStyle name="Normal 5 4 2 2 5 4" xfId="27183" xr:uid="{EF0C53DD-FA5F-43DC-8F6C-E6706D998DC4}"/>
    <cellStyle name="Normal 5 4 2 2 5 5" xfId="18742" xr:uid="{17AFC0B1-9007-47A2-B722-15E94607286F}"/>
    <cellStyle name="Normal 5 4 2 2 5 6" xfId="10301" xr:uid="{12BCA01F-6CB8-4F0A-97EC-C67B9BD1FC0F}"/>
    <cellStyle name="Normal 5 4 2 2 6" xfId="2176" xr:uid="{00000000-0005-0000-0000-0000D01A0000}"/>
    <cellStyle name="Normal 5 4 2 2 6 2" xfId="4405" xr:uid="{00000000-0005-0000-0000-0000D11A0000}"/>
    <cellStyle name="Normal 5 4 2 2 6 2 2" xfId="8627" xr:uid="{00000000-0005-0000-0000-0000D21A0000}"/>
    <cellStyle name="Normal 5 4 2 2 6 2 2 2" xfId="33959" xr:uid="{6C7D36F3-5AF2-48B7-AF80-22E6F403A876}"/>
    <cellStyle name="Normal 5 4 2 2 6 2 2 3" xfId="25518" xr:uid="{BFED3586-6BE7-4C3F-B833-98D5B0455325}"/>
    <cellStyle name="Normal 5 4 2 2 6 2 2 4" xfId="17077" xr:uid="{60A51626-2BD2-486F-9B1F-8852A1D10EAC}"/>
    <cellStyle name="Normal 5 4 2 2 6 2 3" xfId="29741" xr:uid="{80B4BFE3-1A09-426A-A561-D11A7791A4C8}"/>
    <cellStyle name="Normal 5 4 2 2 6 2 4" xfId="21300" xr:uid="{6DBF7490-D089-48A6-AD90-6EB31A5999D0}"/>
    <cellStyle name="Normal 5 4 2 2 6 2 5" xfId="12859" xr:uid="{1D858EAD-4A27-403B-AC2B-A9940E9BA2A3}"/>
    <cellStyle name="Normal 5 4 2 2 6 3" xfId="6482" xr:uid="{00000000-0005-0000-0000-0000D31A0000}"/>
    <cellStyle name="Normal 5 4 2 2 6 3 2" xfId="31814" xr:uid="{51EE6C90-BC04-426F-9A76-DDA9B626FCD9}"/>
    <cellStyle name="Normal 5 4 2 2 6 3 3" xfId="23373" xr:uid="{62F49A17-FAB7-47F5-924D-4FE52F6A04C9}"/>
    <cellStyle name="Normal 5 4 2 2 6 3 4" xfId="14932" xr:uid="{63AFB268-5F40-4FDF-A6F3-869B788BDBFD}"/>
    <cellStyle name="Normal 5 4 2 2 6 4" xfId="27596" xr:uid="{FFB65191-1268-4B5E-9B15-8DF946619FC6}"/>
    <cellStyle name="Normal 5 4 2 2 6 5" xfId="19155" xr:uid="{83F458E6-84C1-4983-A484-49DC8A3EEE0A}"/>
    <cellStyle name="Normal 5 4 2 2 6 6" xfId="10714" xr:uid="{9B41C9F2-08C5-4310-BBB5-5F26A7044AF7}"/>
    <cellStyle name="Normal 5 4 2 2 7" xfId="2612" xr:uid="{00000000-0005-0000-0000-0000D41A0000}"/>
    <cellStyle name="Normal 5 4 2 2 7 2" xfId="6895" xr:uid="{00000000-0005-0000-0000-0000D51A0000}"/>
    <cellStyle name="Normal 5 4 2 2 7 2 2" xfId="32227" xr:uid="{6115CD8C-F88E-45E2-A091-73ECBE14F143}"/>
    <cellStyle name="Normal 5 4 2 2 7 2 3" xfId="23786" xr:uid="{F3924E04-340E-417F-B66A-D498CB260CCF}"/>
    <cellStyle name="Normal 5 4 2 2 7 2 4" xfId="15345" xr:uid="{A866670F-0FE6-497C-8BF1-0A8E32AC4E8C}"/>
    <cellStyle name="Normal 5 4 2 2 7 3" xfId="28009" xr:uid="{DC60A39B-AB9B-4E37-B5F6-DE683D9A9D0F}"/>
    <cellStyle name="Normal 5 4 2 2 7 4" xfId="19568" xr:uid="{75633F06-7279-439A-AEA4-368EB3720AEB}"/>
    <cellStyle name="Normal 5 4 2 2 7 5" xfId="11127" xr:uid="{5F305FA8-3B8B-491E-9FCD-0A08D45559FE}"/>
    <cellStyle name="Normal 5 4 2 2 8" xfId="4830" xr:uid="{00000000-0005-0000-0000-0000D61A0000}"/>
    <cellStyle name="Normal 5 4 2 2 8 2" xfId="30162" xr:uid="{61622CC0-FE44-4287-8A0F-99E67F5EC409}"/>
    <cellStyle name="Normal 5 4 2 2 8 3" xfId="21721" xr:uid="{5F894032-AB07-46FA-BAB0-BAA7D29E3B9A}"/>
    <cellStyle name="Normal 5 4 2 2 8 4" xfId="13280" xr:uid="{7467253D-5677-456D-85B0-685D7CFBEE67}"/>
    <cellStyle name="Normal 5 4 2 2 9" xfId="25944" xr:uid="{9D5CE1F1-47A2-47D3-A1AC-D489B5B6A83D}"/>
    <cellStyle name="Normal 5 4 2 3" xfId="460" xr:uid="{00000000-0005-0000-0000-0000D71A0000}"/>
    <cellStyle name="Normal 5 4 2 3 10" xfId="9064" xr:uid="{789B37C1-4BB2-4B35-B89B-EA1B42663B3B}"/>
    <cellStyle name="Normal 5 4 2 3 2" xfId="934" xr:uid="{00000000-0005-0000-0000-0000D81A0000}"/>
    <cellStyle name="Normal 5 4 2 3 2 2" xfId="3168" xr:uid="{00000000-0005-0000-0000-0000D91A0000}"/>
    <cellStyle name="Normal 5 4 2 3 2 2 2" xfId="7390" xr:uid="{00000000-0005-0000-0000-0000DA1A0000}"/>
    <cellStyle name="Normal 5 4 2 3 2 2 2 2" xfId="32722" xr:uid="{09822398-3229-4181-9377-7CFA6A527208}"/>
    <cellStyle name="Normal 5 4 2 3 2 2 2 3" xfId="24281" xr:uid="{A3FD5DFC-5E48-429B-B410-66AFD157E39D}"/>
    <cellStyle name="Normal 5 4 2 3 2 2 2 4" xfId="15840" xr:uid="{2DBA8D99-0AF5-4C8D-A57E-60C234E64D55}"/>
    <cellStyle name="Normal 5 4 2 3 2 2 3" xfId="28504" xr:uid="{E1A8BA58-F2A5-4D40-8E95-92BC0302D3C7}"/>
    <cellStyle name="Normal 5 4 2 3 2 2 4" xfId="20063" xr:uid="{0DCBF323-4A12-4631-A391-1C5DB47002E2}"/>
    <cellStyle name="Normal 5 4 2 3 2 2 5" xfId="11622" xr:uid="{8F44985F-A2CB-47E1-B6A6-8DD38989D069}"/>
    <cellStyle name="Normal 5 4 2 3 2 3" xfId="5245" xr:uid="{00000000-0005-0000-0000-0000DB1A0000}"/>
    <cellStyle name="Normal 5 4 2 3 2 3 2" xfId="30577" xr:uid="{35F1C98C-502A-4D2E-8E9B-F06177609AEE}"/>
    <cellStyle name="Normal 5 4 2 3 2 3 3" xfId="22136" xr:uid="{B3328A0E-748F-445C-B33F-B272E6E7F923}"/>
    <cellStyle name="Normal 5 4 2 3 2 3 4" xfId="13695" xr:uid="{3B015222-6DE7-433C-B48B-A1D54E6D9E7C}"/>
    <cellStyle name="Normal 5 4 2 3 2 4" xfId="26359" xr:uid="{BB0AB9FE-EC0F-47E7-B656-9669511EE9AC}"/>
    <cellStyle name="Normal 5 4 2 3 2 5" xfId="17918" xr:uid="{56E5EE81-42A2-406D-89F7-2F5C5C4A5A62}"/>
    <cellStyle name="Normal 5 4 2 3 2 6" xfId="9477" xr:uid="{9A367077-63F3-44E9-A921-4B9D9DF12C54}"/>
    <cellStyle name="Normal 5 4 2 3 3" xfId="1351" xr:uid="{00000000-0005-0000-0000-0000DC1A0000}"/>
    <cellStyle name="Normal 5 4 2 3 3 2" xfId="3581" xr:uid="{00000000-0005-0000-0000-0000DD1A0000}"/>
    <cellStyle name="Normal 5 4 2 3 3 2 2" xfId="7803" xr:uid="{00000000-0005-0000-0000-0000DE1A0000}"/>
    <cellStyle name="Normal 5 4 2 3 3 2 2 2" xfId="33135" xr:uid="{9EBD110C-979E-4541-BFCA-E91270F00C17}"/>
    <cellStyle name="Normal 5 4 2 3 3 2 2 3" xfId="24694" xr:uid="{32956EDA-BADC-431F-9CFD-392B68C03D34}"/>
    <cellStyle name="Normal 5 4 2 3 3 2 2 4" xfId="16253" xr:uid="{AEDA5CA4-5FDA-44CA-A844-85C1A2F663CF}"/>
    <cellStyle name="Normal 5 4 2 3 3 2 3" xfId="28917" xr:uid="{15CC3563-E37B-4501-9252-4761E44DA712}"/>
    <cellStyle name="Normal 5 4 2 3 3 2 4" xfId="20476" xr:uid="{6A26D17D-347E-4471-AD93-88B261CE9847}"/>
    <cellStyle name="Normal 5 4 2 3 3 2 5" xfId="12035" xr:uid="{B8AE224D-F497-4D00-9619-A2F319E96419}"/>
    <cellStyle name="Normal 5 4 2 3 3 3" xfId="5658" xr:uid="{00000000-0005-0000-0000-0000DF1A0000}"/>
    <cellStyle name="Normal 5 4 2 3 3 3 2" xfId="30990" xr:uid="{EA42F07E-D370-45A4-8F79-A1653435AFEE}"/>
    <cellStyle name="Normal 5 4 2 3 3 3 3" xfId="22549" xr:uid="{ACF0CED2-7F38-4921-A0D5-6C1320B89055}"/>
    <cellStyle name="Normal 5 4 2 3 3 3 4" xfId="14108" xr:uid="{0D599F6F-F089-46AC-9DBC-13F7946B59FD}"/>
    <cellStyle name="Normal 5 4 2 3 3 4" xfId="26772" xr:uid="{2DF69D0E-40B4-4CF2-8833-024B9DFB9852}"/>
    <cellStyle name="Normal 5 4 2 3 3 5" xfId="18331" xr:uid="{0BB09BF9-1F3A-422B-B366-66DA7BCDE39B}"/>
    <cellStyle name="Normal 5 4 2 3 3 6" xfId="9890" xr:uid="{F11BBC1B-9F0C-42BB-87DE-88FFC74AD453}"/>
    <cellStyle name="Normal 5 4 2 3 4" xfId="1764" xr:uid="{00000000-0005-0000-0000-0000E01A0000}"/>
    <cellStyle name="Normal 5 4 2 3 4 2" xfId="3994" xr:uid="{00000000-0005-0000-0000-0000E11A0000}"/>
    <cellStyle name="Normal 5 4 2 3 4 2 2" xfId="8216" xr:uid="{00000000-0005-0000-0000-0000E21A0000}"/>
    <cellStyle name="Normal 5 4 2 3 4 2 2 2" xfId="33548" xr:uid="{305608A2-66F7-40CA-8DDA-9B4CACD1B4CF}"/>
    <cellStyle name="Normal 5 4 2 3 4 2 2 3" xfId="25107" xr:uid="{A44DE1FA-D486-4CE6-A625-22C5630839F4}"/>
    <cellStyle name="Normal 5 4 2 3 4 2 2 4" xfId="16666" xr:uid="{9B196A71-89FD-41BC-A199-AC74B278F91D}"/>
    <cellStyle name="Normal 5 4 2 3 4 2 3" xfId="29330" xr:uid="{DB07B3ED-7DDF-4F33-BD03-47F0DE5F9D3B}"/>
    <cellStyle name="Normal 5 4 2 3 4 2 4" xfId="20889" xr:uid="{01C2F1A5-F272-4E8D-826B-A649FAA3DD68}"/>
    <cellStyle name="Normal 5 4 2 3 4 2 5" xfId="12448" xr:uid="{1A25F5AC-4B3E-4BAE-9E4B-80CFF178C521}"/>
    <cellStyle name="Normal 5 4 2 3 4 3" xfId="6071" xr:uid="{00000000-0005-0000-0000-0000E31A0000}"/>
    <cellStyle name="Normal 5 4 2 3 4 3 2" xfId="31403" xr:uid="{7FEB2A44-33CD-4DB9-9964-E98EBC8937A1}"/>
    <cellStyle name="Normal 5 4 2 3 4 3 3" xfId="22962" xr:uid="{26B113F3-D567-4514-A2D7-1D4AD58149C3}"/>
    <cellStyle name="Normal 5 4 2 3 4 3 4" xfId="14521" xr:uid="{A6736D50-602C-49FF-BFF9-9C634097807F}"/>
    <cellStyle name="Normal 5 4 2 3 4 4" xfId="27185" xr:uid="{2B8991C1-F6C0-4621-AD02-424EB5DE5896}"/>
    <cellStyle name="Normal 5 4 2 3 4 5" xfId="18744" xr:uid="{EE88CCA2-FB94-4551-A024-BAE24E794A98}"/>
    <cellStyle name="Normal 5 4 2 3 4 6" xfId="10303" xr:uid="{D26A52E6-E09D-491C-9E5B-7C46F679DE18}"/>
    <cellStyle name="Normal 5 4 2 3 5" xfId="2178" xr:uid="{00000000-0005-0000-0000-0000E41A0000}"/>
    <cellStyle name="Normal 5 4 2 3 5 2" xfId="4407" xr:uid="{00000000-0005-0000-0000-0000E51A0000}"/>
    <cellStyle name="Normal 5 4 2 3 5 2 2" xfId="8629" xr:uid="{00000000-0005-0000-0000-0000E61A0000}"/>
    <cellStyle name="Normal 5 4 2 3 5 2 2 2" xfId="33961" xr:uid="{172411FC-4CED-44CC-B6CB-1C3DDE29DC5F}"/>
    <cellStyle name="Normal 5 4 2 3 5 2 2 3" xfId="25520" xr:uid="{1EE848CC-0CB2-46DC-8E40-67C8931CD680}"/>
    <cellStyle name="Normal 5 4 2 3 5 2 2 4" xfId="17079" xr:uid="{DE119A53-6D4F-440D-98E5-CB712590444E}"/>
    <cellStyle name="Normal 5 4 2 3 5 2 3" xfId="29743" xr:uid="{3B7BEDC7-1BD8-4513-8E24-25BA6BAF56BE}"/>
    <cellStyle name="Normal 5 4 2 3 5 2 4" xfId="21302" xr:uid="{3F51767F-3D75-47EA-BAC8-E6EB7DCD84C5}"/>
    <cellStyle name="Normal 5 4 2 3 5 2 5" xfId="12861" xr:uid="{A60444CA-C2DF-4357-B39D-B788DCF526B8}"/>
    <cellStyle name="Normal 5 4 2 3 5 3" xfId="6484" xr:uid="{00000000-0005-0000-0000-0000E71A0000}"/>
    <cellStyle name="Normal 5 4 2 3 5 3 2" xfId="31816" xr:uid="{ED445F38-3146-43F0-9CD1-54797CBE6B24}"/>
    <cellStyle name="Normal 5 4 2 3 5 3 3" xfId="23375" xr:uid="{A8063F24-BBE9-4C9B-B17F-BDF18104E32E}"/>
    <cellStyle name="Normal 5 4 2 3 5 3 4" xfId="14934" xr:uid="{E0067B2F-8205-44BB-9330-5F9C612C7056}"/>
    <cellStyle name="Normal 5 4 2 3 5 4" xfId="27598" xr:uid="{FF794BDC-A867-48C3-8746-AECC33630258}"/>
    <cellStyle name="Normal 5 4 2 3 5 5" xfId="19157" xr:uid="{F56DCF7B-F81E-4B5C-970A-F2FF6F43F06E}"/>
    <cellStyle name="Normal 5 4 2 3 5 6" xfId="10716" xr:uid="{F5AF1CD6-7E16-442F-9BBE-021EDA41BED8}"/>
    <cellStyle name="Normal 5 4 2 3 6" xfId="2614" xr:uid="{00000000-0005-0000-0000-0000E81A0000}"/>
    <cellStyle name="Normal 5 4 2 3 6 2" xfId="6897" xr:uid="{00000000-0005-0000-0000-0000E91A0000}"/>
    <cellStyle name="Normal 5 4 2 3 6 2 2" xfId="32229" xr:uid="{EACBD2FC-72CC-4D11-BC21-E79C92567DAA}"/>
    <cellStyle name="Normal 5 4 2 3 6 2 3" xfId="23788" xr:uid="{BA46F8DF-F6EB-409F-B390-9D00459526A8}"/>
    <cellStyle name="Normal 5 4 2 3 6 2 4" xfId="15347" xr:uid="{422A0D8D-23CA-417E-A240-8AB9FFDDE176}"/>
    <cellStyle name="Normal 5 4 2 3 6 3" xfId="28011" xr:uid="{BDB36C43-FF7C-4625-8414-431709CC3B5C}"/>
    <cellStyle name="Normal 5 4 2 3 6 4" xfId="19570" xr:uid="{94255744-C57F-49C6-85E9-1D47252375D7}"/>
    <cellStyle name="Normal 5 4 2 3 6 5" xfId="11129" xr:uid="{5D386FA4-5943-48B6-90D8-6EA0CA987C1D}"/>
    <cellStyle name="Normal 5 4 2 3 7" xfId="4832" xr:uid="{00000000-0005-0000-0000-0000EA1A0000}"/>
    <cellStyle name="Normal 5 4 2 3 7 2" xfId="30164" xr:uid="{30C45068-5905-438C-8504-6C0AFB888FE2}"/>
    <cellStyle name="Normal 5 4 2 3 7 3" xfId="21723" xr:uid="{9661E6F1-23B9-4858-A2D3-4839ECA9FDCA}"/>
    <cellStyle name="Normal 5 4 2 3 7 4" xfId="13282" xr:uid="{D17DF79E-C10D-40D5-B267-94D6E611295A}"/>
    <cellStyle name="Normal 5 4 2 3 8" xfId="25946" xr:uid="{0C2B00C5-32B4-4AB8-BDC8-3FFA2187EFCE}"/>
    <cellStyle name="Normal 5 4 2 3 9" xfId="17505" xr:uid="{FC93E5DF-B684-4B8E-A9E3-E5802C31B0E5}"/>
    <cellStyle name="Normal 5 4 2 4" xfId="931" xr:uid="{00000000-0005-0000-0000-0000EB1A0000}"/>
    <cellStyle name="Normal 5 4 2 4 2" xfId="3165" xr:uid="{00000000-0005-0000-0000-0000EC1A0000}"/>
    <cellStyle name="Normal 5 4 2 4 2 2" xfId="7387" xr:uid="{00000000-0005-0000-0000-0000ED1A0000}"/>
    <cellStyle name="Normal 5 4 2 4 2 2 2" xfId="32719" xr:uid="{83D346C4-21FE-4A52-855E-B2A66E12F0E3}"/>
    <cellStyle name="Normal 5 4 2 4 2 2 3" xfId="24278" xr:uid="{28217D3E-69AB-4E28-8FF5-B76B4F78C01C}"/>
    <cellStyle name="Normal 5 4 2 4 2 2 4" xfId="15837" xr:uid="{01842B7E-880B-4DEE-BC9D-18CE547FE34D}"/>
    <cellStyle name="Normal 5 4 2 4 2 3" xfId="28501" xr:uid="{2E0A3C4F-6409-445C-B731-9F274EBBB1DA}"/>
    <cellStyle name="Normal 5 4 2 4 2 4" xfId="20060" xr:uid="{DD10265C-BE3D-4854-9211-22F4AAAEF283}"/>
    <cellStyle name="Normal 5 4 2 4 2 5" xfId="11619" xr:uid="{4C53F179-B9C8-46BB-8EDB-D6EA40931B85}"/>
    <cellStyle name="Normal 5 4 2 4 3" xfId="5242" xr:uid="{00000000-0005-0000-0000-0000EE1A0000}"/>
    <cellStyle name="Normal 5 4 2 4 3 2" xfId="30574" xr:uid="{D0622151-C00D-4C3D-B023-31FC4C193CF4}"/>
    <cellStyle name="Normal 5 4 2 4 3 3" xfId="22133" xr:uid="{068972ED-6D9D-4E3E-8896-CF057F761763}"/>
    <cellStyle name="Normal 5 4 2 4 3 4" xfId="13692" xr:uid="{51789A76-40F7-4F53-8315-E7DC1ABB610E}"/>
    <cellStyle name="Normal 5 4 2 4 4" xfId="26356" xr:uid="{415A4C93-2710-45C5-B914-83723CEA7F3B}"/>
    <cellStyle name="Normal 5 4 2 4 5" xfId="17915" xr:uid="{6A322A1C-6347-46F5-8003-B5BCBF7D976F}"/>
    <cellStyle name="Normal 5 4 2 4 6" xfId="9474" xr:uid="{C9596D44-95AD-443B-8112-FAF7A83C26DA}"/>
    <cellStyle name="Normal 5 4 2 5" xfId="1348" xr:uid="{00000000-0005-0000-0000-0000EF1A0000}"/>
    <cellStyle name="Normal 5 4 2 5 2" xfId="3578" xr:uid="{00000000-0005-0000-0000-0000F01A0000}"/>
    <cellStyle name="Normal 5 4 2 5 2 2" xfId="7800" xr:uid="{00000000-0005-0000-0000-0000F11A0000}"/>
    <cellStyle name="Normal 5 4 2 5 2 2 2" xfId="33132" xr:uid="{5DB55235-856B-400C-8A86-1DAC8BB5359E}"/>
    <cellStyle name="Normal 5 4 2 5 2 2 3" xfId="24691" xr:uid="{CFD526C9-56B3-4137-9A9C-79B4B1172A5C}"/>
    <cellStyle name="Normal 5 4 2 5 2 2 4" xfId="16250" xr:uid="{A093C7A7-A5B0-4F1C-8E44-08582190FC0A}"/>
    <cellStyle name="Normal 5 4 2 5 2 3" xfId="28914" xr:uid="{80D801C4-31F8-4EF0-8A35-CD3A4ECE6843}"/>
    <cellStyle name="Normal 5 4 2 5 2 4" xfId="20473" xr:uid="{0B09E59E-96B0-49A4-AB63-FA0AB7B73090}"/>
    <cellStyle name="Normal 5 4 2 5 2 5" xfId="12032" xr:uid="{D452B1EE-BF68-429C-B9E8-2B03AF78AF9C}"/>
    <cellStyle name="Normal 5 4 2 5 3" xfId="5655" xr:uid="{00000000-0005-0000-0000-0000F21A0000}"/>
    <cellStyle name="Normal 5 4 2 5 3 2" xfId="30987" xr:uid="{A2F80BDA-9718-49E3-B300-DE9B99F0A717}"/>
    <cellStyle name="Normal 5 4 2 5 3 3" xfId="22546" xr:uid="{44385807-1D04-41AB-81B0-87D66BCC53CC}"/>
    <cellStyle name="Normal 5 4 2 5 3 4" xfId="14105" xr:uid="{DD4DCDE8-32F3-4F70-A9FF-EFF36DB0740B}"/>
    <cellStyle name="Normal 5 4 2 5 4" xfId="26769" xr:uid="{49586456-DBAA-4B13-96F3-7244134B90C3}"/>
    <cellStyle name="Normal 5 4 2 5 5" xfId="18328" xr:uid="{D73A541D-465C-411F-852C-1788888B885F}"/>
    <cellStyle name="Normal 5 4 2 5 6" xfId="9887" xr:uid="{616DF753-EA60-459D-AE08-3AB9409AD378}"/>
    <cellStyle name="Normal 5 4 2 6" xfId="1761" xr:uid="{00000000-0005-0000-0000-0000F31A0000}"/>
    <cellStyle name="Normal 5 4 2 6 2" xfId="3991" xr:uid="{00000000-0005-0000-0000-0000F41A0000}"/>
    <cellStyle name="Normal 5 4 2 6 2 2" xfId="8213" xr:uid="{00000000-0005-0000-0000-0000F51A0000}"/>
    <cellStyle name="Normal 5 4 2 6 2 2 2" xfId="33545" xr:uid="{042D734B-C1DE-4B96-87F3-A5C8DBC43EED}"/>
    <cellStyle name="Normal 5 4 2 6 2 2 3" xfId="25104" xr:uid="{97EB3E82-8659-48AA-9BD7-35BD115F90E9}"/>
    <cellStyle name="Normal 5 4 2 6 2 2 4" xfId="16663" xr:uid="{7BF07340-C2F5-45FC-A9C2-9B41626A144E}"/>
    <cellStyle name="Normal 5 4 2 6 2 3" xfId="29327" xr:uid="{048EC893-E5DC-467F-A49E-EF600A8438D8}"/>
    <cellStyle name="Normal 5 4 2 6 2 4" xfId="20886" xr:uid="{255686D6-B2F3-4C14-BB71-D09607BE5F64}"/>
    <cellStyle name="Normal 5 4 2 6 2 5" xfId="12445" xr:uid="{3A1CE645-B856-4626-B6D0-94F82C9EBE3D}"/>
    <cellStyle name="Normal 5 4 2 6 3" xfId="6068" xr:uid="{00000000-0005-0000-0000-0000F61A0000}"/>
    <cellStyle name="Normal 5 4 2 6 3 2" xfId="31400" xr:uid="{FE5BC99D-AC5B-49B2-A100-E4A6D4221D26}"/>
    <cellStyle name="Normal 5 4 2 6 3 3" xfId="22959" xr:uid="{EB2F7DE0-D63E-4690-8AAD-8147965A4A78}"/>
    <cellStyle name="Normal 5 4 2 6 3 4" xfId="14518" xr:uid="{B3005F4E-0566-4442-9A72-3A424BCFD776}"/>
    <cellStyle name="Normal 5 4 2 6 4" xfId="27182" xr:uid="{9AE96A45-A29E-4D21-A3B4-C176719CC824}"/>
    <cellStyle name="Normal 5 4 2 6 5" xfId="18741" xr:uid="{F293767E-DD2A-49B2-9A2B-495B19FB5DE2}"/>
    <cellStyle name="Normal 5 4 2 6 6" xfId="10300" xr:uid="{ED53ACDC-2543-4B3A-9291-192CFF4FB20B}"/>
    <cellStyle name="Normal 5 4 2 7" xfId="2175" xr:uid="{00000000-0005-0000-0000-0000F71A0000}"/>
    <cellStyle name="Normal 5 4 2 7 2" xfId="4404" xr:uid="{00000000-0005-0000-0000-0000F81A0000}"/>
    <cellStyle name="Normal 5 4 2 7 2 2" xfId="8626" xr:uid="{00000000-0005-0000-0000-0000F91A0000}"/>
    <cellStyle name="Normal 5 4 2 7 2 2 2" xfId="33958" xr:uid="{179023A5-F840-4E1E-9C51-8CC3826FFCF1}"/>
    <cellStyle name="Normal 5 4 2 7 2 2 3" xfId="25517" xr:uid="{A2717707-AF47-4D16-A466-5A4FEB681030}"/>
    <cellStyle name="Normal 5 4 2 7 2 2 4" xfId="17076" xr:uid="{4712BCE6-935A-4475-929E-B95E5B4D8F70}"/>
    <cellStyle name="Normal 5 4 2 7 2 3" xfId="29740" xr:uid="{9CE6AC7F-98C2-4E86-8C08-03562C072863}"/>
    <cellStyle name="Normal 5 4 2 7 2 4" xfId="21299" xr:uid="{BD70BE87-8DE9-4F71-89D3-F8619BF4E454}"/>
    <cellStyle name="Normal 5 4 2 7 2 5" xfId="12858" xr:uid="{8BC7BA34-A475-4B60-A124-D38087D4FB6F}"/>
    <cellStyle name="Normal 5 4 2 7 3" xfId="6481" xr:uid="{00000000-0005-0000-0000-0000FA1A0000}"/>
    <cellStyle name="Normal 5 4 2 7 3 2" xfId="31813" xr:uid="{5D5A76EF-F9C6-4D51-B75F-9AEBCE421D0B}"/>
    <cellStyle name="Normal 5 4 2 7 3 3" xfId="23372" xr:uid="{EAC2967D-C2E2-4052-8D25-37BC0B817A4A}"/>
    <cellStyle name="Normal 5 4 2 7 3 4" xfId="14931" xr:uid="{7E4C04AF-B89B-48CA-BBB7-EC7147F03C60}"/>
    <cellStyle name="Normal 5 4 2 7 4" xfId="27595" xr:uid="{543AEAAD-6699-4129-A726-2DE93A4DFCDD}"/>
    <cellStyle name="Normal 5 4 2 7 5" xfId="19154" xr:uid="{234772E7-AFC2-400E-AAAE-AE34CAEE2D4B}"/>
    <cellStyle name="Normal 5 4 2 7 6" xfId="10713" xr:uid="{E87A4E92-BBBC-4CAB-B475-9475BE5760A2}"/>
    <cellStyle name="Normal 5 4 2 8" xfId="2611" xr:uid="{00000000-0005-0000-0000-0000FB1A0000}"/>
    <cellStyle name="Normal 5 4 2 8 2" xfId="6894" xr:uid="{00000000-0005-0000-0000-0000FC1A0000}"/>
    <cellStyle name="Normal 5 4 2 8 2 2" xfId="32226" xr:uid="{5118B58A-86F3-4322-890B-BEC4287B14A5}"/>
    <cellStyle name="Normal 5 4 2 8 2 3" xfId="23785" xr:uid="{4F628441-D352-4DE5-AEEA-11D09D145372}"/>
    <cellStyle name="Normal 5 4 2 8 2 4" xfId="15344" xr:uid="{28243DB6-DB9B-4928-B584-FD8AFE0356B6}"/>
    <cellStyle name="Normal 5 4 2 8 3" xfId="28008" xr:uid="{909B3996-7CDE-4E50-A3DA-BF723F8FDC91}"/>
    <cellStyle name="Normal 5 4 2 8 4" xfId="19567" xr:uid="{D9BB740E-3D0D-4279-84E6-C3313A5E1740}"/>
    <cellStyle name="Normal 5 4 2 8 5" xfId="11126" xr:uid="{3549E3F5-2C34-4208-8C74-9281C40319A2}"/>
    <cellStyle name="Normal 5 4 2 9" xfId="4829" xr:uid="{00000000-0005-0000-0000-0000FD1A0000}"/>
    <cellStyle name="Normal 5 4 2 9 2" xfId="30161" xr:uid="{3BE225C9-59F7-4DC2-83CD-E8EC7E3EDA31}"/>
    <cellStyle name="Normal 5 4 2 9 3" xfId="21720" xr:uid="{B4EB68AF-6B86-4787-B223-2572A573C620}"/>
    <cellStyle name="Normal 5 4 2 9 4" xfId="13279" xr:uid="{7246D20A-0D98-42B7-8FF0-7E51DEBBFBA1}"/>
    <cellStyle name="Normal 5 4 3" xfId="461" xr:uid="{00000000-0005-0000-0000-0000FE1A0000}"/>
    <cellStyle name="Normal 5 4 3 10" xfId="17506" xr:uid="{3F5F9678-479F-4BF5-A077-6258F46D75D2}"/>
    <cellStyle name="Normal 5 4 3 11" xfId="9065" xr:uid="{433B9A86-096B-4F74-8F76-FAB5AE8D05AA}"/>
    <cellStyle name="Normal 5 4 3 2" xfId="462" xr:uid="{00000000-0005-0000-0000-0000FF1A0000}"/>
    <cellStyle name="Normal 5 4 3 2 10" xfId="9066" xr:uid="{D5FD8E6E-79F8-410E-9179-6494C2CD3538}"/>
    <cellStyle name="Normal 5 4 3 2 2" xfId="936" xr:uid="{00000000-0005-0000-0000-0000001B0000}"/>
    <cellStyle name="Normal 5 4 3 2 2 2" xfId="3170" xr:uid="{00000000-0005-0000-0000-0000011B0000}"/>
    <cellStyle name="Normal 5 4 3 2 2 2 2" xfId="7392" xr:uid="{00000000-0005-0000-0000-0000021B0000}"/>
    <cellStyle name="Normal 5 4 3 2 2 2 2 2" xfId="32724" xr:uid="{213FCB2A-D755-4E4F-8A5C-486F62039751}"/>
    <cellStyle name="Normal 5 4 3 2 2 2 2 3" xfId="24283" xr:uid="{518BFC02-E2A0-4307-ADF7-FE1F1B3794B2}"/>
    <cellStyle name="Normal 5 4 3 2 2 2 2 4" xfId="15842" xr:uid="{44F2619B-1B29-462D-9FC1-4EA7C36F62FC}"/>
    <cellStyle name="Normal 5 4 3 2 2 2 3" xfId="28506" xr:uid="{8D41CFE4-5302-4A6D-A2D8-F084FD14A8FD}"/>
    <cellStyle name="Normal 5 4 3 2 2 2 4" xfId="20065" xr:uid="{7E359E6A-2464-4190-A0AB-764A924621A9}"/>
    <cellStyle name="Normal 5 4 3 2 2 2 5" xfId="11624" xr:uid="{F44D82E5-2756-4449-BA52-76C9253AE1A6}"/>
    <cellStyle name="Normal 5 4 3 2 2 3" xfId="5247" xr:uid="{00000000-0005-0000-0000-0000031B0000}"/>
    <cellStyle name="Normal 5 4 3 2 2 3 2" xfId="30579" xr:uid="{A620C028-890D-43B8-853C-F65337E7EC9E}"/>
    <cellStyle name="Normal 5 4 3 2 2 3 3" xfId="22138" xr:uid="{D8964F39-EDB7-43B0-91E8-F8FFCEB66789}"/>
    <cellStyle name="Normal 5 4 3 2 2 3 4" xfId="13697" xr:uid="{122F84EE-8B96-46EC-9797-4456AA075455}"/>
    <cellStyle name="Normal 5 4 3 2 2 4" xfId="26361" xr:uid="{AEB131C3-3F83-4405-BA31-7A11A0DE891C}"/>
    <cellStyle name="Normal 5 4 3 2 2 5" xfId="17920" xr:uid="{A19EF958-2285-4AC8-A2D3-558A4DD92237}"/>
    <cellStyle name="Normal 5 4 3 2 2 6" xfId="9479" xr:uid="{AD586464-0C90-4725-85AB-05CCBCA5876D}"/>
    <cellStyle name="Normal 5 4 3 2 3" xfId="1353" xr:uid="{00000000-0005-0000-0000-0000041B0000}"/>
    <cellStyle name="Normal 5 4 3 2 3 2" xfId="3583" xr:uid="{00000000-0005-0000-0000-0000051B0000}"/>
    <cellStyle name="Normal 5 4 3 2 3 2 2" xfId="7805" xr:uid="{00000000-0005-0000-0000-0000061B0000}"/>
    <cellStyle name="Normal 5 4 3 2 3 2 2 2" xfId="33137" xr:uid="{ED6A3A53-BC7E-4DB2-8C6E-8C86D185D575}"/>
    <cellStyle name="Normal 5 4 3 2 3 2 2 3" xfId="24696" xr:uid="{4120A0D8-73EC-405E-93D4-FE55651E43C1}"/>
    <cellStyle name="Normal 5 4 3 2 3 2 2 4" xfId="16255" xr:uid="{77141360-F4E6-472A-B9A8-0AE3C3C6DF78}"/>
    <cellStyle name="Normal 5 4 3 2 3 2 3" xfId="28919" xr:uid="{E6A55765-5B29-4DC4-8569-CCD197E9E336}"/>
    <cellStyle name="Normal 5 4 3 2 3 2 4" xfId="20478" xr:uid="{1A1F4105-133C-4EBD-92B7-2C032AA82CD3}"/>
    <cellStyle name="Normal 5 4 3 2 3 2 5" xfId="12037" xr:uid="{D4D3F719-1CB7-40BE-A5C4-265C512DFC5F}"/>
    <cellStyle name="Normal 5 4 3 2 3 3" xfId="5660" xr:uid="{00000000-0005-0000-0000-0000071B0000}"/>
    <cellStyle name="Normal 5 4 3 2 3 3 2" xfId="30992" xr:uid="{D6C4B786-1889-44F6-AE24-FBCED9EA419D}"/>
    <cellStyle name="Normal 5 4 3 2 3 3 3" xfId="22551" xr:uid="{28A444D9-35DC-41FB-A194-81056435501A}"/>
    <cellStyle name="Normal 5 4 3 2 3 3 4" xfId="14110" xr:uid="{6E733954-5789-4401-869F-61E644AB7031}"/>
    <cellStyle name="Normal 5 4 3 2 3 4" xfId="26774" xr:uid="{FC0FEA41-5AD8-4801-88B1-C6C2DF4E19AD}"/>
    <cellStyle name="Normal 5 4 3 2 3 5" xfId="18333" xr:uid="{AB59E07F-42DD-4914-B089-4C5B75B9BF15}"/>
    <cellStyle name="Normal 5 4 3 2 3 6" xfId="9892" xr:uid="{287A02A0-F55A-4E3D-8A94-06F3CDDB1BD3}"/>
    <cellStyle name="Normal 5 4 3 2 4" xfId="1766" xr:uid="{00000000-0005-0000-0000-0000081B0000}"/>
    <cellStyle name="Normal 5 4 3 2 4 2" xfId="3996" xr:uid="{00000000-0005-0000-0000-0000091B0000}"/>
    <cellStyle name="Normal 5 4 3 2 4 2 2" xfId="8218" xr:uid="{00000000-0005-0000-0000-00000A1B0000}"/>
    <cellStyle name="Normal 5 4 3 2 4 2 2 2" xfId="33550" xr:uid="{E2A45D0D-86E1-481B-820B-E3691C3B3612}"/>
    <cellStyle name="Normal 5 4 3 2 4 2 2 3" xfId="25109" xr:uid="{C50C3DBE-43AB-43A8-B5C0-4D934CE7F460}"/>
    <cellStyle name="Normal 5 4 3 2 4 2 2 4" xfId="16668" xr:uid="{2060231E-3B32-4FCC-856C-29DF1BE96E21}"/>
    <cellStyle name="Normal 5 4 3 2 4 2 3" xfId="29332" xr:uid="{DEC6A2F5-7519-471A-8719-4DC762658938}"/>
    <cellStyle name="Normal 5 4 3 2 4 2 4" xfId="20891" xr:uid="{F51FA9FA-F035-45E6-A12D-0729554359BA}"/>
    <cellStyle name="Normal 5 4 3 2 4 2 5" xfId="12450" xr:uid="{DA79D109-C254-4DFE-9765-4C75D936F33A}"/>
    <cellStyle name="Normal 5 4 3 2 4 3" xfId="6073" xr:uid="{00000000-0005-0000-0000-00000B1B0000}"/>
    <cellStyle name="Normal 5 4 3 2 4 3 2" xfId="31405" xr:uid="{970DD11E-7050-46B1-B4D9-08C7FA8224E4}"/>
    <cellStyle name="Normal 5 4 3 2 4 3 3" xfId="22964" xr:uid="{AE04FA22-3CC7-4A00-8C3F-942783FFF4AD}"/>
    <cellStyle name="Normal 5 4 3 2 4 3 4" xfId="14523" xr:uid="{71434455-EF0D-451A-AC2B-B3F167231B53}"/>
    <cellStyle name="Normal 5 4 3 2 4 4" xfId="27187" xr:uid="{BC0888A4-3B19-4F38-808F-0C92862160DF}"/>
    <cellStyle name="Normal 5 4 3 2 4 5" xfId="18746" xr:uid="{0696E9D2-EF4E-4F07-8626-A2FFD371F571}"/>
    <cellStyle name="Normal 5 4 3 2 4 6" xfId="10305" xr:uid="{D11D5236-EC93-4E51-8085-F6CF106C76B6}"/>
    <cellStyle name="Normal 5 4 3 2 5" xfId="2180" xr:uid="{00000000-0005-0000-0000-00000C1B0000}"/>
    <cellStyle name="Normal 5 4 3 2 5 2" xfId="4409" xr:uid="{00000000-0005-0000-0000-00000D1B0000}"/>
    <cellStyle name="Normal 5 4 3 2 5 2 2" xfId="8631" xr:uid="{00000000-0005-0000-0000-00000E1B0000}"/>
    <cellStyle name="Normal 5 4 3 2 5 2 2 2" xfId="33963" xr:uid="{F56C0048-71D8-4374-B337-7F3F9840A71B}"/>
    <cellStyle name="Normal 5 4 3 2 5 2 2 3" xfId="25522" xr:uid="{299A56BA-F099-4343-8CD4-05E95D0265E2}"/>
    <cellStyle name="Normal 5 4 3 2 5 2 2 4" xfId="17081" xr:uid="{48DA7CC7-8F7C-483D-A580-1BE3BB74A7F3}"/>
    <cellStyle name="Normal 5 4 3 2 5 2 3" xfId="29745" xr:uid="{193D0E24-E1B7-4AF5-947B-0FC1BBC3F23E}"/>
    <cellStyle name="Normal 5 4 3 2 5 2 4" xfId="21304" xr:uid="{BDA07288-91CB-4C06-B3EA-7E394211FD3F}"/>
    <cellStyle name="Normal 5 4 3 2 5 2 5" xfId="12863" xr:uid="{73D5EEDB-1436-40A6-AF68-B6026A2CEC1D}"/>
    <cellStyle name="Normal 5 4 3 2 5 3" xfId="6486" xr:uid="{00000000-0005-0000-0000-00000F1B0000}"/>
    <cellStyle name="Normal 5 4 3 2 5 3 2" xfId="31818" xr:uid="{108FBBA6-6D91-4217-A989-6B286EF36D73}"/>
    <cellStyle name="Normal 5 4 3 2 5 3 3" xfId="23377" xr:uid="{AFE0CBEC-9AC2-41BF-87FF-B079E2FEA12F}"/>
    <cellStyle name="Normal 5 4 3 2 5 3 4" xfId="14936" xr:uid="{D1B3A34A-AFB9-44B3-A60A-D2A35557470B}"/>
    <cellStyle name="Normal 5 4 3 2 5 4" xfId="27600" xr:uid="{AB198AE3-66FF-476D-8980-4634ECFDF6F5}"/>
    <cellStyle name="Normal 5 4 3 2 5 5" xfId="19159" xr:uid="{B760D877-C2CE-4051-965B-F75889E81D34}"/>
    <cellStyle name="Normal 5 4 3 2 5 6" xfId="10718" xr:uid="{FF551C83-A7FD-4B1C-9E44-5C73CD362585}"/>
    <cellStyle name="Normal 5 4 3 2 6" xfId="2616" xr:uid="{00000000-0005-0000-0000-0000101B0000}"/>
    <cellStyle name="Normal 5 4 3 2 6 2" xfId="6899" xr:uid="{00000000-0005-0000-0000-0000111B0000}"/>
    <cellStyle name="Normal 5 4 3 2 6 2 2" xfId="32231" xr:uid="{029642BC-8D2A-4D94-A72C-29F52013493A}"/>
    <cellStyle name="Normal 5 4 3 2 6 2 3" xfId="23790" xr:uid="{9DFD3A71-EC3F-4646-A533-C3A6E4BD023C}"/>
    <cellStyle name="Normal 5 4 3 2 6 2 4" xfId="15349" xr:uid="{CE2DB530-5134-4EDB-9A77-1DC9843DB595}"/>
    <cellStyle name="Normal 5 4 3 2 6 3" xfId="28013" xr:uid="{65F200F0-1F5B-4D00-A4DA-347AB2F0E2A0}"/>
    <cellStyle name="Normal 5 4 3 2 6 4" xfId="19572" xr:uid="{2C5357BA-98F8-4E94-B90C-4750A1266957}"/>
    <cellStyle name="Normal 5 4 3 2 6 5" xfId="11131" xr:uid="{ACD1F10B-52C5-4E35-B2AD-09C24FAF12CD}"/>
    <cellStyle name="Normal 5 4 3 2 7" xfId="4834" xr:uid="{00000000-0005-0000-0000-0000121B0000}"/>
    <cellStyle name="Normal 5 4 3 2 7 2" xfId="30166" xr:uid="{B572528E-C58A-4505-92F4-82D49473E8A1}"/>
    <cellStyle name="Normal 5 4 3 2 7 3" xfId="21725" xr:uid="{835B4FDA-68E5-4DF3-95A0-1AAEFC28A2C1}"/>
    <cellStyle name="Normal 5 4 3 2 7 4" xfId="13284" xr:uid="{9A09915C-D2AE-4D87-9309-77F1C547D4A9}"/>
    <cellStyle name="Normal 5 4 3 2 8" xfId="25948" xr:uid="{390E765F-CBDA-4BBD-A5E2-5B28E58F3FB3}"/>
    <cellStyle name="Normal 5 4 3 2 9" xfId="17507" xr:uid="{6546E5CC-A123-46A7-BADC-5622A5D93421}"/>
    <cellStyle name="Normal 5 4 3 3" xfId="935" xr:uid="{00000000-0005-0000-0000-0000131B0000}"/>
    <cellStyle name="Normal 5 4 3 3 2" xfId="3169" xr:uid="{00000000-0005-0000-0000-0000141B0000}"/>
    <cellStyle name="Normal 5 4 3 3 2 2" xfId="7391" xr:uid="{00000000-0005-0000-0000-0000151B0000}"/>
    <cellStyle name="Normal 5 4 3 3 2 2 2" xfId="32723" xr:uid="{51E58317-B3B5-4BE9-AC3E-FDB997698630}"/>
    <cellStyle name="Normal 5 4 3 3 2 2 3" xfId="24282" xr:uid="{1C586618-6168-44ED-AB07-8D651AFA8D39}"/>
    <cellStyle name="Normal 5 4 3 3 2 2 4" xfId="15841" xr:uid="{6616926F-96CE-4CD8-9EDB-A805115F67A2}"/>
    <cellStyle name="Normal 5 4 3 3 2 3" xfId="28505" xr:uid="{25CFC2BF-2BF2-4DB1-A45A-72196BCC4339}"/>
    <cellStyle name="Normal 5 4 3 3 2 4" xfId="20064" xr:uid="{92913E74-36A6-473C-A203-5ED604BD3207}"/>
    <cellStyle name="Normal 5 4 3 3 2 5" xfId="11623" xr:uid="{36C74BCA-0B99-4673-96A0-6F1DBFD604F8}"/>
    <cellStyle name="Normal 5 4 3 3 3" xfId="5246" xr:uid="{00000000-0005-0000-0000-0000161B0000}"/>
    <cellStyle name="Normal 5 4 3 3 3 2" xfId="30578" xr:uid="{E4668CEA-46E0-4A25-B891-30E26087BDAC}"/>
    <cellStyle name="Normal 5 4 3 3 3 3" xfId="22137" xr:uid="{1D32D19F-A61F-4273-AFEF-7FDFEC8EA789}"/>
    <cellStyle name="Normal 5 4 3 3 3 4" xfId="13696" xr:uid="{21C4B0F4-92D9-416E-95AE-E2B02E3DE583}"/>
    <cellStyle name="Normal 5 4 3 3 4" xfId="26360" xr:uid="{341C3B1F-8713-470A-ADEE-51B451C7506A}"/>
    <cellStyle name="Normal 5 4 3 3 5" xfId="17919" xr:uid="{045C6D00-5B30-47B3-A4D0-A0D0734FFEF1}"/>
    <cellStyle name="Normal 5 4 3 3 6" xfId="9478" xr:uid="{33A991F1-3F08-4DCE-A886-1B072A4830FD}"/>
    <cellStyle name="Normal 5 4 3 4" xfId="1352" xr:uid="{00000000-0005-0000-0000-0000171B0000}"/>
    <cellStyle name="Normal 5 4 3 4 2" xfId="3582" xr:uid="{00000000-0005-0000-0000-0000181B0000}"/>
    <cellStyle name="Normal 5 4 3 4 2 2" xfId="7804" xr:uid="{00000000-0005-0000-0000-0000191B0000}"/>
    <cellStyle name="Normal 5 4 3 4 2 2 2" xfId="33136" xr:uid="{B7DC8281-09C7-491A-9039-5326E6610D91}"/>
    <cellStyle name="Normal 5 4 3 4 2 2 3" xfId="24695" xr:uid="{C2C0D28E-72BD-46B1-A32B-0036967D13E3}"/>
    <cellStyle name="Normal 5 4 3 4 2 2 4" xfId="16254" xr:uid="{329CD6E2-218A-4B7A-ABA5-4182EAC17192}"/>
    <cellStyle name="Normal 5 4 3 4 2 3" xfId="28918" xr:uid="{8342444F-5C96-46FC-A2E4-80FD6588DECE}"/>
    <cellStyle name="Normal 5 4 3 4 2 4" xfId="20477" xr:uid="{80354CA1-FC81-4A0B-9EF8-32508ED2F00F}"/>
    <cellStyle name="Normal 5 4 3 4 2 5" xfId="12036" xr:uid="{CCD38232-264F-4E77-A0A9-5B910D91C153}"/>
    <cellStyle name="Normal 5 4 3 4 3" xfId="5659" xr:uid="{00000000-0005-0000-0000-00001A1B0000}"/>
    <cellStyle name="Normal 5 4 3 4 3 2" xfId="30991" xr:uid="{F07F7C9A-9366-41DA-9945-7AE56F264248}"/>
    <cellStyle name="Normal 5 4 3 4 3 3" xfId="22550" xr:uid="{345A6C50-2BB5-4065-BC37-15C6A88BB26A}"/>
    <cellStyle name="Normal 5 4 3 4 3 4" xfId="14109" xr:uid="{E244DC1A-A741-4EAA-8FBF-E98E7FCA891E}"/>
    <cellStyle name="Normal 5 4 3 4 4" xfId="26773" xr:uid="{E4342B4E-9B54-45E2-8C1E-967354E1D966}"/>
    <cellStyle name="Normal 5 4 3 4 5" xfId="18332" xr:uid="{70C43563-21C2-478D-94DE-160316A83A13}"/>
    <cellStyle name="Normal 5 4 3 4 6" xfId="9891" xr:uid="{400B0342-9396-410A-B7F8-8935178E71F1}"/>
    <cellStyle name="Normal 5 4 3 5" xfId="1765" xr:uid="{00000000-0005-0000-0000-00001B1B0000}"/>
    <cellStyle name="Normal 5 4 3 5 2" xfId="3995" xr:uid="{00000000-0005-0000-0000-00001C1B0000}"/>
    <cellStyle name="Normal 5 4 3 5 2 2" xfId="8217" xr:uid="{00000000-0005-0000-0000-00001D1B0000}"/>
    <cellStyle name="Normal 5 4 3 5 2 2 2" xfId="33549" xr:uid="{51032A7C-3846-44B9-B230-30326172BB92}"/>
    <cellStyle name="Normal 5 4 3 5 2 2 3" xfId="25108" xr:uid="{709C8C13-5089-462D-A156-CE4E73A0DED6}"/>
    <cellStyle name="Normal 5 4 3 5 2 2 4" xfId="16667" xr:uid="{D3F9291B-07B8-4B2B-A144-1490EC909334}"/>
    <cellStyle name="Normal 5 4 3 5 2 3" xfId="29331" xr:uid="{641AECD2-FEFA-45C1-9B84-393A69E52AF5}"/>
    <cellStyle name="Normal 5 4 3 5 2 4" xfId="20890" xr:uid="{A8333DAA-5FB9-4861-9EE7-7322F3C783CD}"/>
    <cellStyle name="Normal 5 4 3 5 2 5" xfId="12449" xr:uid="{9B84B0AD-71E1-4E33-8A09-9EF4D8BD7EB2}"/>
    <cellStyle name="Normal 5 4 3 5 3" xfId="6072" xr:uid="{00000000-0005-0000-0000-00001E1B0000}"/>
    <cellStyle name="Normal 5 4 3 5 3 2" xfId="31404" xr:uid="{0D65068B-C17E-450E-8496-9ACC2E233BD9}"/>
    <cellStyle name="Normal 5 4 3 5 3 3" xfId="22963" xr:uid="{B33C2FAF-07FB-41AA-8620-404FF6324592}"/>
    <cellStyle name="Normal 5 4 3 5 3 4" xfId="14522" xr:uid="{FD577F24-B68C-44D4-B08A-35119908F787}"/>
    <cellStyle name="Normal 5 4 3 5 4" xfId="27186" xr:uid="{24F3F3B5-B8DB-4BBF-97B5-4395B81F0DDE}"/>
    <cellStyle name="Normal 5 4 3 5 5" xfId="18745" xr:uid="{2B2DAF0E-0989-4038-B0CC-A300F86112AF}"/>
    <cellStyle name="Normal 5 4 3 5 6" xfId="10304" xr:uid="{5CDBCE92-D88B-4F4F-AFA6-1B116C89EB9C}"/>
    <cellStyle name="Normal 5 4 3 6" xfId="2179" xr:uid="{00000000-0005-0000-0000-00001F1B0000}"/>
    <cellStyle name="Normal 5 4 3 6 2" xfId="4408" xr:uid="{00000000-0005-0000-0000-0000201B0000}"/>
    <cellStyle name="Normal 5 4 3 6 2 2" xfId="8630" xr:uid="{00000000-0005-0000-0000-0000211B0000}"/>
    <cellStyle name="Normal 5 4 3 6 2 2 2" xfId="33962" xr:uid="{29E8E9C6-00F1-4EDB-830D-B7CDFE945B4F}"/>
    <cellStyle name="Normal 5 4 3 6 2 2 3" xfId="25521" xr:uid="{B71FC576-4CA0-45FB-B5EC-6D6E43DCFFBC}"/>
    <cellStyle name="Normal 5 4 3 6 2 2 4" xfId="17080" xr:uid="{0AB595B2-9BBA-4ECE-97DD-C079E65FCBBF}"/>
    <cellStyle name="Normal 5 4 3 6 2 3" xfId="29744" xr:uid="{F6AA1E7B-F863-4527-9B4B-F71CFEE19D4F}"/>
    <cellStyle name="Normal 5 4 3 6 2 4" xfId="21303" xr:uid="{78E94EDF-5157-49D5-A9CF-920134F9C680}"/>
    <cellStyle name="Normal 5 4 3 6 2 5" xfId="12862" xr:uid="{20085869-FA27-446E-831A-B155CEE04CB4}"/>
    <cellStyle name="Normal 5 4 3 6 3" xfId="6485" xr:uid="{00000000-0005-0000-0000-0000221B0000}"/>
    <cellStyle name="Normal 5 4 3 6 3 2" xfId="31817" xr:uid="{6AD29D42-CA24-4EDA-A5DF-F2F877DEB243}"/>
    <cellStyle name="Normal 5 4 3 6 3 3" xfId="23376" xr:uid="{F71E00F5-1A11-48A0-8FAE-AED4B9F625D0}"/>
    <cellStyle name="Normal 5 4 3 6 3 4" xfId="14935" xr:uid="{EDCE5A9B-9096-4812-B5FA-28B33CD47C87}"/>
    <cellStyle name="Normal 5 4 3 6 4" xfId="27599" xr:uid="{13EBF122-AFAA-4376-A5ED-2698935D9ACB}"/>
    <cellStyle name="Normal 5 4 3 6 5" xfId="19158" xr:uid="{A2F22274-195A-424F-9DF9-30A231C96AD7}"/>
    <cellStyle name="Normal 5 4 3 6 6" xfId="10717" xr:uid="{DAD2211C-2DDE-4E9F-997D-AB210C9AD8B5}"/>
    <cellStyle name="Normal 5 4 3 7" xfId="2615" xr:uid="{00000000-0005-0000-0000-0000231B0000}"/>
    <cellStyle name="Normal 5 4 3 7 2" xfId="6898" xr:uid="{00000000-0005-0000-0000-0000241B0000}"/>
    <cellStyle name="Normal 5 4 3 7 2 2" xfId="32230" xr:uid="{1828F55F-C351-41C8-9B6F-86C90C0602A8}"/>
    <cellStyle name="Normal 5 4 3 7 2 3" xfId="23789" xr:uid="{4792B517-1FBE-47D5-A893-6266C5A54A3D}"/>
    <cellStyle name="Normal 5 4 3 7 2 4" xfId="15348" xr:uid="{E42A1A13-6B88-4E85-AED0-6B18F11DF0B6}"/>
    <cellStyle name="Normal 5 4 3 7 3" xfId="28012" xr:uid="{AA186149-FB32-45C1-9855-B4A395185776}"/>
    <cellStyle name="Normal 5 4 3 7 4" xfId="19571" xr:uid="{CE8189C2-6486-4BF8-86D0-00F0DE1423BF}"/>
    <cellStyle name="Normal 5 4 3 7 5" xfId="11130" xr:uid="{749B8478-CFB2-4B24-84C9-21DCE94E65DF}"/>
    <cellStyle name="Normal 5 4 3 8" xfId="4833" xr:uid="{00000000-0005-0000-0000-0000251B0000}"/>
    <cellStyle name="Normal 5 4 3 8 2" xfId="30165" xr:uid="{BD97496D-F25D-4055-83E3-6D62A40D77A7}"/>
    <cellStyle name="Normal 5 4 3 8 3" xfId="21724" xr:uid="{29601776-D41B-4B1D-BC7C-EE1916930E6A}"/>
    <cellStyle name="Normal 5 4 3 8 4" xfId="13283" xr:uid="{0BEFBB93-AE72-489C-9F01-4B956EAF0273}"/>
    <cellStyle name="Normal 5 4 3 9" xfId="25947" xr:uid="{2BD11D3E-8CCE-4AFA-B71F-C61E15D0A860}"/>
    <cellStyle name="Normal 5 4 4" xfId="463" xr:uid="{00000000-0005-0000-0000-0000261B0000}"/>
    <cellStyle name="Normal 5 4 4 10" xfId="9067" xr:uid="{B2E2DF26-F3D2-4888-A43A-359407C7D67F}"/>
    <cellStyle name="Normal 5 4 4 2" xfId="937" xr:uid="{00000000-0005-0000-0000-0000271B0000}"/>
    <cellStyle name="Normal 5 4 4 2 2" xfId="3171" xr:uid="{00000000-0005-0000-0000-0000281B0000}"/>
    <cellStyle name="Normal 5 4 4 2 2 2" xfId="7393" xr:uid="{00000000-0005-0000-0000-0000291B0000}"/>
    <cellStyle name="Normal 5 4 4 2 2 2 2" xfId="32725" xr:uid="{A351B0DC-2B54-4A03-BD95-54D0BDD65964}"/>
    <cellStyle name="Normal 5 4 4 2 2 2 3" xfId="24284" xr:uid="{DC907EA9-8417-4C35-929B-9DC0247B338E}"/>
    <cellStyle name="Normal 5 4 4 2 2 2 4" xfId="15843" xr:uid="{FC509591-B1D1-4CF9-B6A2-2334E3493D24}"/>
    <cellStyle name="Normal 5 4 4 2 2 3" xfId="28507" xr:uid="{0B43356C-788A-49B8-A45A-9BC1E553AC15}"/>
    <cellStyle name="Normal 5 4 4 2 2 4" xfId="20066" xr:uid="{B6542DF3-DF8E-4EB1-92CF-817AD44FA0B4}"/>
    <cellStyle name="Normal 5 4 4 2 2 5" xfId="11625" xr:uid="{B9CDF630-847C-491E-94D0-C457735BCDDD}"/>
    <cellStyle name="Normal 5 4 4 2 3" xfId="5248" xr:uid="{00000000-0005-0000-0000-00002A1B0000}"/>
    <cellStyle name="Normal 5 4 4 2 3 2" xfId="30580" xr:uid="{AA0334CE-F9D0-41CB-89F3-87090CA75AD1}"/>
    <cellStyle name="Normal 5 4 4 2 3 3" xfId="22139" xr:uid="{105F7E24-8F74-4306-A622-0D571692E86A}"/>
    <cellStyle name="Normal 5 4 4 2 3 4" xfId="13698" xr:uid="{EB74D181-DDD9-40B2-BD20-134787B0CF51}"/>
    <cellStyle name="Normal 5 4 4 2 4" xfId="26362" xr:uid="{B9589F04-49ED-4033-9ABC-F4D9962FC888}"/>
    <cellStyle name="Normal 5 4 4 2 5" xfId="17921" xr:uid="{E1785BF3-2D5D-4FAB-B0C5-85D8F7483668}"/>
    <cellStyle name="Normal 5 4 4 2 6" xfId="9480" xr:uid="{5AD4B0A8-6DC0-458C-9B59-591B40B810E5}"/>
    <cellStyle name="Normal 5 4 4 3" xfId="1354" xr:uid="{00000000-0005-0000-0000-00002B1B0000}"/>
    <cellStyle name="Normal 5 4 4 3 2" xfId="3584" xr:uid="{00000000-0005-0000-0000-00002C1B0000}"/>
    <cellStyle name="Normal 5 4 4 3 2 2" xfId="7806" xr:uid="{00000000-0005-0000-0000-00002D1B0000}"/>
    <cellStyle name="Normal 5 4 4 3 2 2 2" xfId="33138" xr:uid="{99FB1665-9AD1-4413-B182-2618FDFACE55}"/>
    <cellStyle name="Normal 5 4 4 3 2 2 3" xfId="24697" xr:uid="{E1863E86-5387-4C74-A4DF-9FAFCD1172BC}"/>
    <cellStyle name="Normal 5 4 4 3 2 2 4" xfId="16256" xr:uid="{17F16E65-6B2E-4D1A-863C-A3CF5B23ECF5}"/>
    <cellStyle name="Normal 5 4 4 3 2 3" xfId="28920" xr:uid="{D384FFA2-9D43-4AC0-8B67-1789CA01D8A9}"/>
    <cellStyle name="Normal 5 4 4 3 2 4" xfId="20479" xr:uid="{98CF578C-A36B-4AB2-A71C-15E8367E8D2B}"/>
    <cellStyle name="Normal 5 4 4 3 2 5" xfId="12038" xr:uid="{EE3AB423-594A-4371-9C07-E057212F88EA}"/>
    <cellStyle name="Normal 5 4 4 3 3" xfId="5661" xr:uid="{00000000-0005-0000-0000-00002E1B0000}"/>
    <cellStyle name="Normal 5 4 4 3 3 2" xfId="30993" xr:uid="{9E155828-387E-42C9-80CE-A90F8F511250}"/>
    <cellStyle name="Normal 5 4 4 3 3 3" xfId="22552" xr:uid="{A050B08F-FF79-48AC-9AFC-17FA8FB8AE7D}"/>
    <cellStyle name="Normal 5 4 4 3 3 4" xfId="14111" xr:uid="{9C66F727-2CC3-49CD-89BA-7E8E0D26979E}"/>
    <cellStyle name="Normal 5 4 4 3 4" xfId="26775" xr:uid="{A2570BE0-A7AF-4B38-9DD7-825607BBC60F}"/>
    <cellStyle name="Normal 5 4 4 3 5" xfId="18334" xr:uid="{4255A013-11AC-4B67-9AA5-6DD6256A4B69}"/>
    <cellStyle name="Normal 5 4 4 3 6" xfId="9893" xr:uid="{DA46EC75-244A-4546-BD69-470D71FEA9B4}"/>
    <cellStyle name="Normal 5 4 4 4" xfId="1767" xr:uid="{00000000-0005-0000-0000-00002F1B0000}"/>
    <cellStyle name="Normal 5 4 4 4 2" xfId="3997" xr:uid="{00000000-0005-0000-0000-0000301B0000}"/>
    <cellStyle name="Normal 5 4 4 4 2 2" xfId="8219" xr:uid="{00000000-0005-0000-0000-0000311B0000}"/>
    <cellStyle name="Normal 5 4 4 4 2 2 2" xfId="33551" xr:uid="{3B9227F5-6051-4503-8797-5325F57EC11E}"/>
    <cellStyle name="Normal 5 4 4 4 2 2 3" xfId="25110" xr:uid="{9439151D-4F6A-45E5-94D9-CC90915B16E7}"/>
    <cellStyle name="Normal 5 4 4 4 2 2 4" xfId="16669" xr:uid="{6A43A20A-4E76-406F-9B8D-4390029C1353}"/>
    <cellStyle name="Normal 5 4 4 4 2 3" xfId="29333" xr:uid="{94070510-7647-458C-A152-4543906A039C}"/>
    <cellStyle name="Normal 5 4 4 4 2 4" xfId="20892" xr:uid="{4EB2EF77-63D1-421D-BDB7-81AAF68D43E0}"/>
    <cellStyle name="Normal 5 4 4 4 2 5" xfId="12451" xr:uid="{2B304A99-8029-4854-9798-02DC15445DDE}"/>
    <cellStyle name="Normal 5 4 4 4 3" xfId="6074" xr:uid="{00000000-0005-0000-0000-0000321B0000}"/>
    <cellStyle name="Normal 5 4 4 4 3 2" xfId="31406" xr:uid="{348644E4-CB48-4040-831F-F3CEAE89060D}"/>
    <cellStyle name="Normal 5 4 4 4 3 3" xfId="22965" xr:uid="{8C4D30BA-566B-4133-B35E-7073137C1769}"/>
    <cellStyle name="Normal 5 4 4 4 3 4" xfId="14524" xr:uid="{A79F5DC9-82C7-4D88-A326-E1FEBF1B8C5D}"/>
    <cellStyle name="Normal 5 4 4 4 4" xfId="27188" xr:uid="{3EC9008B-07C1-4178-9669-7FA8215695AB}"/>
    <cellStyle name="Normal 5 4 4 4 5" xfId="18747" xr:uid="{A93F3B0B-2E50-4CE3-B728-2DAFC18C37D3}"/>
    <cellStyle name="Normal 5 4 4 4 6" xfId="10306" xr:uid="{7CBF7AF9-EFC2-46E2-8AF9-D7AA1366E85E}"/>
    <cellStyle name="Normal 5 4 4 5" xfId="2181" xr:uid="{00000000-0005-0000-0000-0000331B0000}"/>
    <cellStyle name="Normal 5 4 4 5 2" xfId="4410" xr:uid="{00000000-0005-0000-0000-0000341B0000}"/>
    <cellStyle name="Normal 5 4 4 5 2 2" xfId="8632" xr:uid="{00000000-0005-0000-0000-0000351B0000}"/>
    <cellStyle name="Normal 5 4 4 5 2 2 2" xfId="33964" xr:uid="{A939306F-22B9-4DFB-9250-83A3985EF682}"/>
    <cellStyle name="Normal 5 4 4 5 2 2 3" xfId="25523" xr:uid="{5A1C67A1-6AB3-4335-A1DE-31BE02D99C2A}"/>
    <cellStyle name="Normal 5 4 4 5 2 2 4" xfId="17082" xr:uid="{442F926E-1D5A-48F1-9222-37080C96436B}"/>
    <cellStyle name="Normal 5 4 4 5 2 3" xfId="29746" xr:uid="{CC8D23F2-734A-49C1-8B5D-86303228F005}"/>
    <cellStyle name="Normal 5 4 4 5 2 4" xfId="21305" xr:uid="{40B9501F-A84F-4ED9-98E4-6FB26E89D5D0}"/>
    <cellStyle name="Normal 5 4 4 5 2 5" xfId="12864" xr:uid="{1F029E93-713A-4148-8132-C47236BB1A3F}"/>
    <cellStyle name="Normal 5 4 4 5 3" xfId="6487" xr:uid="{00000000-0005-0000-0000-0000361B0000}"/>
    <cellStyle name="Normal 5 4 4 5 3 2" xfId="31819" xr:uid="{EA858D22-3E67-4ED5-A650-9B6D624D61F0}"/>
    <cellStyle name="Normal 5 4 4 5 3 3" xfId="23378" xr:uid="{88A62016-573E-4CD4-9F97-0509359EE58E}"/>
    <cellStyle name="Normal 5 4 4 5 3 4" xfId="14937" xr:uid="{1DF59336-A593-4FEA-B774-5D74E4D5F910}"/>
    <cellStyle name="Normal 5 4 4 5 4" xfId="27601" xr:uid="{404946A5-D20A-4351-AADA-F1E767155B18}"/>
    <cellStyle name="Normal 5 4 4 5 5" xfId="19160" xr:uid="{E4481944-3597-4AFA-9DDD-1E2CB259AE07}"/>
    <cellStyle name="Normal 5 4 4 5 6" xfId="10719" xr:uid="{9976269B-7B1D-4660-B96A-3ED48574F6EF}"/>
    <cellStyle name="Normal 5 4 4 6" xfId="2617" xr:uid="{00000000-0005-0000-0000-0000371B0000}"/>
    <cellStyle name="Normal 5 4 4 6 2" xfId="6900" xr:uid="{00000000-0005-0000-0000-0000381B0000}"/>
    <cellStyle name="Normal 5 4 4 6 2 2" xfId="32232" xr:uid="{D4F5F09D-F3A1-4AA6-8C85-429FBB83E953}"/>
    <cellStyle name="Normal 5 4 4 6 2 3" xfId="23791" xr:uid="{2967A422-472E-462A-8BB1-A9117BCBCB32}"/>
    <cellStyle name="Normal 5 4 4 6 2 4" xfId="15350" xr:uid="{03AA683A-A7C5-4BB4-A0F5-08FEC36FBE42}"/>
    <cellStyle name="Normal 5 4 4 6 3" xfId="28014" xr:uid="{144C1DB9-6A1B-4C07-AA35-8870900FE548}"/>
    <cellStyle name="Normal 5 4 4 6 4" xfId="19573" xr:uid="{F2FE3DF4-ED59-4958-A8D0-0AD3BE3CABE5}"/>
    <cellStyle name="Normal 5 4 4 6 5" xfId="11132" xr:uid="{ABCDF33D-5CA7-45F0-90F4-EFE7955FF245}"/>
    <cellStyle name="Normal 5 4 4 7" xfId="4835" xr:uid="{00000000-0005-0000-0000-0000391B0000}"/>
    <cellStyle name="Normal 5 4 4 7 2" xfId="30167" xr:uid="{47C4FC13-9A95-4693-BB54-A23D9A8EF4A3}"/>
    <cellStyle name="Normal 5 4 4 7 3" xfId="21726" xr:uid="{B3F3F5A0-432F-41FE-A2CB-08592EE5D3DA}"/>
    <cellStyle name="Normal 5 4 4 7 4" xfId="13285" xr:uid="{277819FD-CE02-486A-868F-4381D9D083F7}"/>
    <cellStyle name="Normal 5 4 4 8" xfId="25949" xr:uid="{5A833800-6626-4AF6-BEC1-19815B01CD20}"/>
    <cellStyle name="Normal 5 4 4 9" xfId="17508" xr:uid="{309E61E7-BB8A-4A8D-9E70-5049A642172F}"/>
    <cellStyle name="Normal 5 4 5" xfId="930" xr:uid="{00000000-0005-0000-0000-00003A1B0000}"/>
    <cellStyle name="Normal 5 4 5 2" xfId="3164" xr:uid="{00000000-0005-0000-0000-00003B1B0000}"/>
    <cellStyle name="Normal 5 4 5 2 2" xfId="7386" xr:uid="{00000000-0005-0000-0000-00003C1B0000}"/>
    <cellStyle name="Normal 5 4 5 2 2 2" xfId="32718" xr:uid="{CD94F4F4-659D-4F26-8745-64F93CDD7CE6}"/>
    <cellStyle name="Normal 5 4 5 2 2 3" xfId="24277" xr:uid="{97866BC5-4440-408D-9CA2-69BCC11FC998}"/>
    <cellStyle name="Normal 5 4 5 2 2 4" xfId="15836" xr:uid="{BBC76ABE-4341-4E70-9FD5-C049B019BBB6}"/>
    <cellStyle name="Normal 5 4 5 2 3" xfId="28500" xr:uid="{449D218F-6689-4443-83DE-29A5477876BA}"/>
    <cellStyle name="Normal 5 4 5 2 4" xfId="20059" xr:uid="{EEA6799F-5DBF-4780-A7C0-C74571023497}"/>
    <cellStyle name="Normal 5 4 5 2 5" xfId="11618" xr:uid="{D671818C-4DFE-4924-8FE7-B9556879F0B9}"/>
    <cellStyle name="Normal 5 4 5 3" xfId="5241" xr:uid="{00000000-0005-0000-0000-00003D1B0000}"/>
    <cellStyle name="Normal 5 4 5 3 2" xfId="30573" xr:uid="{98279EA9-73F5-4FEF-A2E6-384576A6F41E}"/>
    <cellStyle name="Normal 5 4 5 3 3" xfId="22132" xr:uid="{BFEC9E29-36E3-4683-BA48-B82CE85B5453}"/>
    <cellStyle name="Normal 5 4 5 3 4" xfId="13691" xr:uid="{893036DF-33D6-484D-B6AF-D6516EA2E97B}"/>
    <cellStyle name="Normal 5 4 5 4" xfId="26355" xr:uid="{5AA0C7F6-1537-4003-8196-684CD85275DB}"/>
    <cellStyle name="Normal 5 4 5 5" xfId="17914" xr:uid="{079217BC-AA0B-4B83-9339-F67759AC84A9}"/>
    <cellStyle name="Normal 5 4 5 6" xfId="9473" xr:uid="{43861EC8-EAA0-41E1-A9D1-A06137DFFA08}"/>
    <cellStyle name="Normal 5 4 6" xfId="1347" xr:uid="{00000000-0005-0000-0000-00003E1B0000}"/>
    <cellStyle name="Normal 5 4 6 2" xfId="3577" xr:uid="{00000000-0005-0000-0000-00003F1B0000}"/>
    <cellStyle name="Normal 5 4 6 2 2" xfId="7799" xr:uid="{00000000-0005-0000-0000-0000401B0000}"/>
    <cellStyle name="Normal 5 4 6 2 2 2" xfId="33131" xr:uid="{1E9C7C2F-A98D-4DC4-82C6-C9D09F6CB440}"/>
    <cellStyle name="Normal 5 4 6 2 2 3" xfId="24690" xr:uid="{040FD110-164F-4F3C-90DC-5E4326CF6D41}"/>
    <cellStyle name="Normal 5 4 6 2 2 4" xfId="16249" xr:uid="{A3E6678F-CA4E-445F-B62E-AEDD58A89318}"/>
    <cellStyle name="Normal 5 4 6 2 3" xfId="28913" xr:uid="{61D665B1-127B-4FD8-AA3D-0F627DF799B4}"/>
    <cellStyle name="Normal 5 4 6 2 4" xfId="20472" xr:uid="{15C2A5F7-7A4F-404C-8F2A-C2F58AC3144C}"/>
    <cellStyle name="Normal 5 4 6 2 5" xfId="12031" xr:uid="{93D47995-724B-45AF-AA26-71B503C0D88C}"/>
    <cellStyle name="Normal 5 4 6 3" xfId="5654" xr:uid="{00000000-0005-0000-0000-0000411B0000}"/>
    <cellStyle name="Normal 5 4 6 3 2" xfId="30986" xr:uid="{FBF39649-1669-428B-B1EC-15B13856E030}"/>
    <cellStyle name="Normal 5 4 6 3 3" xfId="22545" xr:uid="{0A055382-0459-4A56-AB9F-D1D9674E8E4B}"/>
    <cellStyle name="Normal 5 4 6 3 4" xfId="14104" xr:uid="{AA98E7BB-CA31-4336-BE59-C9D6696FD435}"/>
    <cellStyle name="Normal 5 4 6 4" xfId="26768" xr:uid="{0B0C389F-1EAB-4C39-A615-9A0D88EFB329}"/>
    <cellStyle name="Normal 5 4 6 5" xfId="18327" xr:uid="{A73366A8-5CED-494E-85B0-4610700EFC6F}"/>
    <cellStyle name="Normal 5 4 6 6" xfId="9886" xr:uid="{ED886FA4-DE2C-451D-88FC-22B95821ACEC}"/>
    <cellStyle name="Normal 5 4 7" xfId="1760" xr:uid="{00000000-0005-0000-0000-0000421B0000}"/>
    <cellStyle name="Normal 5 4 7 2" xfId="3990" xr:uid="{00000000-0005-0000-0000-0000431B0000}"/>
    <cellStyle name="Normal 5 4 7 2 2" xfId="8212" xr:uid="{00000000-0005-0000-0000-0000441B0000}"/>
    <cellStyle name="Normal 5 4 7 2 2 2" xfId="33544" xr:uid="{5E660E31-EC6D-42A6-9973-FD16D470AD53}"/>
    <cellStyle name="Normal 5 4 7 2 2 3" xfId="25103" xr:uid="{E5FF1850-2D84-4DA3-BF61-3F66E2A0F619}"/>
    <cellStyle name="Normal 5 4 7 2 2 4" xfId="16662" xr:uid="{64F2F021-FED1-478B-BFC1-2B1E9A542466}"/>
    <cellStyle name="Normal 5 4 7 2 3" xfId="29326" xr:uid="{DCC8AF6A-51DA-4315-85E4-2E4A60CE6BE3}"/>
    <cellStyle name="Normal 5 4 7 2 4" xfId="20885" xr:uid="{941074D1-78A4-4E31-A81F-B5D2513FCC4A}"/>
    <cellStyle name="Normal 5 4 7 2 5" xfId="12444" xr:uid="{210D9DC6-65B8-46BD-9E6E-3BC3DB02695B}"/>
    <cellStyle name="Normal 5 4 7 3" xfId="6067" xr:uid="{00000000-0005-0000-0000-0000451B0000}"/>
    <cellStyle name="Normal 5 4 7 3 2" xfId="31399" xr:uid="{28BFAC5D-D683-4139-8DEA-2B69A7B281C7}"/>
    <cellStyle name="Normal 5 4 7 3 3" xfId="22958" xr:uid="{133558BF-0D13-4821-AB59-665C0909A22F}"/>
    <cellStyle name="Normal 5 4 7 3 4" xfId="14517" xr:uid="{49CEEAD5-7931-49D7-B49E-B3C0B4D35544}"/>
    <cellStyle name="Normal 5 4 7 4" xfId="27181" xr:uid="{C08E9760-D592-478C-8EDC-A5776218F25B}"/>
    <cellStyle name="Normal 5 4 7 5" xfId="18740" xr:uid="{96A49E32-A943-4088-B5F5-70A15612A7CF}"/>
    <cellStyle name="Normal 5 4 7 6" xfId="10299" xr:uid="{40F98443-823F-4AD6-8AE9-2AE1E4347789}"/>
    <cellStyle name="Normal 5 4 8" xfId="2174" xr:uid="{00000000-0005-0000-0000-0000461B0000}"/>
    <cellStyle name="Normal 5 4 8 2" xfId="4403" xr:uid="{00000000-0005-0000-0000-0000471B0000}"/>
    <cellStyle name="Normal 5 4 8 2 2" xfId="8625" xr:uid="{00000000-0005-0000-0000-0000481B0000}"/>
    <cellStyle name="Normal 5 4 8 2 2 2" xfId="33957" xr:uid="{0DBB82D1-73B9-4320-8B58-F4ABACD2F767}"/>
    <cellStyle name="Normal 5 4 8 2 2 3" xfId="25516" xr:uid="{CD906C6B-F2DE-4408-B009-4F07242130A9}"/>
    <cellStyle name="Normal 5 4 8 2 2 4" xfId="17075" xr:uid="{9B1D784E-CAAD-4745-BAC2-55AC33C62B0D}"/>
    <cellStyle name="Normal 5 4 8 2 3" xfId="29739" xr:uid="{2BA99479-9706-47E6-B00A-803274A5EB6A}"/>
    <cellStyle name="Normal 5 4 8 2 4" xfId="21298" xr:uid="{5286EDBC-3A6A-471F-998D-02F7D935EAC6}"/>
    <cellStyle name="Normal 5 4 8 2 5" xfId="12857" xr:uid="{95F8154F-BFDD-4E0E-BA7B-617FFADC823C}"/>
    <cellStyle name="Normal 5 4 8 3" xfId="6480" xr:uid="{00000000-0005-0000-0000-0000491B0000}"/>
    <cellStyle name="Normal 5 4 8 3 2" xfId="31812" xr:uid="{B63274B3-2A02-4E42-B483-DBB3BC1B7522}"/>
    <cellStyle name="Normal 5 4 8 3 3" xfId="23371" xr:uid="{EE9F55CA-B2A9-4A13-97B3-EF43E5BDF7F9}"/>
    <cellStyle name="Normal 5 4 8 3 4" xfId="14930" xr:uid="{A890FE03-34AE-44A3-9B37-51E009D3D9D8}"/>
    <cellStyle name="Normal 5 4 8 4" xfId="27594" xr:uid="{93C51984-3E86-4093-8E92-71BD14E9D175}"/>
    <cellStyle name="Normal 5 4 8 5" xfId="19153" xr:uid="{3F0EB411-50E6-4A1F-8CE5-82ADBEED3353}"/>
    <cellStyle name="Normal 5 4 8 6" xfId="10712" xr:uid="{62DAB44A-3B67-4CB7-B3B4-173B2A176B32}"/>
    <cellStyle name="Normal 5 4 9" xfId="2610" xr:uid="{00000000-0005-0000-0000-00004A1B0000}"/>
    <cellStyle name="Normal 5 4 9 2" xfId="6893" xr:uid="{00000000-0005-0000-0000-00004B1B0000}"/>
    <cellStyle name="Normal 5 4 9 2 2" xfId="32225" xr:uid="{23335B0F-4DEA-42E6-9E54-D007A3F0EE07}"/>
    <cellStyle name="Normal 5 4 9 2 3" xfId="23784" xr:uid="{22354BE5-B3CD-43F7-B889-75058C193EB3}"/>
    <cellStyle name="Normal 5 4 9 2 4" xfId="15343" xr:uid="{9B135C6B-5708-408C-9085-ED0ADAAEB876}"/>
    <cellStyle name="Normal 5 4 9 3" xfId="28007" xr:uid="{5587A59C-46AB-4DFD-94E8-AC43F2A8E3E7}"/>
    <cellStyle name="Normal 5 4 9 4" xfId="19566" xr:uid="{47D8368B-B410-4D54-8A10-F38DA59A58FF}"/>
    <cellStyle name="Normal 5 4 9 5" xfId="11125" xr:uid="{77CCEE55-1F91-48E9-B7C4-60434D61EACE}"/>
    <cellStyle name="Normal 5 5" xfId="464" xr:uid="{00000000-0005-0000-0000-00004C1B0000}"/>
    <cellStyle name="Normal 5 5 10" xfId="25950" xr:uid="{37BE7194-44C1-4737-B0A2-7F2C0AF98FA5}"/>
    <cellStyle name="Normal 5 5 11" xfId="17509" xr:uid="{08034291-076F-41B2-9B33-EC0794B5AB7B}"/>
    <cellStyle name="Normal 5 5 12" xfId="9068" xr:uid="{B5BA52F7-36A6-41BF-A10E-65A8764B0601}"/>
    <cellStyle name="Normal 5 5 2" xfId="465" xr:uid="{00000000-0005-0000-0000-00004D1B0000}"/>
    <cellStyle name="Normal 5 5 2 10" xfId="17510" xr:uid="{4C98F62F-2137-40E3-A3A2-7B222DFA5EC2}"/>
    <cellStyle name="Normal 5 5 2 11" xfId="9069" xr:uid="{7AB9C7A8-5DE0-44E8-9E9C-5AB3B416C492}"/>
    <cellStyle name="Normal 5 5 2 2" xfId="466" xr:uid="{00000000-0005-0000-0000-00004E1B0000}"/>
    <cellStyle name="Normal 5 5 2 2 10" xfId="9070" xr:uid="{3321F7BA-F52A-45B7-B99F-1C64B0731539}"/>
    <cellStyle name="Normal 5 5 2 2 2" xfId="940" xr:uid="{00000000-0005-0000-0000-00004F1B0000}"/>
    <cellStyle name="Normal 5 5 2 2 2 2" xfId="3174" xr:uid="{00000000-0005-0000-0000-0000501B0000}"/>
    <cellStyle name="Normal 5 5 2 2 2 2 2" xfId="7396" xr:uid="{00000000-0005-0000-0000-0000511B0000}"/>
    <cellStyle name="Normal 5 5 2 2 2 2 2 2" xfId="32728" xr:uid="{47E91B4F-EC3F-4D95-A31E-4C935D7F535D}"/>
    <cellStyle name="Normal 5 5 2 2 2 2 2 3" xfId="24287" xr:uid="{232FDD40-8663-4439-8785-2573748EC516}"/>
    <cellStyle name="Normal 5 5 2 2 2 2 2 4" xfId="15846" xr:uid="{92567097-A5EE-4EC2-BD16-92E4A45C2C74}"/>
    <cellStyle name="Normal 5 5 2 2 2 2 3" xfId="28510" xr:uid="{D5B1FBFD-E4C7-4AE3-9D65-234AFD4ECFBC}"/>
    <cellStyle name="Normal 5 5 2 2 2 2 4" xfId="20069" xr:uid="{611FF2EF-419B-4994-9AD8-18E0DCB010E5}"/>
    <cellStyle name="Normal 5 5 2 2 2 2 5" xfId="11628" xr:uid="{A26EA39E-A33D-426F-A833-D95BF1EB71BF}"/>
    <cellStyle name="Normal 5 5 2 2 2 3" xfId="5251" xr:uid="{00000000-0005-0000-0000-0000521B0000}"/>
    <cellStyle name="Normal 5 5 2 2 2 3 2" xfId="30583" xr:uid="{12D46B83-3B28-48EC-B822-778EF320519A}"/>
    <cellStyle name="Normal 5 5 2 2 2 3 3" xfId="22142" xr:uid="{4989B1EA-8626-4BB0-B898-65E3851EC6F9}"/>
    <cellStyle name="Normal 5 5 2 2 2 3 4" xfId="13701" xr:uid="{3B361F8E-2345-4DA1-B400-8C92ADD8E816}"/>
    <cellStyle name="Normal 5 5 2 2 2 4" xfId="26365" xr:uid="{7201C4FB-3699-4495-AC09-E5E49350F747}"/>
    <cellStyle name="Normal 5 5 2 2 2 5" xfId="17924" xr:uid="{2FECEDD9-3F6A-4066-B326-1776A8E70F3B}"/>
    <cellStyle name="Normal 5 5 2 2 2 6" xfId="9483" xr:uid="{DA28D7F9-6C51-4971-89DA-05C48DEDB870}"/>
    <cellStyle name="Normal 5 5 2 2 3" xfId="1357" xr:uid="{00000000-0005-0000-0000-0000531B0000}"/>
    <cellStyle name="Normal 5 5 2 2 3 2" xfId="3587" xr:uid="{00000000-0005-0000-0000-0000541B0000}"/>
    <cellStyle name="Normal 5 5 2 2 3 2 2" xfId="7809" xr:uid="{00000000-0005-0000-0000-0000551B0000}"/>
    <cellStyle name="Normal 5 5 2 2 3 2 2 2" xfId="33141" xr:uid="{2B326306-7427-4527-A181-617C68F7E31E}"/>
    <cellStyle name="Normal 5 5 2 2 3 2 2 3" xfId="24700" xr:uid="{574831CF-E763-4541-8D17-4EEEE98C9524}"/>
    <cellStyle name="Normal 5 5 2 2 3 2 2 4" xfId="16259" xr:uid="{5C0765CC-F5CF-4EAC-B9A8-F23730A8328B}"/>
    <cellStyle name="Normal 5 5 2 2 3 2 3" xfId="28923" xr:uid="{5C141E0A-7A82-4A1E-9BF6-479B97788A4D}"/>
    <cellStyle name="Normal 5 5 2 2 3 2 4" xfId="20482" xr:uid="{3391E6CA-0069-46C8-A16B-851C18774D7A}"/>
    <cellStyle name="Normal 5 5 2 2 3 2 5" xfId="12041" xr:uid="{F4954A4A-40AE-4F81-809C-DEB0B702C113}"/>
    <cellStyle name="Normal 5 5 2 2 3 3" xfId="5664" xr:uid="{00000000-0005-0000-0000-0000561B0000}"/>
    <cellStyle name="Normal 5 5 2 2 3 3 2" xfId="30996" xr:uid="{38D90414-E5AC-43C6-BA29-13C45C569253}"/>
    <cellStyle name="Normal 5 5 2 2 3 3 3" xfId="22555" xr:uid="{1CBEDBE5-6D47-458D-8ACF-E4E83412EE1F}"/>
    <cellStyle name="Normal 5 5 2 2 3 3 4" xfId="14114" xr:uid="{8FFF0782-E105-4634-AD3F-1B007CCF1AA7}"/>
    <cellStyle name="Normal 5 5 2 2 3 4" xfId="26778" xr:uid="{D4E751EA-66BC-4794-8C26-652CD52556E2}"/>
    <cellStyle name="Normal 5 5 2 2 3 5" xfId="18337" xr:uid="{4FB4DC39-59A3-4933-B54B-8A58E72DF772}"/>
    <cellStyle name="Normal 5 5 2 2 3 6" xfId="9896" xr:uid="{36A93351-22BF-4A58-B835-C4434981B63F}"/>
    <cellStyle name="Normal 5 5 2 2 4" xfId="1770" xr:uid="{00000000-0005-0000-0000-0000571B0000}"/>
    <cellStyle name="Normal 5 5 2 2 4 2" xfId="4000" xr:uid="{00000000-0005-0000-0000-0000581B0000}"/>
    <cellStyle name="Normal 5 5 2 2 4 2 2" xfId="8222" xr:uid="{00000000-0005-0000-0000-0000591B0000}"/>
    <cellStyle name="Normal 5 5 2 2 4 2 2 2" xfId="33554" xr:uid="{C4964CFF-1AB2-4CB6-8252-4B51A979087A}"/>
    <cellStyle name="Normal 5 5 2 2 4 2 2 3" xfId="25113" xr:uid="{2F32587D-DC7A-41C2-A715-952235009931}"/>
    <cellStyle name="Normal 5 5 2 2 4 2 2 4" xfId="16672" xr:uid="{5B03866B-0598-4D95-9273-60D015CDFB03}"/>
    <cellStyle name="Normal 5 5 2 2 4 2 3" xfId="29336" xr:uid="{3FDF62C5-24EF-4CCA-8BA0-890ABEB087A6}"/>
    <cellStyle name="Normal 5 5 2 2 4 2 4" xfId="20895" xr:uid="{D1C15D43-266B-4368-90A2-0970CB828173}"/>
    <cellStyle name="Normal 5 5 2 2 4 2 5" xfId="12454" xr:uid="{C679C071-CCAD-4575-8DEA-2AF7E92C397C}"/>
    <cellStyle name="Normal 5 5 2 2 4 3" xfId="6077" xr:uid="{00000000-0005-0000-0000-00005A1B0000}"/>
    <cellStyle name="Normal 5 5 2 2 4 3 2" xfId="31409" xr:uid="{18D0EDAE-C21C-4FF5-B955-6117C4AEB32C}"/>
    <cellStyle name="Normal 5 5 2 2 4 3 3" xfId="22968" xr:uid="{55661BA7-EAE4-47BE-83CD-FBDBDD9EBB14}"/>
    <cellStyle name="Normal 5 5 2 2 4 3 4" xfId="14527" xr:uid="{33E92BC3-0F11-43EE-B5F6-50BB910CF399}"/>
    <cellStyle name="Normal 5 5 2 2 4 4" xfId="27191" xr:uid="{7551C24B-0B6D-43A0-89A2-8025D46E4D6D}"/>
    <cellStyle name="Normal 5 5 2 2 4 5" xfId="18750" xr:uid="{1D5E60C2-CBF0-48EF-8D5A-0E6C20E79F45}"/>
    <cellStyle name="Normal 5 5 2 2 4 6" xfId="10309" xr:uid="{43E577D9-B49C-4444-9368-5390FEA865B5}"/>
    <cellStyle name="Normal 5 5 2 2 5" xfId="2184" xr:uid="{00000000-0005-0000-0000-00005B1B0000}"/>
    <cellStyle name="Normal 5 5 2 2 5 2" xfId="4413" xr:uid="{00000000-0005-0000-0000-00005C1B0000}"/>
    <cellStyle name="Normal 5 5 2 2 5 2 2" xfId="8635" xr:uid="{00000000-0005-0000-0000-00005D1B0000}"/>
    <cellStyle name="Normal 5 5 2 2 5 2 2 2" xfId="33967" xr:uid="{16D5BFA4-8C35-482F-9054-30BCDA7AA29C}"/>
    <cellStyle name="Normal 5 5 2 2 5 2 2 3" xfId="25526" xr:uid="{CB57395C-89BF-40B7-A115-0B9E2AAC28BC}"/>
    <cellStyle name="Normal 5 5 2 2 5 2 2 4" xfId="17085" xr:uid="{767A9146-30E3-49C8-8C3D-3FEB3E050C5A}"/>
    <cellStyle name="Normal 5 5 2 2 5 2 3" xfId="29749" xr:uid="{CD485AFE-A678-4A79-923E-FD4E23AEB970}"/>
    <cellStyle name="Normal 5 5 2 2 5 2 4" xfId="21308" xr:uid="{AB3F37E2-FD8E-41D6-85A7-11328D9555D0}"/>
    <cellStyle name="Normal 5 5 2 2 5 2 5" xfId="12867" xr:uid="{1A626DBD-0BA3-4BDB-AC6C-C612553F167A}"/>
    <cellStyle name="Normal 5 5 2 2 5 3" xfId="6490" xr:uid="{00000000-0005-0000-0000-00005E1B0000}"/>
    <cellStyle name="Normal 5 5 2 2 5 3 2" xfId="31822" xr:uid="{BF76E103-0D37-4951-8523-36B7D55B2AD6}"/>
    <cellStyle name="Normal 5 5 2 2 5 3 3" xfId="23381" xr:uid="{5D57F6E9-9E1D-4915-B6EF-5BEA09B84155}"/>
    <cellStyle name="Normal 5 5 2 2 5 3 4" xfId="14940" xr:uid="{032A1DA8-9904-4A6C-9DAA-D78B04656716}"/>
    <cellStyle name="Normal 5 5 2 2 5 4" xfId="27604" xr:uid="{9A353EAF-7717-4609-A2E4-A05B69D22BFE}"/>
    <cellStyle name="Normal 5 5 2 2 5 5" xfId="19163" xr:uid="{85213031-5E09-4FF4-B884-8E17EF1E3BA6}"/>
    <cellStyle name="Normal 5 5 2 2 5 6" xfId="10722" xr:uid="{1EFE1A06-90F3-4671-B1E3-BA7304B48639}"/>
    <cellStyle name="Normal 5 5 2 2 6" xfId="2620" xr:uid="{00000000-0005-0000-0000-00005F1B0000}"/>
    <cellStyle name="Normal 5 5 2 2 6 2" xfId="6903" xr:uid="{00000000-0005-0000-0000-0000601B0000}"/>
    <cellStyle name="Normal 5 5 2 2 6 2 2" xfId="32235" xr:uid="{40830F8A-5618-496F-B57F-90C291F3D22A}"/>
    <cellStyle name="Normal 5 5 2 2 6 2 3" xfId="23794" xr:uid="{FEFF3B49-B4C9-44D6-85A6-E46FCAD11C01}"/>
    <cellStyle name="Normal 5 5 2 2 6 2 4" xfId="15353" xr:uid="{7D638C41-3815-4F21-8B8A-1E9FB460EF04}"/>
    <cellStyle name="Normal 5 5 2 2 6 3" xfId="28017" xr:uid="{0C8B15AB-13AB-4AE5-A21A-EC8BF0BA3983}"/>
    <cellStyle name="Normal 5 5 2 2 6 4" xfId="19576" xr:uid="{91C7213E-4CFD-4882-953C-B9008F4D3573}"/>
    <cellStyle name="Normal 5 5 2 2 6 5" xfId="11135" xr:uid="{58AAF57C-F239-4A7D-9C16-6AE084DDF465}"/>
    <cellStyle name="Normal 5 5 2 2 7" xfId="4838" xr:uid="{00000000-0005-0000-0000-0000611B0000}"/>
    <cellStyle name="Normal 5 5 2 2 7 2" xfId="30170" xr:uid="{20D4B3B7-85EF-47E5-89C0-38D607B1B387}"/>
    <cellStyle name="Normal 5 5 2 2 7 3" xfId="21729" xr:uid="{8FBB7F3D-FA24-48DA-A3BE-485645757448}"/>
    <cellStyle name="Normal 5 5 2 2 7 4" xfId="13288" xr:uid="{A5F57B28-2D83-4B24-905C-5156127DC50D}"/>
    <cellStyle name="Normal 5 5 2 2 8" xfId="25952" xr:uid="{7C6C536B-8DFF-45E5-9CED-71CC9D46AF7A}"/>
    <cellStyle name="Normal 5 5 2 2 9" xfId="17511" xr:uid="{859E1C87-8A7D-4326-9AEF-F06416871523}"/>
    <cellStyle name="Normal 5 5 2 3" xfId="939" xr:uid="{00000000-0005-0000-0000-0000621B0000}"/>
    <cellStyle name="Normal 5 5 2 3 2" xfId="3173" xr:uid="{00000000-0005-0000-0000-0000631B0000}"/>
    <cellStyle name="Normal 5 5 2 3 2 2" xfId="7395" xr:uid="{00000000-0005-0000-0000-0000641B0000}"/>
    <cellStyle name="Normal 5 5 2 3 2 2 2" xfId="32727" xr:uid="{851454D0-7C26-4B2F-9D54-2C5A258EBBF5}"/>
    <cellStyle name="Normal 5 5 2 3 2 2 3" xfId="24286" xr:uid="{F5E4C0F4-6DD3-4DA5-A72A-72E363B39538}"/>
    <cellStyle name="Normal 5 5 2 3 2 2 4" xfId="15845" xr:uid="{B9E2BEA2-12B8-4D9B-8076-39A6A0CADEFD}"/>
    <cellStyle name="Normal 5 5 2 3 2 3" xfId="28509" xr:uid="{CCB8C2C2-6891-42E7-8BFA-03C51CDB9361}"/>
    <cellStyle name="Normal 5 5 2 3 2 4" xfId="20068" xr:uid="{A8481982-9DDD-4E05-A2A3-C1EA796B22C9}"/>
    <cellStyle name="Normal 5 5 2 3 2 5" xfId="11627" xr:uid="{EBF7974B-92E9-4A6D-809D-8E7E721F61B7}"/>
    <cellStyle name="Normal 5 5 2 3 3" xfId="5250" xr:uid="{00000000-0005-0000-0000-0000651B0000}"/>
    <cellStyle name="Normal 5 5 2 3 3 2" xfId="30582" xr:uid="{EDBE6211-00CD-43F4-AEBB-DDD4465725AD}"/>
    <cellStyle name="Normal 5 5 2 3 3 3" xfId="22141" xr:uid="{286AFB8E-A9D3-4209-BE68-A990DE2112D4}"/>
    <cellStyle name="Normal 5 5 2 3 3 4" xfId="13700" xr:uid="{7E7560C8-6422-42A5-95D7-7617EACA5311}"/>
    <cellStyle name="Normal 5 5 2 3 4" xfId="26364" xr:uid="{0FDE5D80-B8AE-4EAA-B24A-CECB4A0D8FBB}"/>
    <cellStyle name="Normal 5 5 2 3 5" xfId="17923" xr:uid="{66AD581D-6EA1-4377-A6CE-D126CD8834FE}"/>
    <cellStyle name="Normal 5 5 2 3 6" xfId="9482" xr:uid="{635477A3-3260-4C50-A76D-006D5D938CA3}"/>
    <cellStyle name="Normal 5 5 2 4" xfId="1356" xr:uid="{00000000-0005-0000-0000-0000661B0000}"/>
    <cellStyle name="Normal 5 5 2 4 2" xfId="3586" xr:uid="{00000000-0005-0000-0000-0000671B0000}"/>
    <cellStyle name="Normal 5 5 2 4 2 2" xfId="7808" xr:uid="{00000000-0005-0000-0000-0000681B0000}"/>
    <cellStyle name="Normal 5 5 2 4 2 2 2" xfId="33140" xr:uid="{637FB5DE-396D-4394-AE76-6AD8698AE0AB}"/>
    <cellStyle name="Normal 5 5 2 4 2 2 3" xfId="24699" xr:uid="{1326F21D-2991-4958-8879-E162BB584040}"/>
    <cellStyle name="Normal 5 5 2 4 2 2 4" xfId="16258" xr:uid="{4BB50F06-A2A5-4414-BDC1-4BB76B27BCA3}"/>
    <cellStyle name="Normal 5 5 2 4 2 3" xfId="28922" xr:uid="{0080F12D-698A-4EC2-BB77-9F16F8CD1254}"/>
    <cellStyle name="Normal 5 5 2 4 2 4" xfId="20481" xr:uid="{AF627CA0-3635-4FF8-9DD0-DD76EB825216}"/>
    <cellStyle name="Normal 5 5 2 4 2 5" xfId="12040" xr:uid="{A07E12B0-D7E8-4CE5-BEEF-69BED1E5E853}"/>
    <cellStyle name="Normal 5 5 2 4 3" xfId="5663" xr:uid="{00000000-0005-0000-0000-0000691B0000}"/>
    <cellStyle name="Normal 5 5 2 4 3 2" xfId="30995" xr:uid="{6CBA0758-9AC8-4690-8823-A1C2FF9847D9}"/>
    <cellStyle name="Normal 5 5 2 4 3 3" xfId="22554" xr:uid="{341D39CA-9ADA-43B6-8276-19230B675675}"/>
    <cellStyle name="Normal 5 5 2 4 3 4" xfId="14113" xr:uid="{120BA8C0-9732-4BB7-8112-C6E833F810B2}"/>
    <cellStyle name="Normal 5 5 2 4 4" xfId="26777" xr:uid="{5A3318D4-288A-4DCD-806A-51C8A84EF0C6}"/>
    <cellStyle name="Normal 5 5 2 4 5" xfId="18336" xr:uid="{ED6B7BCB-2B90-43B2-BC48-70041F4303F4}"/>
    <cellStyle name="Normal 5 5 2 4 6" xfId="9895" xr:uid="{44175D05-B563-4D0F-9605-5BEA119D3E9D}"/>
    <cellStyle name="Normal 5 5 2 5" xfId="1769" xr:uid="{00000000-0005-0000-0000-00006A1B0000}"/>
    <cellStyle name="Normal 5 5 2 5 2" xfId="3999" xr:uid="{00000000-0005-0000-0000-00006B1B0000}"/>
    <cellStyle name="Normal 5 5 2 5 2 2" xfId="8221" xr:uid="{00000000-0005-0000-0000-00006C1B0000}"/>
    <cellStyle name="Normal 5 5 2 5 2 2 2" xfId="33553" xr:uid="{308A83F3-469E-4F79-B0DE-87A116CB9DB7}"/>
    <cellStyle name="Normal 5 5 2 5 2 2 3" xfId="25112" xr:uid="{B374A3F6-4CB0-4F29-B8E2-31F23CF121D5}"/>
    <cellStyle name="Normal 5 5 2 5 2 2 4" xfId="16671" xr:uid="{A9604B10-9A21-411E-9262-BC0A4089E828}"/>
    <cellStyle name="Normal 5 5 2 5 2 3" xfId="29335" xr:uid="{A83DE763-3246-4BCC-823C-EEDA1091FF7A}"/>
    <cellStyle name="Normal 5 5 2 5 2 4" xfId="20894" xr:uid="{3742B626-B665-4EA0-A16F-59746993F96A}"/>
    <cellStyle name="Normal 5 5 2 5 2 5" xfId="12453" xr:uid="{8B261A1D-B73E-477C-8E15-BE119F0C98FB}"/>
    <cellStyle name="Normal 5 5 2 5 3" xfId="6076" xr:uid="{00000000-0005-0000-0000-00006D1B0000}"/>
    <cellStyle name="Normal 5 5 2 5 3 2" xfId="31408" xr:uid="{EE8B9CC8-E9F7-4172-AC5E-E03057F5B03A}"/>
    <cellStyle name="Normal 5 5 2 5 3 3" xfId="22967" xr:uid="{F1478672-7F0D-47AB-ADB2-BDFA297B8BB6}"/>
    <cellStyle name="Normal 5 5 2 5 3 4" xfId="14526" xr:uid="{F1424C46-972C-4BAA-9E0D-3710ADD300AA}"/>
    <cellStyle name="Normal 5 5 2 5 4" xfId="27190" xr:uid="{CF763355-BA57-49B8-9206-235BAC8D0A5E}"/>
    <cellStyle name="Normal 5 5 2 5 5" xfId="18749" xr:uid="{3629DAA3-2736-4114-A3A5-BDFE17DA1EFB}"/>
    <cellStyle name="Normal 5 5 2 5 6" xfId="10308" xr:uid="{838ADCC0-2ED6-4FB8-B776-E3112304BBD7}"/>
    <cellStyle name="Normal 5 5 2 6" xfId="2183" xr:uid="{00000000-0005-0000-0000-00006E1B0000}"/>
    <cellStyle name="Normal 5 5 2 6 2" xfId="4412" xr:uid="{00000000-0005-0000-0000-00006F1B0000}"/>
    <cellStyle name="Normal 5 5 2 6 2 2" xfId="8634" xr:uid="{00000000-0005-0000-0000-0000701B0000}"/>
    <cellStyle name="Normal 5 5 2 6 2 2 2" xfId="33966" xr:uid="{EB766B1D-8B3C-495D-9043-D73CBC3140EF}"/>
    <cellStyle name="Normal 5 5 2 6 2 2 3" xfId="25525" xr:uid="{25A2BDEE-6265-46EB-A8BD-97FB57322086}"/>
    <cellStyle name="Normal 5 5 2 6 2 2 4" xfId="17084" xr:uid="{85F92018-1F56-4FFD-BFD7-D50163AF9C7E}"/>
    <cellStyle name="Normal 5 5 2 6 2 3" xfId="29748" xr:uid="{DA764D19-2D6D-4B4B-9641-2FB445412FBF}"/>
    <cellStyle name="Normal 5 5 2 6 2 4" xfId="21307" xr:uid="{40E811C4-D82D-478E-8629-782287258048}"/>
    <cellStyle name="Normal 5 5 2 6 2 5" xfId="12866" xr:uid="{A0ACF58F-1D66-4F48-BCD5-60F0497C90DF}"/>
    <cellStyle name="Normal 5 5 2 6 3" xfId="6489" xr:uid="{00000000-0005-0000-0000-0000711B0000}"/>
    <cellStyle name="Normal 5 5 2 6 3 2" xfId="31821" xr:uid="{CC4D1B97-C2A8-4684-9FAE-BB582CBB74E9}"/>
    <cellStyle name="Normal 5 5 2 6 3 3" xfId="23380" xr:uid="{A6D036DD-E733-4842-9EE7-F4679E456AEF}"/>
    <cellStyle name="Normal 5 5 2 6 3 4" xfId="14939" xr:uid="{3696C758-A6AC-4551-A998-2D5A508F667D}"/>
    <cellStyle name="Normal 5 5 2 6 4" xfId="27603" xr:uid="{95285779-CD67-4D1E-8D96-650F2F009CF4}"/>
    <cellStyle name="Normal 5 5 2 6 5" xfId="19162" xr:uid="{D61D6AA5-BA90-4856-83B0-A9EE6A1CC369}"/>
    <cellStyle name="Normal 5 5 2 6 6" xfId="10721" xr:uid="{1CBC7CB5-BEFC-4970-BC07-ED0278F23F61}"/>
    <cellStyle name="Normal 5 5 2 7" xfId="2619" xr:uid="{00000000-0005-0000-0000-0000721B0000}"/>
    <cellStyle name="Normal 5 5 2 7 2" xfId="6902" xr:uid="{00000000-0005-0000-0000-0000731B0000}"/>
    <cellStyle name="Normal 5 5 2 7 2 2" xfId="32234" xr:uid="{EC7F76CB-AA37-4AB2-BD74-F0BBD2D971CA}"/>
    <cellStyle name="Normal 5 5 2 7 2 3" xfId="23793" xr:uid="{2221BBE5-3B91-4E93-A051-F3C1FC0C6642}"/>
    <cellStyle name="Normal 5 5 2 7 2 4" xfId="15352" xr:uid="{263641F0-43D6-45F1-93C7-8457AC7642EA}"/>
    <cellStyle name="Normal 5 5 2 7 3" xfId="28016" xr:uid="{FB21B00F-940A-46F7-AE69-07E44799B513}"/>
    <cellStyle name="Normal 5 5 2 7 4" xfId="19575" xr:uid="{E78043EE-EF11-452D-B775-5117937413AA}"/>
    <cellStyle name="Normal 5 5 2 7 5" xfId="11134" xr:uid="{4DEC1FFE-208B-4F97-B044-DC1A18A35109}"/>
    <cellStyle name="Normal 5 5 2 8" xfId="4837" xr:uid="{00000000-0005-0000-0000-0000741B0000}"/>
    <cellStyle name="Normal 5 5 2 8 2" xfId="30169" xr:uid="{76E1A32A-ACA8-46F4-A5EA-0FE2852E16D5}"/>
    <cellStyle name="Normal 5 5 2 8 3" xfId="21728" xr:uid="{BFC8B8B5-B8F7-4E89-8A4D-3316E2934916}"/>
    <cellStyle name="Normal 5 5 2 8 4" xfId="13287" xr:uid="{0C9F6CA2-E20C-451E-932D-83D1EF8F659F}"/>
    <cellStyle name="Normal 5 5 2 9" xfId="25951" xr:uid="{D0ED54BF-E7DE-4A35-9222-A99ED9C892FD}"/>
    <cellStyle name="Normal 5 5 3" xfId="467" xr:uid="{00000000-0005-0000-0000-0000751B0000}"/>
    <cellStyle name="Normal 5 5 3 10" xfId="9071" xr:uid="{66ECD523-4104-485C-8D80-AA08E77FF253}"/>
    <cellStyle name="Normal 5 5 3 2" xfId="941" xr:uid="{00000000-0005-0000-0000-0000761B0000}"/>
    <cellStyle name="Normal 5 5 3 2 2" xfId="3175" xr:uid="{00000000-0005-0000-0000-0000771B0000}"/>
    <cellStyle name="Normal 5 5 3 2 2 2" xfId="7397" xr:uid="{00000000-0005-0000-0000-0000781B0000}"/>
    <cellStyle name="Normal 5 5 3 2 2 2 2" xfId="32729" xr:uid="{BA6346C5-9205-460A-9FE5-04A2CE2F142F}"/>
    <cellStyle name="Normal 5 5 3 2 2 2 3" xfId="24288" xr:uid="{80E1F4BD-EA12-417E-8219-9657E0190AC8}"/>
    <cellStyle name="Normal 5 5 3 2 2 2 4" xfId="15847" xr:uid="{3997DBDF-5496-4B06-A179-89132B9F3770}"/>
    <cellStyle name="Normal 5 5 3 2 2 3" xfId="28511" xr:uid="{46B1CE07-6906-4F8C-A673-5979AB73D5C4}"/>
    <cellStyle name="Normal 5 5 3 2 2 4" xfId="20070" xr:uid="{4FE8EAD4-6A48-4C0B-BCA2-FDC3F1E742BE}"/>
    <cellStyle name="Normal 5 5 3 2 2 5" xfId="11629" xr:uid="{30A8AF27-82E8-4A8C-89F0-B42AB7865952}"/>
    <cellStyle name="Normal 5 5 3 2 3" xfId="5252" xr:uid="{00000000-0005-0000-0000-0000791B0000}"/>
    <cellStyle name="Normal 5 5 3 2 3 2" xfId="30584" xr:uid="{E9DB232E-3E5F-40F8-A54B-C7B40C0A5833}"/>
    <cellStyle name="Normal 5 5 3 2 3 3" xfId="22143" xr:uid="{9C5B62AA-90E9-40D8-B693-86B3ECE81E92}"/>
    <cellStyle name="Normal 5 5 3 2 3 4" xfId="13702" xr:uid="{04E2E8C7-EDA8-4E07-9278-B78DD60C6E88}"/>
    <cellStyle name="Normal 5 5 3 2 4" xfId="26366" xr:uid="{650B3746-499B-42CF-9FC6-7131CDAB65AD}"/>
    <cellStyle name="Normal 5 5 3 2 5" xfId="17925" xr:uid="{18989A33-7CA7-4F69-B23B-D23E2F50CD3F}"/>
    <cellStyle name="Normal 5 5 3 2 6" xfId="9484" xr:uid="{94AEC4C5-25C4-4DB8-9D80-8304217075CD}"/>
    <cellStyle name="Normal 5 5 3 3" xfId="1358" xr:uid="{00000000-0005-0000-0000-00007A1B0000}"/>
    <cellStyle name="Normal 5 5 3 3 2" xfId="3588" xr:uid="{00000000-0005-0000-0000-00007B1B0000}"/>
    <cellStyle name="Normal 5 5 3 3 2 2" xfId="7810" xr:uid="{00000000-0005-0000-0000-00007C1B0000}"/>
    <cellStyle name="Normal 5 5 3 3 2 2 2" xfId="33142" xr:uid="{AF89A70E-E9BE-4E00-8326-D756C21177AB}"/>
    <cellStyle name="Normal 5 5 3 3 2 2 3" xfId="24701" xr:uid="{E868A791-DF80-404D-99E6-86C8347C49C0}"/>
    <cellStyle name="Normal 5 5 3 3 2 2 4" xfId="16260" xr:uid="{8C7EFA42-2894-48A4-BD1B-A0CFE2257062}"/>
    <cellStyle name="Normal 5 5 3 3 2 3" xfId="28924" xr:uid="{8EC510FE-C657-45FC-B2FC-F922DA70A833}"/>
    <cellStyle name="Normal 5 5 3 3 2 4" xfId="20483" xr:uid="{D535D3E2-6FDE-4743-AF84-C6599C13FEED}"/>
    <cellStyle name="Normal 5 5 3 3 2 5" xfId="12042" xr:uid="{68FC7379-BC1C-4B9C-98F0-BDD95E67DF9F}"/>
    <cellStyle name="Normal 5 5 3 3 3" xfId="5665" xr:uid="{00000000-0005-0000-0000-00007D1B0000}"/>
    <cellStyle name="Normal 5 5 3 3 3 2" xfId="30997" xr:uid="{EB79EB72-9488-43B2-A4AF-B0AEF4211E03}"/>
    <cellStyle name="Normal 5 5 3 3 3 3" xfId="22556" xr:uid="{8B33B33E-F86D-4721-9785-F7654483B5B0}"/>
    <cellStyle name="Normal 5 5 3 3 3 4" xfId="14115" xr:uid="{01EAFD30-95A4-4F6E-ABAD-43AE90BAAE68}"/>
    <cellStyle name="Normal 5 5 3 3 4" xfId="26779" xr:uid="{043F76F8-A4EC-4BDB-9103-E27BF956ECAC}"/>
    <cellStyle name="Normal 5 5 3 3 5" xfId="18338" xr:uid="{5C7C7ADA-F947-470A-A100-A27C2AF65918}"/>
    <cellStyle name="Normal 5 5 3 3 6" xfId="9897" xr:uid="{FC79937C-DEA0-4F9E-9AC8-099BC1F66039}"/>
    <cellStyle name="Normal 5 5 3 4" xfId="1771" xr:uid="{00000000-0005-0000-0000-00007E1B0000}"/>
    <cellStyle name="Normal 5 5 3 4 2" xfId="4001" xr:uid="{00000000-0005-0000-0000-00007F1B0000}"/>
    <cellStyle name="Normal 5 5 3 4 2 2" xfId="8223" xr:uid="{00000000-0005-0000-0000-0000801B0000}"/>
    <cellStyle name="Normal 5 5 3 4 2 2 2" xfId="33555" xr:uid="{B08AC436-5E2C-4399-AD70-FA709444C91C}"/>
    <cellStyle name="Normal 5 5 3 4 2 2 3" xfId="25114" xr:uid="{F093A3C2-D34D-4D19-846C-4EE0A8306F44}"/>
    <cellStyle name="Normal 5 5 3 4 2 2 4" xfId="16673" xr:uid="{AEFD84CE-BCBE-497F-B96C-F0BA99D03F4E}"/>
    <cellStyle name="Normal 5 5 3 4 2 3" xfId="29337" xr:uid="{A12894B2-FA96-41C8-8608-ABB5AE185C82}"/>
    <cellStyle name="Normal 5 5 3 4 2 4" xfId="20896" xr:uid="{4AB4EA0D-449A-42B4-AE6C-EEB9B41AF86C}"/>
    <cellStyle name="Normal 5 5 3 4 2 5" xfId="12455" xr:uid="{740B203C-0066-40F4-BB05-4623EA5FA63B}"/>
    <cellStyle name="Normal 5 5 3 4 3" xfId="6078" xr:uid="{00000000-0005-0000-0000-0000811B0000}"/>
    <cellStyle name="Normal 5 5 3 4 3 2" xfId="31410" xr:uid="{B9F6FDB9-42FD-4A40-A18D-9C2833B3816C}"/>
    <cellStyle name="Normal 5 5 3 4 3 3" xfId="22969" xr:uid="{0E982055-62E4-4629-87B2-A2929696B751}"/>
    <cellStyle name="Normal 5 5 3 4 3 4" xfId="14528" xr:uid="{EDE7C9C0-C35A-4DB3-AA4C-500F343AC0FF}"/>
    <cellStyle name="Normal 5 5 3 4 4" xfId="27192" xr:uid="{F3020CCF-C387-494E-B0AC-1EA5C415DA6D}"/>
    <cellStyle name="Normal 5 5 3 4 5" xfId="18751" xr:uid="{082B6011-A3A7-4DC9-B509-9BD60384A043}"/>
    <cellStyle name="Normal 5 5 3 4 6" xfId="10310" xr:uid="{47185751-B43F-4071-9446-CFDB3BAFF692}"/>
    <cellStyle name="Normal 5 5 3 5" xfId="2185" xr:uid="{00000000-0005-0000-0000-0000821B0000}"/>
    <cellStyle name="Normal 5 5 3 5 2" xfId="4414" xr:uid="{00000000-0005-0000-0000-0000831B0000}"/>
    <cellStyle name="Normal 5 5 3 5 2 2" xfId="8636" xr:uid="{00000000-0005-0000-0000-0000841B0000}"/>
    <cellStyle name="Normal 5 5 3 5 2 2 2" xfId="33968" xr:uid="{97B33B11-9A03-4C58-B78A-B3A9A5B1BC45}"/>
    <cellStyle name="Normal 5 5 3 5 2 2 3" xfId="25527" xr:uid="{AE6E3DB1-3264-4B1A-9D57-243BC0F43DCB}"/>
    <cellStyle name="Normal 5 5 3 5 2 2 4" xfId="17086" xr:uid="{407A9F91-8571-4340-9A04-4CFD70EFA0F5}"/>
    <cellStyle name="Normal 5 5 3 5 2 3" xfId="29750" xr:uid="{0EDBEF35-7592-45C9-85EB-73B924A8B8E1}"/>
    <cellStyle name="Normal 5 5 3 5 2 4" xfId="21309" xr:uid="{D8EB15AA-2358-4A7C-8FBD-BF60A294D82A}"/>
    <cellStyle name="Normal 5 5 3 5 2 5" xfId="12868" xr:uid="{C0F618DF-81FC-4B46-B676-9A3B0510384E}"/>
    <cellStyle name="Normal 5 5 3 5 3" xfId="6491" xr:uid="{00000000-0005-0000-0000-0000851B0000}"/>
    <cellStyle name="Normal 5 5 3 5 3 2" xfId="31823" xr:uid="{EFDEC193-FE98-4184-9D76-AAFCF3E56173}"/>
    <cellStyle name="Normal 5 5 3 5 3 3" xfId="23382" xr:uid="{55F7F6B1-FFC1-4EC4-A299-26FCD9AF1BE6}"/>
    <cellStyle name="Normal 5 5 3 5 3 4" xfId="14941" xr:uid="{56972106-9F01-4443-A246-6F4FC0D425D9}"/>
    <cellStyle name="Normal 5 5 3 5 4" xfId="27605" xr:uid="{56CD4E07-D1DF-452D-A139-87B933B6D163}"/>
    <cellStyle name="Normal 5 5 3 5 5" xfId="19164" xr:uid="{18129883-A3AE-4687-9348-1B54EF6456A0}"/>
    <cellStyle name="Normal 5 5 3 5 6" xfId="10723" xr:uid="{B29613D5-DBA4-4564-92F3-412223A1D9B1}"/>
    <cellStyle name="Normal 5 5 3 6" xfId="2621" xr:uid="{00000000-0005-0000-0000-0000861B0000}"/>
    <cellStyle name="Normal 5 5 3 6 2" xfId="6904" xr:uid="{00000000-0005-0000-0000-0000871B0000}"/>
    <cellStyle name="Normal 5 5 3 6 2 2" xfId="32236" xr:uid="{02E5A74B-2EFB-4634-9C63-FD36A0C93233}"/>
    <cellStyle name="Normal 5 5 3 6 2 3" xfId="23795" xr:uid="{96848EBA-CB19-4B4B-AC65-CDA9832F35FD}"/>
    <cellStyle name="Normal 5 5 3 6 2 4" xfId="15354" xr:uid="{0A70F898-FD42-44E0-8CFA-C5B852B81D26}"/>
    <cellStyle name="Normal 5 5 3 6 3" xfId="28018" xr:uid="{CA8AF82B-B0B5-4EDD-8E19-F82434FA3DDE}"/>
    <cellStyle name="Normal 5 5 3 6 4" xfId="19577" xr:uid="{2975C337-81A4-4335-B144-4EBE79C949BE}"/>
    <cellStyle name="Normal 5 5 3 6 5" xfId="11136" xr:uid="{CD3F91FF-FEA1-40F2-B7CF-27F4AAB1457A}"/>
    <cellStyle name="Normal 5 5 3 7" xfId="4839" xr:uid="{00000000-0005-0000-0000-0000881B0000}"/>
    <cellStyle name="Normal 5 5 3 7 2" xfId="30171" xr:uid="{21ACD737-A6F7-490D-A077-AA6CAB3B2A8E}"/>
    <cellStyle name="Normal 5 5 3 7 3" xfId="21730" xr:uid="{3276C553-27F8-4DB9-8D98-CD2C61142846}"/>
    <cellStyle name="Normal 5 5 3 7 4" xfId="13289" xr:uid="{1495127A-9AE9-4980-98C8-FF8962EB7310}"/>
    <cellStyle name="Normal 5 5 3 8" xfId="25953" xr:uid="{F9777119-3654-4F5D-81F1-87900AF033A3}"/>
    <cellStyle name="Normal 5 5 3 9" xfId="17512" xr:uid="{446CC311-38AC-488F-8CC7-19B9B4DF5246}"/>
    <cellStyle name="Normal 5 5 4" xfId="938" xr:uid="{00000000-0005-0000-0000-0000891B0000}"/>
    <cellStyle name="Normal 5 5 4 2" xfId="3172" xr:uid="{00000000-0005-0000-0000-00008A1B0000}"/>
    <cellStyle name="Normal 5 5 4 2 2" xfId="7394" xr:uid="{00000000-0005-0000-0000-00008B1B0000}"/>
    <cellStyle name="Normal 5 5 4 2 2 2" xfId="32726" xr:uid="{AE1335ED-6B7C-4AF4-8C83-936E022E5F33}"/>
    <cellStyle name="Normal 5 5 4 2 2 3" xfId="24285" xr:uid="{46C15E20-9ED7-4639-9DA0-75794B826B64}"/>
    <cellStyle name="Normal 5 5 4 2 2 4" xfId="15844" xr:uid="{AB8F8D4A-30C8-4ABC-91C8-6A9AAC1DE78B}"/>
    <cellStyle name="Normal 5 5 4 2 3" xfId="28508" xr:uid="{091ADCEE-79CE-4446-AD3C-3505222DB72C}"/>
    <cellStyle name="Normal 5 5 4 2 4" xfId="20067" xr:uid="{9ABED6DE-82B5-4926-B3B1-ECBC2A8EF12B}"/>
    <cellStyle name="Normal 5 5 4 2 5" xfId="11626" xr:uid="{0F5A2231-0805-4B3A-9A58-41A317F5ABEE}"/>
    <cellStyle name="Normal 5 5 4 3" xfId="5249" xr:uid="{00000000-0005-0000-0000-00008C1B0000}"/>
    <cellStyle name="Normal 5 5 4 3 2" xfId="30581" xr:uid="{7B1DFB27-77B5-409E-838E-2AFB033C276C}"/>
    <cellStyle name="Normal 5 5 4 3 3" xfId="22140" xr:uid="{B13BF8CE-9466-43EE-AFA7-EE0D0E8C0022}"/>
    <cellStyle name="Normal 5 5 4 3 4" xfId="13699" xr:uid="{EC647138-2D49-4606-8FDA-45AC622C7E4E}"/>
    <cellStyle name="Normal 5 5 4 4" xfId="26363" xr:uid="{9F25D6C5-4B24-4B70-AC20-EC27A081D37E}"/>
    <cellStyle name="Normal 5 5 4 5" xfId="17922" xr:uid="{D5F2F4D0-446D-4598-B023-611004A882C2}"/>
    <cellStyle name="Normal 5 5 4 6" xfId="9481" xr:uid="{73DA54AE-2314-497E-AC11-9FB6B7DB6A3D}"/>
    <cellStyle name="Normal 5 5 5" xfId="1355" xr:uid="{00000000-0005-0000-0000-00008D1B0000}"/>
    <cellStyle name="Normal 5 5 5 2" xfId="3585" xr:uid="{00000000-0005-0000-0000-00008E1B0000}"/>
    <cellStyle name="Normal 5 5 5 2 2" xfId="7807" xr:uid="{00000000-0005-0000-0000-00008F1B0000}"/>
    <cellStyle name="Normal 5 5 5 2 2 2" xfId="33139" xr:uid="{B3BA1FAE-8F81-43EC-BC2E-8C88238017AB}"/>
    <cellStyle name="Normal 5 5 5 2 2 3" xfId="24698" xr:uid="{675ED4BD-3FFA-44CE-8B97-E4C36A4456D9}"/>
    <cellStyle name="Normal 5 5 5 2 2 4" xfId="16257" xr:uid="{81CE2C52-0BBF-4A93-846E-BC33056D1B27}"/>
    <cellStyle name="Normal 5 5 5 2 3" xfId="28921" xr:uid="{668252C2-62DE-4801-B912-B452BAC85CAE}"/>
    <cellStyle name="Normal 5 5 5 2 4" xfId="20480" xr:uid="{3EC5E8FB-CACB-42FD-9E3B-E9EFBB12EBC9}"/>
    <cellStyle name="Normal 5 5 5 2 5" xfId="12039" xr:uid="{91F95F7D-54DD-4B25-8E9E-AE141F49FD53}"/>
    <cellStyle name="Normal 5 5 5 3" xfId="5662" xr:uid="{00000000-0005-0000-0000-0000901B0000}"/>
    <cellStyle name="Normal 5 5 5 3 2" xfId="30994" xr:uid="{A2742B27-F917-4F16-A916-08B895D656D7}"/>
    <cellStyle name="Normal 5 5 5 3 3" xfId="22553" xr:uid="{E00BC217-67C1-4B14-B0F8-16887D90A924}"/>
    <cellStyle name="Normal 5 5 5 3 4" xfId="14112" xr:uid="{D7A6C8A3-FA41-44EE-80CC-029AB6F00EF8}"/>
    <cellStyle name="Normal 5 5 5 4" xfId="26776" xr:uid="{8EEC8C17-AB99-472A-95FD-2B816551BF6F}"/>
    <cellStyle name="Normal 5 5 5 5" xfId="18335" xr:uid="{441C6DD8-C59A-4792-B92E-498B01DF10D5}"/>
    <cellStyle name="Normal 5 5 5 6" xfId="9894" xr:uid="{135A8E5D-447D-4CE2-B873-F113063A376E}"/>
    <cellStyle name="Normal 5 5 6" xfId="1768" xr:uid="{00000000-0005-0000-0000-0000911B0000}"/>
    <cellStyle name="Normal 5 5 6 2" xfId="3998" xr:uid="{00000000-0005-0000-0000-0000921B0000}"/>
    <cellStyle name="Normal 5 5 6 2 2" xfId="8220" xr:uid="{00000000-0005-0000-0000-0000931B0000}"/>
    <cellStyle name="Normal 5 5 6 2 2 2" xfId="33552" xr:uid="{B1577CAD-38A5-4D50-BDC8-C9AF8F1447E0}"/>
    <cellStyle name="Normal 5 5 6 2 2 3" xfId="25111" xr:uid="{88776DEF-CB65-41B1-8322-03E1AA4F8E06}"/>
    <cellStyle name="Normal 5 5 6 2 2 4" xfId="16670" xr:uid="{84CA1234-3902-4F43-B3BC-CA12F9C6809C}"/>
    <cellStyle name="Normal 5 5 6 2 3" xfId="29334" xr:uid="{C6A3066A-D668-44A6-B94F-1D0C009ACCA0}"/>
    <cellStyle name="Normal 5 5 6 2 4" xfId="20893" xr:uid="{AA15ED67-8AB9-4672-AF81-1C89CBEDDBF4}"/>
    <cellStyle name="Normal 5 5 6 2 5" xfId="12452" xr:uid="{F03A8D78-8D1D-4D95-ADAE-4FFB4880E842}"/>
    <cellStyle name="Normal 5 5 6 3" xfId="6075" xr:uid="{00000000-0005-0000-0000-0000941B0000}"/>
    <cellStyle name="Normal 5 5 6 3 2" xfId="31407" xr:uid="{D15688E3-39B7-4D84-A394-EE3D2E59C273}"/>
    <cellStyle name="Normal 5 5 6 3 3" xfId="22966" xr:uid="{41444554-14A3-4BF8-87B0-D76CDDA93055}"/>
    <cellStyle name="Normal 5 5 6 3 4" xfId="14525" xr:uid="{4C95185B-A6D3-47B8-90FF-FBA618B6010C}"/>
    <cellStyle name="Normal 5 5 6 4" xfId="27189" xr:uid="{7961EA93-EB1B-4382-B488-81BDBE8FADD2}"/>
    <cellStyle name="Normal 5 5 6 5" xfId="18748" xr:uid="{596CDDEB-F176-4775-979D-605F3C3396F2}"/>
    <cellStyle name="Normal 5 5 6 6" xfId="10307" xr:uid="{C758225C-8FD9-48DD-9748-BB8B472ABE9A}"/>
    <cellStyle name="Normal 5 5 7" xfId="2182" xr:uid="{00000000-0005-0000-0000-0000951B0000}"/>
    <cellStyle name="Normal 5 5 7 2" xfId="4411" xr:uid="{00000000-0005-0000-0000-0000961B0000}"/>
    <cellStyle name="Normal 5 5 7 2 2" xfId="8633" xr:uid="{00000000-0005-0000-0000-0000971B0000}"/>
    <cellStyle name="Normal 5 5 7 2 2 2" xfId="33965" xr:uid="{B10837A2-9E47-40FE-8715-FC7F03ED3B6E}"/>
    <cellStyle name="Normal 5 5 7 2 2 3" xfId="25524" xr:uid="{E641647B-05C4-46F4-99A1-0FCEAA1BD30F}"/>
    <cellStyle name="Normal 5 5 7 2 2 4" xfId="17083" xr:uid="{36631098-BA4B-45EE-80AA-455D69F5B083}"/>
    <cellStyle name="Normal 5 5 7 2 3" xfId="29747" xr:uid="{9D245C5D-DC6B-4DDE-B80C-D6E82BBA40DA}"/>
    <cellStyle name="Normal 5 5 7 2 4" xfId="21306" xr:uid="{21F3D94C-8C89-4391-A037-191C740AAFD4}"/>
    <cellStyle name="Normal 5 5 7 2 5" xfId="12865" xr:uid="{2322A1A6-0F7F-426A-B95E-1230912E982D}"/>
    <cellStyle name="Normal 5 5 7 3" xfId="6488" xr:uid="{00000000-0005-0000-0000-0000981B0000}"/>
    <cellStyle name="Normal 5 5 7 3 2" xfId="31820" xr:uid="{680ABC69-FAEB-4F8B-A729-1AB5788BF40A}"/>
    <cellStyle name="Normal 5 5 7 3 3" xfId="23379" xr:uid="{B688B579-2F05-400B-8FCF-A10F5BF42D96}"/>
    <cellStyle name="Normal 5 5 7 3 4" xfId="14938" xr:uid="{5DDABB45-A861-4701-914D-E8B8BEE06DA5}"/>
    <cellStyle name="Normal 5 5 7 4" xfId="27602" xr:uid="{0B8AB8CC-5311-47EA-AC89-D4A8FF94152A}"/>
    <cellStyle name="Normal 5 5 7 5" xfId="19161" xr:uid="{AAD70F7E-E2AC-44E0-852F-3D89955A2016}"/>
    <cellStyle name="Normal 5 5 7 6" xfId="10720" xr:uid="{6142FCF9-27CD-4B4F-A597-7D27BAB36417}"/>
    <cellStyle name="Normal 5 5 8" xfId="2618" xr:uid="{00000000-0005-0000-0000-0000991B0000}"/>
    <cellStyle name="Normal 5 5 8 2" xfId="6901" xr:uid="{00000000-0005-0000-0000-00009A1B0000}"/>
    <cellStyle name="Normal 5 5 8 2 2" xfId="32233" xr:uid="{DB4355E7-145C-4538-9C03-F98CB4853566}"/>
    <cellStyle name="Normal 5 5 8 2 3" xfId="23792" xr:uid="{565BDB4E-3FFC-429D-8250-5DBAA4576037}"/>
    <cellStyle name="Normal 5 5 8 2 4" xfId="15351" xr:uid="{53BBF861-C87F-44A5-8BFC-2C347F13CC63}"/>
    <cellStyle name="Normal 5 5 8 3" xfId="28015" xr:uid="{9453DAB9-824A-4706-A336-D6B30C020D1A}"/>
    <cellStyle name="Normal 5 5 8 4" xfId="19574" xr:uid="{8F260C77-2CA4-4ED0-BE94-A98C86F4ED03}"/>
    <cellStyle name="Normal 5 5 8 5" xfId="11133" xr:uid="{B27A8CE3-62D0-4EE2-AA2A-D0261215D0CA}"/>
    <cellStyle name="Normal 5 5 9" xfId="4836" xr:uid="{00000000-0005-0000-0000-00009B1B0000}"/>
    <cellStyle name="Normal 5 5 9 2" xfId="30168" xr:uid="{CACFDD18-B943-4A88-90CA-DD4BBFABF12F}"/>
    <cellStyle name="Normal 5 5 9 3" xfId="21727" xr:uid="{0B8684F0-9056-459B-BB91-A78FFBFE2CCD}"/>
    <cellStyle name="Normal 5 5 9 4" xfId="13286" xr:uid="{2CED186B-5B77-4E4D-A168-D5FD2C4451C3}"/>
    <cellStyle name="Normal 5 6" xfId="468" xr:uid="{00000000-0005-0000-0000-00009C1B0000}"/>
    <cellStyle name="Normal 5 6 10" xfId="17513" xr:uid="{2142C832-BE7C-47F8-A09F-E35C787B8414}"/>
    <cellStyle name="Normal 5 6 11" xfId="9072" xr:uid="{7DDDC976-1FE8-4A8D-A22A-A0CC31F372F1}"/>
    <cellStyle name="Normal 5 6 2" xfId="469" xr:uid="{00000000-0005-0000-0000-00009D1B0000}"/>
    <cellStyle name="Normal 5 6 2 10" xfId="9073" xr:uid="{81DDFE92-5669-448F-BB31-86211639DFD4}"/>
    <cellStyle name="Normal 5 6 2 2" xfId="943" xr:uid="{00000000-0005-0000-0000-00009E1B0000}"/>
    <cellStyle name="Normal 5 6 2 2 2" xfId="3177" xr:uid="{00000000-0005-0000-0000-00009F1B0000}"/>
    <cellStyle name="Normal 5 6 2 2 2 2" xfId="7399" xr:uid="{00000000-0005-0000-0000-0000A01B0000}"/>
    <cellStyle name="Normal 5 6 2 2 2 2 2" xfId="32731" xr:uid="{057D5A4E-4296-4F33-9D9F-C3742CB14F2E}"/>
    <cellStyle name="Normal 5 6 2 2 2 2 3" xfId="24290" xr:uid="{004BC7D2-C18F-4A81-BCCC-971FBEE090EA}"/>
    <cellStyle name="Normal 5 6 2 2 2 2 4" xfId="15849" xr:uid="{87732760-5C22-404A-83E5-A6BBD372FEED}"/>
    <cellStyle name="Normal 5 6 2 2 2 3" xfId="28513" xr:uid="{395E6FFD-D182-4B6D-8BE8-B0A762A47B11}"/>
    <cellStyle name="Normal 5 6 2 2 2 4" xfId="20072" xr:uid="{9BB7A02D-C338-4E63-AE1A-7528F8018253}"/>
    <cellStyle name="Normal 5 6 2 2 2 5" xfId="11631" xr:uid="{2C48CC32-16D6-44E6-BFD0-FAF10CEEE0F1}"/>
    <cellStyle name="Normal 5 6 2 2 3" xfId="5254" xr:uid="{00000000-0005-0000-0000-0000A11B0000}"/>
    <cellStyle name="Normal 5 6 2 2 3 2" xfId="30586" xr:uid="{ED754F94-391D-4A9C-AAF6-15347E990317}"/>
    <cellStyle name="Normal 5 6 2 2 3 3" xfId="22145" xr:uid="{D80E4562-EDA1-468C-AABE-6A0CE51C3E3C}"/>
    <cellStyle name="Normal 5 6 2 2 3 4" xfId="13704" xr:uid="{0739191A-8B19-468E-9BC4-54ED3F42B91F}"/>
    <cellStyle name="Normal 5 6 2 2 4" xfId="26368" xr:uid="{F8030015-8A9B-44B9-96A5-02C5B5000EC7}"/>
    <cellStyle name="Normal 5 6 2 2 5" xfId="17927" xr:uid="{CFFAFC54-9C55-4FAD-B7C0-B240CE940CBA}"/>
    <cellStyle name="Normal 5 6 2 2 6" xfId="9486" xr:uid="{2F40C62C-76DF-4E66-AC77-6ED2FE755EB7}"/>
    <cellStyle name="Normal 5 6 2 3" xfId="1360" xr:uid="{00000000-0005-0000-0000-0000A21B0000}"/>
    <cellStyle name="Normal 5 6 2 3 2" xfId="3590" xr:uid="{00000000-0005-0000-0000-0000A31B0000}"/>
    <cellStyle name="Normal 5 6 2 3 2 2" xfId="7812" xr:uid="{00000000-0005-0000-0000-0000A41B0000}"/>
    <cellStyle name="Normal 5 6 2 3 2 2 2" xfId="33144" xr:uid="{4EFC28A7-E136-4655-BDBB-5FA3697C1AD5}"/>
    <cellStyle name="Normal 5 6 2 3 2 2 3" xfId="24703" xr:uid="{08643C81-E358-4A48-9549-29BEA3A3CB98}"/>
    <cellStyle name="Normal 5 6 2 3 2 2 4" xfId="16262" xr:uid="{F4992311-5161-4DDB-B7F0-4D4BABFB1598}"/>
    <cellStyle name="Normal 5 6 2 3 2 3" xfId="28926" xr:uid="{46479992-66E5-499E-9BC4-B1DD9503DC54}"/>
    <cellStyle name="Normal 5 6 2 3 2 4" xfId="20485" xr:uid="{2BADB4E4-ADE5-4D8A-B746-1DFE3D467156}"/>
    <cellStyle name="Normal 5 6 2 3 2 5" xfId="12044" xr:uid="{002A6C00-8E42-4E08-96B8-A3A4767333CE}"/>
    <cellStyle name="Normal 5 6 2 3 3" xfId="5667" xr:uid="{00000000-0005-0000-0000-0000A51B0000}"/>
    <cellStyle name="Normal 5 6 2 3 3 2" xfId="30999" xr:uid="{E1BABB4C-F65E-424D-B29B-515E3E885F43}"/>
    <cellStyle name="Normal 5 6 2 3 3 3" xfId="22558" xr:uid="{E4ED81C2-E360-4AA4-B20F-ECAD73F972E0}"/>
    <cellStyle name="Normal 5 6 2 3 3 4" xfId="14117" xr:uid="{F302E045-59EF-4F26-B805-4BC9763F84B8}"/>
    <cellStyle name="Normal 5 6 2 3 4" xfId="26781" xr:uid="{5999B149-E0E9-4388-AB57-D4F6D23E9858}"/>
    <cellStyle name="Normal 5 6 2 3 5" xfId="18340" xr:uid="{F170F03E-7B27-4B23-8BD8-486118B1B508}"/>
    <cellStyle name="Normal 5 6 2 3 6" xfId="9899" xr:uid="{9E015917-2492-4C0E-AE7D-5994DBD232F8}"/>
    <cellStyle name="Normal 5 6 2 4" xfId="1773" xr:uid="{00000000-0005-0000-0000-0000A61B0000}"/>
    <cellStyle name="Normal 5 6 2 4 2" xfId="4003" xr:uid="{00000000-0005-0000-0000-0000A71B0000}"/>
    <cellStyle name="Normal 5 6 2 4 2 2" xfId="8225" xr:uid="{00000000-0005-0000-0000-0000A81B0000}"/>
    <cellStyle name="Normal 5 6 2 4 2 2 2" xfId="33557" xr:uid="{A86018F2-EEDB-4D66-BF7F-1952CE064B34}"/>
    <cellStyle name="Normal 5 6 2 4 2 2 3" xfId="25116" xr:uid="{7933C1C7-B638-4ABD-8060-E73EB48304D4}"/>
    <cellStyle name="Normal 5 6 2 4 2 2 4" xfId="16675" xr:uid="{C131B1D8-BD0C-4A99-9E94-3CA64E88CC5F}"/>
    <cellStyle name="Normal 5 6 2 4 2 3" xfId="29339" xr:uid="{72D76571-B0E8-40EC-8D8B-0C96088F8119}"/>
    <cellStyle name="Normal 5 6 2 4 2 4" xfId="20898" xr:uid="{DDD414D1-B325-4099-98B9-D38A641BBEFC}"/>
    <cellStyle name="Normal 5 6 2 4 2 5" xfId="12457" xr:uid="{81380D82-59A0-4102-B745-2EA6799FC636}"/>
    <cellStyle name="Normal 5 6 2 4 3" xfId="6080" xr:uid="{00000000-0005-0000-0000-0000A91B0000}"/>
    <cellStyle name="Normal 5 6 2 4 3 2" xfId="31412" xr:uid="{B1F18329-203D-43BE-8791-D4E1B45EE0C3}"/>
    <cellStyle name="Normal 5 6 2 4 3 3" xfId="22971" xr:uid="{B9F8B6BB-E65B-4CC8-BF7F-DFD2203CA931}"/>
    <cellStyle name="Normal 5 6 2 4 3 4" xfId="14530" xr:uid="{2BB373FC-DE7E-4025-B10C-BE41B1CF8A73}"/>
    <cellStyle name="Normal 5 6 2 4 4" xfId="27194" xr:uid="{110A49B6-DA3B-4ADE-8C0E-AA495664383A}"/>
    <cellStyle name="Normal 5 6 2 4 5" xfId="18753" xr:uid="{C6A1E33F-ED46-4A64-BBB5-656273436A2D}"/>
    <cellStyle name="Normal 5 6 2 4 6" xfId="10312" xr:uid="{05D6670E-AD52-4403-8075-0B8D4C825308}"/>
    <cellStyle name="Normal 5 6 2 5" xfId="2187" xr:uid="{00000000-0005-0000-0000-0000AA1B0000}"/>
    <cellStyle name="Normal 5 6 2 5 2" xfId="4416" xr:uid="{00000000-0005-0000-0000-0000AB1B0000}"/>
    <cellStyle name="Normal 5 6 2 5 2 2" xfId="8638" xr:uid="{00000000-0005-0000-0000-0000AC1B0000}"/>
    <cellStyle name="Normal 5 6 2 5 2 2 2" xfId="33970" xr:uid="{AD81DB47-433B-4270-B0AF-4BCA7ACEB7B1}"/>
    <cellStyle name="Normal 5 6 2 5 2 2 3" xfId="25529" xr:uid="{F95C5C33-478B-4632-894B-73213976CE67}"/>
    <cellStyle name="Normal 5 6 2 5 2 2 4" xfId="17088" xr:uid="{4530525E-2C79-40F6-9789-8023B19F045B}"/>
    <cellStyle name="Normal 5 6 2 5 2 3" xfId="29752" xr:uid="{55D76ABA-8B65-4E66-AECF-0F497149E7B5}"/>
    <cellStyle name="Normal 5 6 2 5 2 4" xfId="21311" xr:uid="{498D47C7-066C-4D39-802A-05CDBD5DE6B6}"/>
    <cellStyle name="Normal 5 6 2 5 2 5" xfId="12870" xr:uid="{957C24C2-BDC4-4D7D-968A-41A2FC9DC246}"/>
    <cellStyle name="Normal 5 6 2 5 3" xfId="6493" xr:uid="{00000000-0005-0000-0000-0000AD1B0000}"/>
    <cellStyle name="Normal 5 6 2 5 3 2" xfId="31825" xr:uid="{8A6A8156-8052-4C0E-A152-DC1A0DC021CA}"/>
    <cellStyle name="Normal 5 6 2 5 3 3" xfId="23384" xr:uid="{F13AC300-5500-4888-A793-A1CAA5A0F9AF}"/>
    <cellStyle name="Normal 5 6 2 5 3 4" xfId="14943" xr:uid="{5B21484D-22BB-4B98-BBF6-7C4359720429}"/>
    <cellStyle name="Normal 5 6 2 5 4" xfId="27607" xr:uid="{3184B93B-BE4F-430A-B1DE-8681958274D4}"/>
    <cellStyle name="Normal 5 6 2 5 5" xfId="19166" xr:uid="{5B89C6CA-21C1-42AF-9DDB-71F198DC5483}"/>
    <cellStyle name="Normal 5 6 2 5 6" xfId="10725" xr:uid="{DDCD808C-78D4-4CE3-9ACF-ED4E0FDE5822}"/>
    <cellStyle name="Normal 5 6 2 6" xfId="2623" xr:uid="{00000000-0005-0000-0000-0000AE1B0000}"/>
    <cellStyle name="Normal 5 6 2 6 2" xfId="6906" xr:uid="{00000000-0005-0000-0000-0000AF1B0000}"/>
    <cellStyle name="Normal 5 6 2 6 2 2" xfId="32238" xr:uid="{390AB055-8C5C-4D93-A7DC-D9D9E9BAAD2F}"/>
    <cellStyle name="Normal 5 6 2 6 2 3" xfId="23797" xr:uid="{6E75495F-8410-4664-B232-562FADE4D490}"/>
    <cellStyle name="Normal 5 6 2 6 2 4" xfId="15356" xr:uid="{3EAB60FA-41B6-4CAD-BED3-B88F6C1625A4}"/>
    <cellStyle name="Normal 5 6 2 6 3" xfId="28020" xr:uid="{187C75E5-C318-4DFE-A36F-FF90B972046F}"/>
    <cellStyle name="Normal 5 6 2 6 4" xfId="19579" xr:uid="{419F1F97-2B6F-46B7-B87A-AD0BD670FA47}"/>
    <cellStyle name="Normal 5 6 2 6 5" xfId="11138" xr:uid="{76853A56-4FE0-4B6A-AFE0-F91DA10A1F5C}"/>
    <cellStyle name="Normal 5 6 2 7" xfId="4841" xr:uid="{00000000-0005-0000-0000-0000B01B0000}"/>
    <cellStyle name="Normal 5 6 2 7 2" xfId="30173" xr:uid="{A53EC7BC-2E4F-43CB-8523-0B3BA0A0D18F}"/>
    <cellStyle name="Normal 5 6 2 7 3" xfId="21732" xr:uid="{F727FBC4-9261-4C8E-8D4D-E603DC2B147A}"/>
    <cellStyle name="Normal 5 6 2 7 4" xfId="13291" xr:uid="{72F05BA8-C53B-4626-BEF7-4BE11CE6422D}"/>
    <cellStyle name="Normal 5 6 2 8" xfId="25955" xr:uid="{327F8A90-CE44-4FC3-A94D-2045CFA22182}"/>
    <cellStyle name="Normal 5 6 2 9" xfId="17514" xr:uid="{C915185E-885A-48C0-9FC9-22BB4137C741}"/>
    <cellStyle name="Normal 5 6 3" xfId="942" xr:uid="{00000000-0005-0000-0000-0000B11B0000}"/>
    <cellStyle name="Normal 5 6 3 2" xfId="3176" xr:uid="{00000000-0005-0000-0000-0000B21B0000}"/>
    <cellStyle name="Normal 5 6 3 2 2" xfId="7398" xr:uid="{00000000-0005-0000-0000-0000B31B0000}"/>
    <cellStyle name="Normal 5 6 3 2 2 2" xfId="32730" xr:uid="{55848CBB-8F67-48BF-932D-ACBC6D4A2EF8}"/>
    <cellStyle name="Normal 5 6 3 2 2 3" xfId="24289" xr:uid="{42CE93AE-CBCB-4F49-8B1E-5268EEE6D5C9}"/>
    <cellStyle name="Normal 5 6 3 2 2 4" xfId="15848" xr:uid="{3E72B01B-D5C3-496B-891E-DCCB83432D05}"/>
    <cellStyle name="Normal 5 6 3 2 3" xfId="28512" xr:uid="{2C42315F-6F9A-475B-A74F-056A66D08AB7}"/>
    <cellStyle name="Normal 5 6 3 2 4" xfId="20071" xr:uid="{287607F1-8D6B-48A6-84F6-505F9DB45498}"/>
    <cellStyle name="Normal 5 6 3 2 5" xfId="11630" xr:uid="{1AD459A1-0BAE-4F72-8FDA-AA6AB9F38C42}"/>
    <cellStyle name="Normal 5 6 3 3" xfId="5253" xr:uid="{00000000-0005-0000-0000-0000B41B0000}"/>
    <cellStyle name="Normal 5 6 3 3 2" xfId="30585" xr:uid="{428F34F3-4BEE-476F-95FA-736B6A8254EC}"/>
    <cellStyle name="Normal 5 6 3 3 3" xfId="22144" xr:uid="{30B295DA-BAEF-44C6-879B-140BE5189AFA}"/>
    <cellStyle name="Normal 5 6 3 3 4" xfId="13703" xr:uid="{6A341E8E-63C6-4578-8E9A-A26A06C5C28D}"/>
    <cellStyle name="Normal 5 6 3 4" xfId="26367" xr:uid="{6A621792-3D8F-48C3-8015-2B5F4ABD4B18}"/>
    <cellStyle name="Normal 5 6 3 5" xfId="17926" xr:uid="{FD62C669-3CA1-4038-B4F1-AE47ED6D2964}"/>
    <cellStyle name="Normal 5 6 3 6" xfId="9485" xr:uid="{655AE28D-A4B3-4742-86C2-F3ED26B4E2C3}"/>
    <cellStyle name="Normal 5 6 4" xfId="1359" xr:uid="{00000000-0005-0000-0000-0000B51B0000}"/>
    <cellStyle name="Normal 5 6 4 2" xfId="3589" xr:uid="{00000000-0005-0000-0000-0000B61B0000}"/>
    <cellStyle name="Normal 5 6 4 2 2" xfId="7811" xr:uid="{00000000-0005-0000-0000-0000B71B0000}"/>
    <cellStyle name="Normal 5 6 4 2 2 2" xfId="33143" xr:uid="{BB9CD1B8-C12F-488D-B0CE-76BD60F258B7}"/>
    <cellStyle name="Normal 5 6 4 2 2 3" xfId="24702" xr:uid="{45C7759E-10BE-4DFC-8C5A-A39F8F8FF250}"/>
    <cellStyle name="Normal 5 6 4 2 2 4" xfId="16261" xr:uid="{EA91D70B-60FF-431F-93CB-6FCFB196C4A0}"/>
    <cellStyle name="Normal 5 6 4 2 3" xfId="28925" xr:uid="{A9125229-DF49-48AC-8828-17ADF13914AC}"/>
    <cellStyle name="Normal 5 6 4 2 4" xfId="20484" xr:uid="{38686469-5733-4410-B317-77CDC26C2B78}"/>
    <cellStyle name="Normal 5 6 4 2 5" xfId="12043" xr:uid="{C3C0D3BA-5422-400F-BCA3-620B1704F455}"/>
    <cellStyle name="Normal 5 6 4 3" xfId="5666" xr:uid="{00000000-0005-0000-0000-0000B81B0000}"/>
    <cellStyle name="Normal 5 6 4 3 2" xfId="30998" xr:uid="{6F74A2A1-F0CC-4623-A1D7-122C437D869A}"/>
    <cellStyle name="Normal 5 6 4 3 3" xfId="22557" xr:uid="{CC38A547-EC5A-458B-903F-6C80DD475D15}"/>
    <cellStyle name="Normal 5 6 4 3 4" xfId="14116" xr:uid="{B5B9BC45-BFBC-4A64-8D93-413699D94C1D}"/>
    <cellStyle name="Normal 5 6 4 4" xfId="26780" xr:uid="{E278E44F-F49F-40BA-B4FD-67FEA5A5DF1A}"/>
    <cellStyle name="Normal 5 6 4 5" xfId="18339" xr:uid="{4A97D41B-9E58-4A9F-B770-83957A1E41D7}"/>
    <cellStyle name="Normal 5 6 4 6" xfId="9898" xr:uid="{56260031-F4FC-4EC2-B978-6913BCC174C0}"/>
    <cellStyle name="Normal 5 6 5" xfId="1772" xr:uid="{00000000-0005-0000-0000-0000B91B0000}"/>
    <cellStyle name="Normal 5 6 5 2" xfId="4002" xr:uid="{00000000-0005-0000-0000-0000BA1B0000}"/>
    <cellStyle name="Normal 5 6 5 2 2" xfId="8224" xr:uid="{00000000-0005-0000-0000-0000BB1B0000}"/>
    <cellStyle name="Normal 5 6 5 2 2 2" xfId="33556" xr:uid="{FAC16AF7-966E-4645-835F-50A1A8E5DF16}"/>
    <cellStyle name="Normal 5 6 5 2 2 3" xfId="25115" xr:uid="{3AA736C7-E226-4ECD-B0F6-AD21BD0D2E4C}"/>
    <cellStyle name="Normal 5 6 5 2 2 4" xfId="16674" xr:uid="{8465F483-91A9-40F7-9F5B-51CDF64BA6FC}"/>
    <cellStyle name="Normal 5 6 5 2 3" xfId="29338" xr:uid="{04AD1586-167B-4909-B8C2-D845B14B2B90}"/>
    <cellStyle name="Normal 5 6 5 2 4" xfId="20897" xr:uid="{3DE02698-4288-4959-B93C-3554854E3304}"/>
    <cellStyle name="Normal 5 6 5 2 5" xfId="12456" xr:uid="{DA3B6CB9-4898-48E2-8F9D-08FA80612217}"/>
    <cellStyle name="Normal 5 6 5 3" xfId="6079" xr:uid="{00000000-0005-0000-0000-0000BC1B0000}"/>
    <cellStyle name="Normal 5 6 5 3 2" xfId="31411" xr:uid="{30007900-7F30-491D-8AEF-120BCDBCC6A8}"/>
    <cellStyle name="Normal 5 6 5 3 3" xfId="22970" xr:uid="{6A503B6E-D89C-41B5-B92B-3FCFC6388337}"/>
    <cellStyle name="Normal 5 6 5 3 4" xfId="14529" xr:uid="{21948008-3350-40E8-93AE-97F252BCDE98}"/>
    <cellStyle name="Normal 5 6 5 4" xfId="27193" xr:uid="{7D9EA209-14EB-4EA5-BB3C-56CBF94FD4B6}"/>
    <cellStyle name="Normal 5 6 5 5" xfId="18752" xr:uid="{A8C3AD7D-D219-432A-8B64-96E8B66D36F2}"/>
    <cellStyle name="Normal 5 6 5 6" xfId="10311" xr:uid="{39A61B5D-4F42-4831-AF90-0C330BBE619E}"/>
    <cellStyle name="Normal 5 6 6" xfId="2186" xr:uid="{00000000-0005-0000-0000-0000BD1B0000}"/>
    <cellStyle name="Normal 5 6 6 2" xfId="4415" xr:uid="{00000000-0005-0000-0000-0000BE1B0000}"/>
    <cellStyle name="Normal 5 6 6 2 2" xfId="8637" xr:uid="{00000000-0005-0000-0000-0000BF1B0000}"/>
    <cellStyle name="Normal 5 6 6 2 2 2" xfId="33969" xr:uid="{2A967664-792B-4C03-9480-4954578268B0}"/>
    <cellStyle name="Normal 5 6 6 2 2 3" xfId="25528" xr:uid="{654A7E76-19E9-4538-AA43-B30AB11C9A9F}"/>
    <cellStyle name="Normal 5 6 6 2 2 4" xfId="17087" xr:uid="{3A89EF92-E7AF-4F96-8A67-53E574B82FC4}"/>
    <cellStyle name="Normal 5 6 6 2 3" xfId="29751" xr:uid="{AE1F6271-68F0-4875-8AF1-9BAA7AC2C437}"/>
    <cellStyle name="Normal 5 6 6 2 4" xfId="21310" xr:uid="{A9839927-9522-4678-8EE4-8229E8A15F24}"/>
    <cellStyle name="Normal 5 6 6 2 5" xfId="12869" xr:uid="{3500CC7E-2144-4EA2-9E73-B28F5312352F}"/>
    <cellStyle name="Normal 5 6 6 3" xfId="6492" xr:uid="{00000000-0005-0000-0000-0000C01B0000}"/>
    <cellStyle name="Normal 5 6 6 3 2" xfId="31824" xr:uid="{F185965F-FA69-4828-A8D9-EE7A1F3E9B13}"/>
    <cellStyle name="Normal 5 6 6 3 3" xfId="23383" xr:uid="{183C4070-94D2-446E-BDB2-32582F04D482}"/>
    <cellStyle name="Normal 5 6 6 3 4" xfId="14942" xr:uid="{E2088BFB-2215-484C-8E30-84F9CA0CD32A}"/>
    <cellStyle name="Normal 5 6 6 4" xfId="27606" xr:uid="{2091EF3F-8FEF-4D1B-B179-F153E1BD7F2A}"/>
    <cellStyle name="Normal 5 6 6 5" xfId="19165" xr:uid="{45445EF0-1262-470C-8CF3-7A3607E1CD9E}"/>
    <cellStyle name="Normal 5 6 6 6" xfId="10724" xr:uid="{DF36D563-E901-43FB-A9A2-8317A697EF47}"/>
    <cellStyle name="Normal 5 6 7" xfId="2622" xr:uid="{00000000-0005-0000-0000-0000C11B0000}"/>
    <cellStyle name="Normal 5 6 7 2" xfId="6905" xr:uid="{00000000-0005-0000-0000-0000C21B0000}"/>
    <cellStyle name="Normal 5 6 7 2 2" xfId="32237" xr:uid="{3FB191DF-E67E-48C2-B5CA-4E01E0194391}"/>
    <cellStyle name="Normal 5 6 7 2 3" xfId="23796" xr:uid="{153D7FE7-31D2-4305-9F21-D7E9A4967C87}"/>
    <cellStyle name="Normal 5 6 7 2 4" xfId="15355" xr:uid="{4CFFBFE4-4A3A-458E-AC09-E1963B24FB02}"/>
    <cellStyle name="Normal 5 6 7 3" xfId="28019" xr:uid="{0EC656DF-7655-435E-9178-3AF1A233F6E8}"/>
    <cellStyle name="Normal 5 6 7 4" xfId="19578" xr:uid="{F4FDA09B-3305-4BFF-88D7-E82198BE6D53}"/>
    <cellStyle name="Normal 5 6 7 5" xfId="11137" xr:uid="{9CD95EA7-8C00-492B-A9E7-AC20DF5B51D5}"/>
    <cellStyle name="Normal 5 6 8" xfId="4840" xr:uid="{00000000-0005-0000-0000-0000C31B0000}"/>
    <cellStyle name="Normal 5 6 8 2" xfId="30172" xr:uid="{FD201586-89E9-425C-8A99-3DFDA5BEB363}"/>
    <cellStyle name="Normal 5 6 8 3" xfId="21731" xr:uid="{1B441926-9C8D-473C-879D-5A4012770B8C}"/>
    <cellStyle name="Normal 5 6 8 4" xfId="13290" xr:uid="{2C3850F5-C9F7-4577-B90A-0F26EE846833}"/>
    <cellStyle name="Normal 5 6 9" xfId="25954" xr:uid="{3BE01040-9B84-4DE3-A30D-2871AD4DC2BF}"/>
    <cellStyle name="Normal 5 7" xfId="470" xr:uid="{00000000-0005-0000-0000-0000C41B0000}"/>
    <cellStyle name="Normal 5 7 10" xfId="9074" xr:uid="{54527AA2-9365-4273-A868-517A9A68C1C9}"/>
    <cellStyle name="Normal 5 7 2" xfId="944" xr:uid="{00000000-0005-0000-0000-0000C51B0000}"/>
    <cellStyle name="Normal 5 7 2 2" xfId="3178" xr:uid="{00000000-0005-0000-0000-0000C61B0000}"/>
    <cellStyle name="Normal 5 7 2 2 2" xfId="7400" xr:uid="{00000000-0005-0000-0000-0000C71B0000}"/>
    <cellStyle name="Normal 5 7 2 2 2 2" xfId="32732" xr:uid="{1BD55279-AD66-4E22-B66F-C7B68AD24847}"/>
    <cellStyle name="Normal 5 7 2 2 2 3" xfId="24291" xr:uid="{F4D24584-7447-49CB-85A1-D054EBB071F4}"/>
    <cellStyle name="Normal 5 7 2 2 2 4" xfId="15850" xr:uid="{B8A18ACB-E060-455D-BCB2-D4E2B2BDC514}"/>
    <cellStyle name="Normal 5 7 2 2 3" xfId="28514" xr:uid="{DF24C017-2EBF-42C3-A1A9-558551C4BD9F}"/>
    <cellStyle name="Normal 5 7 2 2 4" xfId="20073" xr:uid="{DEB0F02C-AC03-4A45-A8CC-2D9CAC7F9311}"/>
    <cellStyle name="Normal 5 7 2 2 5" xfId="11632" xr:uid="{220846D0-5131-4D54-9915-C5CC1C01B3E1}"/>
    <cellStyle name="Normal 5 7 2 3" xfId="5255" xr:uid="{00000000-0005-0000-0000-0000C81B0000}"/>
    <cellStyle name="Normal 5 7 2 3 2" xfId="30587" xr:uid="{0561BED6-E366-4505-81D1-28259EBF3ABF}"/>
    <cellStyle name="Normal 5 7 2 3 3" xfId="22146" xr:uid="{E2860743-EFBF-4581-8B18-4352E9190BE1}"/>
    <cellStyle name="Normal 5 7 2 3 4" xfId="13705" xr:uid="{B6A3307C-AAD9-485D-A945-89A73D51FE49}"/>
    <cellStyle name="Normal 5 7 2 4" xfId="26369" xr:uid="{90D328E0-B321-4DFA-B751-A93F56C4A8B7}"/>
    <cellStyle name="Normal 5 7 2 5" xfId="17928" xr:uid="{B1684D12-7804-4765-8ACC-507E5D4AABC4}"/>
    <cellStyle name="Normal 5 7 2 6" xfId="9487" xr:uid="{24DEC11A-CACA-4EB8-8AEC-06F7C6217D1B}"/>
    <cellStyle name="Normal 5 7 3" xfId="1361" xr:uid="{00000000-0005-0000-0000-0000C91B0000}"/>
    <cellStyle name="Normal 5 7 3 2" xfId="3591" xr:uid="{00000000-0005-0000-0000-0000CA1B0000}"/>
    <cellStyle name="Normal 5 7 3 2 2" xfId="7813" xr:uid="{00000000-0005-0000-0000-0000CB1B0000}"/>
    <cellStyle name="Normal 5 7 3 2 2 2" xfId="33145" xr:uid="{FFB0DF14-9747-49FC-A71F-6E712EB8433C}"/>
    <cellStyle name="Normal 5 7 3 2 2 3" xfId="24704" xr:uid="{C189B0FD-AF5E-44CA-89C7-2F9AF9947894}"/>
    <cellStyle name="Normal 5 7 3 2 2 4" xfId="16263" xr:uid="{FF19AF99-15EB-4450-8E8E-8DB5429D9C59}"/>
    <cellStyle name="Normal 5 7 3 2 3" xfId="28927" xr:uid="{2AB26EC5-D1D6-424B-A504-F7EEBEEF6FE8}"/>
    <cellStyle name="Normal 5 7 3 2 4" xfId="20486" xr:uid="{BAF73E95-A2B8-40D8-8010-A428EBAD13B0}"/>
    <cellStyle name="Normal 5 7 3 2 5" xfId="12045" xr:uid="{16471313-B974-40AD-82FC-C47AC6E0ACC2}"/>
    <cellStyle name="Normal 5 7 3 3" xfId="5668" xr:uid="{00000000-0005-0000-0000-0000CC1B0000}"/>
    <cellStyle name="Normal 5 7 3 3 2" xfId="31000" xr:uid="{60F4D04E-D5C3-4A51-816B-A14F85CE3878}"/>
    <cellStyle name="Normal 5 7 3 3 3" xfId="22559" xr:uid="{5D356A1B-6801-41DD-ADD1-6EAD5D69611C}"/>
    <cellStyle name="Normal 5 7 3 3 4" xfId="14118" xr:uid="{5F8B594F-B65D-41F4-AC36-B3B285C5728C}"/>
    <cellStyle name="Normal 5 7 3 4" xfId="26782" xr:uid="{B8C45A76-F6F2-4FFC-86DB-88F2F90C5001}"/>
    <cellStyle name="Normal 5 7 3 5" xfId="18341" xr:uid="{1071D090-393E-4969-9C32-9A3416297DE1}"/>
    <cellStyle name="Normal 5 7 3 6" xfId="9900" xr:uid="{ACE30380-3D57-41FF-8287-83C98B88ADC7}"/>
    <cellStyle name="Normal 5 7 4" xfId="1774" xr:uid="{00000000-0005-0000-0000-0000CD1B0000}"/>
    <cellStyle name="Normal 5 7 4 2" xfId="4004" xr:uid="{00000000-0005-0000-0000-0000CE1B0000}"/>
    <cellStyle name="Normal 5 7 4 2 2" xfId="8226" xr:uid="{00000000-0005-0000-0000-0000CF1B0000}"/>
    <cellStyle name="Normal 5 7 4 2 2 2" xfId="33558" xr:uid="{3027B188-D6B7-4FDA-9D1F-691DA863757E}"/>
    <cellStyle name="Normal 5 7 4 2 2 3" xfId="25117" xr:uid="{60507288-B198-4C5E-872E-1ECA41BFBBDC}"/>
    <cellStyle name="Normal 5 7 4 2 2 4" xfId="16676" xr:uid="{6C1C8863-4425-4A8F-A6E4-95CE7D75E712}"/>
    <cellStyle name="Normal 5 7 4 2 3" xfId="29340" xr:uid="{21D45613-CC76-4557-9F73-0CA9847022FE}"/>
    <cellStyle name="Normal 5 7 4 2 4" xfId="20899" xr:uid="{3BE55525-A61F-4F34-9D04-7D13978E3F59}"/>
    <cellStyle name="Normal 5 7 4 2 5" xfId="12458" xr:uid="{2BBA49F7-1445-4935-96FB-09A71EA75786}"/>
    <cellStyle name="Normal 5 7 4 3" xfId="6081" xr:uid="{00000000-0005-0000-0000-0000D01B0000}"/>
    <cellStyle name="Normal 5 7 4 3 2" xfId="31413" xr:uid="{C5C47AD5-EAD4-44D9-93A3-DE107BA4DF39}"/>
    <cellStyle name="Normal 5 7 4 3 3" xfId="22972" xr:uid="{5685DA58-E2C5-4EA9-98B0-5FB48B78D167}"/>
    <cellStyle name="Normal 5 7 4 3 4" xfId="14531" xr:uid="{BC5FDFD4-F270-427D-B1C4-0FE904AC14AA}"/>
    <cellStyle name="Normal 5 7 4 4" xfId="27195" xr:uid="{BE923F34-F5FD-4DD3-9A7E-3031F565CF24}"/>
    <cellStyle name="Normal 5 7 4 5" xfId="18754" xr:uid="{323ABD39-B037-4584-82B0-1B7B0F55AEA8}"/>
    <cellStyle name="Normal 5 7 4 6" xfId="10313" xr:uid="{8E07CF3E-5FB8-4F43-A431-6CAC6F5D7843}"/>
    <cellStyle name="Normal 5 7 5" xfId="2188" xr:uid="{00000000-0005-0000-0000-0000D11B0000}"/>
    <cellStyle name="Normal 5 7 5 2" xfId="4417" xr:uid="{00000000-0005-0000-0000-0000D21B0000}"/>
    <cellStyle name="Normal 5 7 5 2 2" xfId="8639" xr:uid="{00000000-0005-0000-0000-0000D31B0000}"/>
    <cellStyle name="Normal 5 7 5 2 2 2" xfId="33971" xr:uid="{0115BF60-D39C-43C4-B2D5-1710615B552E}"/>
    <cellStyle name="Normal 5 7 5 2 2 3" xfId="25530" xr:uid="{CFCE9CF8-320E-4BD3-9B67-AC6069456DB3}"/>
    <cellStyle name="Normal 5 7 5 2 2 4" xfId="17089" xr:uid="{1516B981-B855-48DB-ACB2-B296029F87A4}"/>
    <cellStyle name="Normal 5 7 5 2 3" xfId="29753" xr:uid="{3DC11BDA-D063-4F07-8FE6-0EF3C7C3E14D}"/>
    <cellStyle name="Normal 5 7 5 2 4" xfId="21312" xr:uid="{6F8E564C-67BC-46AB-BB9B-1D2CBBAAE319}"/>
    <cellStyle name="Normal 5 7 5 2 5" xfId="12871" xr:uid="{75002DE7-7A02-4AFD-B31A-955D0981ECCA}"/>
    <cellStyle name="Normal 5 7 5 3" xfId="6494" xr:uid="{00000000-0005-0000-0000-0000D41B0000}"/>
    <cellStyle name="Normal 5 7 5 3 2" xfId="31826" xr:uid="{86ECABCA-1D40-4D7C-A69C-59AED89802D5}"/>
    <cellStyle name="Normal 5 7 5 3 3" xfId="23385" xr:uid="{8DC20489-F3F1-45A7-8515-9FAB8376DA2B}"/>
    <cellStyle name="Normal 5 7 5 3 4" xfId="14944" xr:uid="{12D398EB-07E5-4A3A-B784-D8111604B4B8}"/>
    <cellStyle name="Normal 5 7 5 4" xfId="27608" xr:uid="{C339E36E-4BFC-4A66-9874-844C798030FA}"/>
    <cellStyle name="Normal 5 7 5 5" xfId="19167" xr:uid="{2A0BCBF5-153B-4941-A9D7-CC86A03E6865}"/>
    <cellStyle name="Normal 5 7 5 6" xfId="10726" xr:uid="{AFAD1A2C-0AAD-4090-8E7E-18E2B0810D80}"/>
    <cellStyle name="Normal 5 7 6" xfId="2624" xr:uid="{00000000-0005-0000-0000-0000D51B0000}"/>
    <cellStyle name="Normal 5 7 6 2" xfId="6907" xr:uid="{00000000-0005-0000-0000-0000D61B0000}"/>
    <cellStyle name="Normal 5 7 6 2 2" xfId="32239" xr:uid="{BB752E7B-EC0F-4463-808C-26497BD8E9CF}"/>
    <cellStyle name="Normal 5 7 6 2 3" xfId="23798" xr:uid="{8ACEB194-936B-47C9-965E-285C50B729F0}"/>
    <cellStyle name="Normal 5 7 6 2 4" xfId="15357" xr:uid="{5C810BD6-9B52-46FD-894D-8F5398068AC7}"/>
    <cellStyle name="Normal 5 7 6 3" xfId="28021" xr:uid="{987DDB82-59FA-4F21-8E12-179650863A61}"/>
    <cellStyle name="Normal 5 7 6 4" xfId="19580" xr:uid="{E15AECD8-21F6-496F-890E-6AD7B58DC2E0}"/>
    <cellStyle name="Normal 5 7 6 5" xfId="11139" xr:uid="{8A1FEB2A-3349-48BE-86E4-6CD060C459FE}"/>
    <cellStyle name="Normal 5 7 7" xfId="4842" xr:uid="{00000000-0005-0000-0000-0000D71B0000}"/>
    <cellStyle name="Normal 5 7 7 2" xfId="30174" xr:uid="{CD0F7898-8186-4728-8D46-0DE78C716785}"/>
    <cellStyle name="Normal 5 7 7 3" xfId="21733" xr:uid="{23AC55E3-B74A-42C6-B91E-513E1647EF32}"/>
    <cellStyle name="Normal 5 7 7 4" xfId="13292" xr:uid="{64B01932-A2DD-4303-9E5B-2C54BD486D7B}"/>
    <cellStyle name="Normal 5 7 8" xfId="25956" xr:uid="{3F372175-2FC5-423E-9923-9A97121AF6EF}"/>
    <cellStyle name="Normal 5 7 9" xfId="17515" xr:uid="{B2DD5957-7C41-48F5-A9B1-C02E50344769}"/>
    <cellStyle name="Normal 5 8" xfId="880" xr:uid="{00000000-0005-0000-0000-0000D81B0000}"/>
    <cellStyle name="Normal 5 8 2" xfId="3115" xr:uid="{00000000-0005-0000-0000-0000D91B0000}"/>
    <cellStyle name="Normal 5 8 2 2" xfId="7337" xr:uid="{00000000-0005-0000-0000-0000DA1B0000}"/>
    <cellStyle name="Normal 5 8 2 2 2" xfId="32669" xr:uid="{CD7D34DF-68A5-4D9B-B63D-7974776817B8}"/>
    <cellStyle name="Normal 5 8 2 2 3" xfId="24228" xr:uid="{2227A831-03FA-4C3D-9009-5B8F595FBF4E}"/>
    <cellStyle name="Normal 5 8 2 2 4" xfId="15787" xr:uid="{16FE4AE4-B2CB-452C-9430-FC9D3E74F060}"/>
    <cellStyle name="Normal 5 8 2 3" xfId="28451" xr:uid="{45E4A840-8A3E-493B-8984-0B7A03EBD98D}"/>
    <cellStyle name="Normal 5 8 2 4" xfId="20010" xr:uid="{43E5F838-2C61-4BB9-ACB2-1762444D36F5}"/>
    <cellStyle name="Normal 5 8 2 5" xfId="11569" xr:uid="{A2F40B82-3757-4282-A654-A8BC6FDDF93C}"/>
    <cellStyle name="Normal 5 8 3" xfId="5192" xr:uid="{00000000-0005-0000-0000-0000DB1B0000}"/>
    <cellStyle name="Normal 5 8 3 2" xfId="30524" xr:uid="{5D790FC1-5FD9-40B3-B3B9-148A4CCD48E4}"/>
    <cellStyle name="Normal 5 8 3 3" xfId="22083" xr:uid="{9507379C-73B3-4DA5-A3D8-6F0093FC320A}"/>
    <cellStyle name="Normal 5 8 3 4" xfId="13642" xr:uid="{DDA05979-AA68-459F-852B-EA20CCC2B9CC}"/>
    <cellStyle name="Normal 5 8 4" xfId="26306" xr:uid="{48652E86-0949-4609-BED1-C8CBABE3655E}"/>
    <cellStyle name="Normal 5 8 5" xfId="17865" xr:uid="{DF5B0CCD-23D6-4FE1-BE17-777464F3D217}"/>
    <cellStyle name="Normal 5 8 6" xfId="9424" xr:uid="{4BA9D268-CB3B-4096-BBEF-4DD57D15598C}"/>
    <cellStyle name="Normal 5 9" xfId="1298" xr:uid="{00000000-0005-0000-0000-0000DC1B0000}"/>
    <cellStyle name="Normal 5 9 2" xfId="3528" xr:uid="{00000000-0005-0000-0000-0000DD1B0000}"/>
    <cellStyle name="Normal 5 9 2 2" xfId="7750" xr:uid="{00000000-0005-0000-0000-0000DE1B0000}"/>
    <cellStyle name="Normal 5 9 2 2 2" xfId="33082" xr:uid="{AE3FA6A3-C459-48EB-A657-26BA11C1A4B9}"/>
    <cellStyle name="Normal 5 9 2 2 3" xfId="24641" xr:uid="{0007FC87-B940-4305-AC46-147F8167DF32}"/>
    <cellStyle name="Normal 5 9 2 2 4" xfId="16200" xr:uid="{6E6C0A06-6E46-4BCF-BE05-56ED01D471EA}"/>
    <cellStyle name="Normal 5 9 2 3" xfId="28864" xr:uid="{6D172237-774E-492D-821A-4609C11FA7CD}"/>
    <cellStyle name="Normal 5 9 2 4" xfId="20423" xr:uid="{0D9613C3-C264-475C-BCEF-60A7BE398134}"/>
    <cellStyle name="Normal 5 9 2 5" xfId="11982" xr:uid="{50656A5B-3E9A-44CE-8453-58EB35470282}"/>
    <cellStyle name="Normal 5 9 3" xfId="5605" xr:uid="{00000000-0005-0000-0000-0000DF1B0000}"/>
    <cellStyle name="Normal 5 9 3 2" xfId="30937" xr:uid="{7B7B0B30-8F61-43AA-B751-AA005E887CBA}"/>
    <cellStyle name="Normal 5 9 3 3" xfId="22496" xr:uid="{C3F3F370-DFCA-4A17-9A99-76C949FC7F4C}"/>
    <cellStyle name="Normal 5 9 3 4" xfId="14055" xr:uid="{6AF8A387-7EA5-43CF-90AE-6C26C0CAD897}"/>
    <cellStyle name="Normal 5 9 4" xfId="26719" xr:uid="{F7E7C3B1-26B9-4CE9-BBD3-D7FD376627A0}"/>
    <cellStyle name="Normal 5 9 5" xfId="18278" xr:uid="{092D8697-BABF-4F0F-B910-0B4C85D261D9}"/>
    <cellStyle name="Normal 5 9 6" xfId="9837" xr:uid="{A0E081E0-3D32-404D-B115-E47352031ABD}"/>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2 2 2" xfId="33972" xr:uid="{F8238955-6B96-4E97-A2BE-1D94ECD652CC}"/>
    <cellStyle name="Normal 8 10 2 2 3" xfId="25531" xr:uid="{A372CD4B-CDA6-47B3-AF18-372AEA4FB8B9}"/>
    <cellStyle name="Normal 8 10 2 2 4" xfId="17090" xr:uid="{81966267-89EA-4966-BAF0-441737EACF61}"/>
    <cellStyle name="Normal 8 10 2 3" xfId="29754" xr:uid="{33C22BDF-046F-4F0F-9E49-E1F533FAD643}"/>
    <cellStyle name="Normal 8 10 2 4" xfId="21313" xr:uid="{39EBD087-50FE-4E82-9623-E29BB3773663}"/>
    <cellStyle name="Normal 8 10 2 5" xfId="12872" xr:uid="{7D29EB44-9389-4EF0-A3BC-741DF1F74A14}"/>
    <cellStyle name="Normal 8 10 3" xfId="6495" xr:uid="{00000000-0005-0000-0000-0000EB1B0000}"/>
    <cellStyle name="Normal 8 10 3 2" xfId="31827" xr:uid="{1138F6E5-48FB-4505-AD30-FE5E2D93DA49}"/>
    <cellStyle name="Normal 8 10 3 3" xfId="23386" xr:uid="{0602929C-C99A-402A-87DE-C4BE27FE0809}"/>
    <cellStyle name="Normal 8 10 3 4" xfId="14945" xr:uid="{3A373A31-CF92-40C9-A303-021120FB5F12}"/>
    <cellStyle name="Normal 8 10 4" xfId="27609" xr:uid="{B5D92FED-5890-405E-8C44-D1D24E4E500D}"/>
    <cellStyle name="Normal 8 10 5" xfId="19168" xr:uid="{94381ABF-D75C-4F38-80B3-D75AD6FE8B8E}"/>
    <cellStyle name="Normal 8 10 6" xfId="10727" xr:uid="{5C2BFB8D-350C-40B8-A741-543DED1B4031}"/>
    <cellStyle name="Normal 8 11" xfId="2625" xr:uid="{00000000-0005-0000-0000-0000EC1B0000}"/>
    <cellStyle name="Normal 8 11 2" xfId="6908" xr:uid="{00000000-0005-0000-0000-0000ED1B0000}"/>
    <cellStyle name="Normal 8 11 2 2" xfId="32240" xr:uid="{8C569497-F50F-4FB1-8329-CA0AD6CC63BC}"/>
    <cellStyle name="Normal 8 11 2 3" xfId="23799" xr:uid="{9B44A08B-A4EA-4BAD-9FBA-8E52A377C1A1}"/>
    <cellStyle name="Normal 8 11 2 4" xfId="15358" xr:uid="{E6612BA9-0548-4D9F-BB6E-AD62DBC9A004}"/>
    <cellStyle name="Normal 8 11 3" xfId="28022" xr:uid="{67B8F847-7C8C-48A0-8BBE-2825822E9A61}"/>
    <cellStyle name="Normal 8 11 4" xfId="19581" xr:uid="{D13EC714-8D0C-479C-83DA-8B6C8BFC5E36}"/>
    <cellStyle name="Normal 8 11 5" xfId="11140" xr:uid="{7E37EBFE-3065-4EE2-A279-C2F7802B1CDE}"/>
    <cellStyle name="Normal 8 12" xfId="4843" xr:uid="{00000000-0005-0000-0000-0000EE1B0000}"/>
    <cellStyle name="Normal 8 12 2" xfId="30175" xr:uid="{93518BD2-72A0-46E5-BFAC-6C0AD01E4EA0}"/>
    <cellStyle name="Normal 8 12 3" xfId="21734" xr:uid="{6E2407AD-67F0-40F0-B446-5E1FDEC12791}"/>
    <cellStyle name="Normal 8 12 4" xfId="13293" xr:uid="{ACB2F282-CAC0-4CE1-AC47-7599AA3DD367}"/>
    <cellStyle name="Normal 8 13" xfId="25957" xr:uid="{CFFA41D9-0A45-4BBA-AE6F-CE20DD2DAC79}"/>
    <cellStyle name="Normal 8 14" xfId="17516" xr:uid="{8664A3DC-512E-44D0-AD43-E125B0B0B46E}"/>
    <cellStyle name="Normal 8 15" xfId="9075" xr:uid="{4E8B838E-C5CC-4198-90BE-DB351DED4F5F}"/>
    <cellStyle name="Normal 8 2" xfId="479" xr:uid="{00000000-0005-0000-0000-0000EF1B0000}"/>
    <cellStyle name="Normal 8 2 10" xfId="2626" xr:uid="{00000000-0005-0000-0000-0000F01B0000}"/>
    <cellStyle name="Normal 8 2 10 2" xfId="6909" xr:uid="{00000000-0005-0000-0000-0000F11B0000}"/>
    <cellStyle name="Normal 8 2 10 2 2" xfId="32241" xr:uid="{0CCD88CD-EDFD-4AAF-8979-FCD0E2EEE8F3}"/>
    <cellStyle name="Normal 8 2 10 2 3" xfId="23800" xr:uid="{78B4F943-D10B-4076-B96A-19C5FC85628D}"/>
    <cellStyle name="Normal 8 2 10 2 4" xfId="15359" xr:uid="{64F79BC8-FDCA-441C-ACDC-D4610AA0CD4C}"/>
    <cellStyle name="Normal 8 2 10 3" xfId="28023" xr:uid="{43C50F6B-3E3D-49A3-9AE6-529E5704A41B}"/>
    <cellStyle name="Normal 8 2 10 4" xfId="19582" xr:uid="{F0538F98-2E86-4E96-B3FB-C7136BAC65DD}"/>
    <cellStyle name="Normal 8 2 10 5" xfId="11141" xr:uid="{0BB43575-48A8-46B9-89EC-F54C404A2239}"/>
    <cellStyle name="Normal 8 2 11" xfId="4844" xr:uid="{00000000-0005-0000-0000-0000F21B0000}"/>
    <cellStyle name="Normal 8 2 11 2" xfId="30176" xr:uid="{179F1A90-27D5-46A7-93DB-42F9B4492F3C}"/>
    <cellStyle name="Normal 8 2 11 3" xfId="21735" xr:uid="{4C55C993-2EB7-4DB6-95E4-B79685B11F78}"/>
    <cellStyle name="Normal 8 2 11 4" xfId="13294" xr:uid="{C2D6B8CD-1902-4460-AFB0-B6790A9CE43E}"/>
    <cellStyle name="Normal 8 2 12" xfId="25958" xr:uid="{920220FB-395B-4248-8E1F-E9E2A5C6C8F0}"/>
    <cellStyle name="Normal 8 2 13" xfId="17517" xr:uid="{1BBB246C-E16C-4F23-A069-90C940FDBB64}"/>
    <cellStyle name="Normal 8 2 14" xfId="9076" xr:uid="{97F27CA9-140C-4715-A06A-51C1809930B0}"/>
    <cellStyle name="Normal 8 2 2" xfId="480" xr:uid="{00000000-0005-0000-0000-0000F31B0000}"/>
    <cellStyle name="Normal 8 2 2 10" xfId="4845" xr:uid="{00000000-0005-0000-0000-0000F41B0000}"/>
    <cellStyle name="Normal 8 2 2 10 2" xfId="30177" xr:uid="{2E343308-3CD6-480B-A582-32C2D42391E3}"/>
    <cellStyle name="Normal 8 2 2 10 3" xfId="21736" xr:uid="{12EEDC67-4BF7-4CF3-8B6D-451DC8D43F19}"/>
    <cellStyle name="Normal 8 2 2 10 4" xfId="13295" xr:uid="{823DC373-D7CF-48F7-BAC3-307E068EBE31}"/>
    <cellStyle name="Normal 8 2 2 11" xfId="25959" xr:uid="{73CF5D76-F6A3-471F-834A-2F4E16502995}"/>
    <cellStyle name="Normal 8 2 2 12" xfId="17518" xr:uid="{F303947D-3468-420A-9153-7867BD10C60F}"/>
    <cellStyle name="Normal 8 2 2 13" xfId="9077" xr:uid="{D0701ACC-A291-4C4A-B166-4385471A1028}"/>
    <cellStyle name="Normal 8 2 2 2" xfId="481" xr:uid="{00000000-0005-0000-0000-0000F51B0000}"/>
    <cellStyle name="Normal 8 2 2 2 10" xfId="25960" xr:uid="{B6DA9C6D-0DA6-4F76-8317-4AAC3EE6FC07}"/>
    <cellStyle name="Normal 8 2 2 2 11" xfId="17519" xr:uid="{4ED2C335-3450-4148-AABD-10C3A9B6EFE2}"/>
    <cellStyle name="Normal 8 2 2 2 12" xfId="9078" xr:uid="{9457F41B-C8F9-4D49-B95A-60499E9B9CB6}"/>
    <cellStyle name="Normal 8 2 2 2 2" xfId="482" xr:uid="{00000000-0005-0000-0000-0000F61B0000}"/>
    <cellStyle name="Normal 8 2 2 2 2 10" xfId="17520" xr:uid="{68F77DB3-FBA4-4DF6-B64F-CBEFC7C56794}"/>
    <cellStyle name="Normal 8 2 2 2 2 11" xfId="9079" xr:uid="{3162CECD-2750-46D1-98C2-90A3E05DB4B8}"/>
    <cellStyle name="Normal 8 2 2 2 2 2" xfId="483" xr:uid="{00000000-0005-0000-0000-0000F71B0000}"/>
    <cellStyle name="Normal 8 2 2 2 2 2 10" xfId="9080" xr:uid="{110B5768-4FD1-4C67-8097-2E0519B4A2AC}"/>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2 2 2" xfId="32738" xr:uid="{2F087537-B6CC-430B-BCAB-0258A09FFF85}"/>
    <cellStyle name="Normal 8 2 2 2 2 2 2 2 2 3" xfId="24297" xr:uid="{A5CEC16B-D0FB-4025-80D6-2B4C75247259}"/>
    <cellStyle name="Normal 8 2 2 2 2 2 2 2 2 4" xfId="15856" xr:uid="{B4439CB4-EABF-460A-8312-D14990E81577}"/>
    <cellStyle name="Normal 8 2 2 2 2 2 2 2 3" xfId="28520" xr:uid="{43262726-CC06-447D-8078-0F97A29B293E}"/>
    <cellStyle name="Normal 8 2 2 2 2 2 2 2 4" xfId="20079" xr:uid="{8670BB34-4AA9-4CB5-A55C-D1708873E72F}"/>
    <cellStyle name="Normal 8 2 2 2 2 2 2 2 5" xfId="11638" xr:uid="{8347B8CF-9C2A-4969-AB2D-6F25DF51A83A}"/>
    <cellStyle name="Normal 8 2 2 2 2 2 2 3" xfId="5261" xr:uid="{00000000-0005-0000-0000-0000FB1B0000}"/>
    <cellStyle name="Normal 8 2 2 2 2 2 2 3 2" xfId="30593" xr:uid="{70C6FF64-BFF3-49D6-88E2-6F6235550430}"/>
    <cellStyle name="Normal 8 2 2 2 2 2 2 3 3" xfId="22152" xr:uid="{1E3B2B91-51EA-41F5-9D40-F018694C6FC3}"/>
    <cellStyle name="Normal 8 2 2 2 2 2 2 3 4" xfId="13711" xr:uid="{04CAA6D3-63E8-471C-B514-B04202BD6358}"/>
    <cellStyle name="Normal 8 2 2 2 2 2 2 4" xfId="26375" xr:uid="{A07263D3-31FB-4A05-9B05-92C57737BD6D}"/>
    <cellStyle name="Normal 8 2 2 2 2 2 2 5" xfId="17934" xr:uid="{5CE330D3-7973-416C-AF98-66EBC0E490E3}"/>
    <cellStyle name="Normal 8 2 2 2 2 2 2 6" xfId="9493" xr:uid="{9790A247-B83F-46A4-BF1F-67FB3FED7D8A}"/>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2 2 2" xfId="33151" xr:uid="{BEE9B444-C719-4C79-AAB2-0204FCA86600}"/>
    <cellStyle name="Normal 8 2 2 2 2 2 3 2 2 3" xfId="24710" xr:uid="{A0777343-ABBA-44D2-9EDF-97E96C61B974}"/>
    <cellStyle name="Normal 8 2 2 2 2 2 3 2 2 4" xfId="16269" xr:uid="{B4A0483D-43DB-4AAE-BF97-7C3CF519CE5E}"/>
    <cellStyle name="Normal 8 2 2 2 2 2 3 2 3" xfId="28933" xr:uid="{F26B8D38-B0D2-437F-814E-64B9B6151D77}"/>
    <cellStyle name="Normal 8 2 2 2 2 2 3 2 4" xfId="20492" xr:uid="{7248CB55-3C39-49F8-A4AB-37B3905EF956}"/>
    <cellStyle name="Normal 8 2 2 2 2 2 3 2 5" xfId="12051" xr:uid="{1A33C59C-D6C2-497F-A0B4-690B47E58577}"/>
    <cellStyle name="Normal 8 2 2 2 2 2 3 3" xfId="5674" xr:uid="{00000000-0005-0000-0000-0000FF1B0000}"/>
    <cellStyle name="Normal 8 2 2 2 2 2 3 3 2" xfId="31006" xr:uid="{1FEB46B8-A28E-410B-BE56-055D9BF79669}"/>
    <cellStyle name="Normal 8 2 2 2 2 2 3 3 3" xfId="22565" xr:uid="{21F56B3E-E036-4860-9415-1AADE6A2057D}"/>
    <cellStyle name="Normal 8 2 2 2 2 2 3 3 4" xfId="14124" xr:uid="{6711B28D-470A-4533-A220-C46D81CF8833}"/>
    <cellStyle name="Normal 8 2 2 2 2 2 3 4" xfId="26788" xr:uid="{63D9DE6F-A005-40E9-8DE9-B98026935A38}"/>
    <cellStyle name="Normal 8 2 2 2 2 2 3 5" xfId="18347" xr:uid="{A1451D1E-C3A7-48DD-8ED6-DF55BCA19E74}"/>
    <cellStyle name="Normal 8 2 2 2 2 2 3 6" xfId="9906" xr:uid="{6AC748A1-2D40-46C9-B553-EBD044E6704E}"/>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2 2 2" xfId="33564" xr:uid="{50A8B43C-4C36-462B-A750-29816E1A5F97}"/>
    <cellStyle name="Normal 8 2 2 2 2 2 4 2 2 3" xfId="25123" xr:uid="{C903502E-2388-4493-B0A4-97A89A7A8B4F}"/>
    <cellStyle name="Normal 8 2 2 2 2 2 4 2 2 4" xfId="16682" xr:uid="{F762DA5C-C9A8-4F08-A9AC-D350CF034F82}"/>
    <cellStyle name="Normal 8 2 2 2 2 2 4 2 3" xfId="29346" xr:uid="{C55EA86F-7049-4B19-B085-C783A54EF019}"/>
    <cellStyle name="Normal 8 2 2 2 2 2 4 2 4" xfId="20905" xr:uid="{AC149483-C53E-4304-AD91-0D3F1984EAD7}"/>
    <cellStyle name="Normal 8 2 2 2 2 2 4 2 5" xfId="12464" xr:uid="{ECA78B03-DC22-41A7-9100-EB5C51230256}"/>
    <cellStyle name="Normal 8 2 2 2 2 2 4 3" xfId="6087" xr:uid="{00000000-0005-0000-0000-0000031C0000}"/>
    <cellStyle name="Normal 8 2 2 2 2 2 4 3 2" xfId="31419" xr:uid="{2FB2BEB8-C51C-4A12-B5FB-227EEDAF5014}"/>
    <cellStyle name="Normal 8 2 2 2 2 2 4 3 3" xfId="22978" xr:uid="{B920A77B-7079-4E78-BCD9-9F2CF2E2E080}"/>
    <cellStyle name="Normal 8 2 2 2 2 2 4 3 4" xfId="14537" xr:uid="{175E5A05-A2E0-406E-BA12-6D572D3C8CF8}"/>
    <cellStyle name="Normal 8 2 2 2 2 2 4 4" xfId="27201" xr:uid="{248C0191-8171-4038-A5E8-A0776A915704}"/>
    <cellStyle name="Normal 8 2 2 2 2 2 4 5" xfId="18760" xr:uid="{2F5358D3-3440-40BD-8222-2CE07069DC10}"/>
    <cellStyle name="Normal 8 2 2 2 2 2 4 6" xfId="10319" xr:uid="{82A67A1E-5B48-4334-BFB2-6C8FEF1970C9}"/>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2 2 2" xfId="33977" xr:uid="{02BD2B64-A99F-44A2-9FB4-BCA5052E19C1}"/>
    <cellStyle name="Normal 8 2 2 2 2 2 5 2 2 3" xfId="25536" xr:uid="{263ABD3A-05D5-4CB6-96BC-EA93B40301A2}"/>
    <cellStyle name="Normal 8 2 2 2 2 2 5 2 2 4" xfId="17095" xr:uid="{EB567363-EF1A-4DF8-9E2E-1098B0CB9AE7}"/>
    <cellStyle name="Normal 8 2 2 2 2 2 5 2 3" xfId="29759" xr:uid="{D9B92A9A-0B95-49E4-8A9E-D58A60B6826C}"/>
    <cellStyle name="Normal 8 2 2 2 2 2 5 2 4" xfId="21318" xr:uid="{5A20674B-8F5A-4B9E-AF36-3E2C6A720749}"/>
    <cellStyle name="Normal 8 2 2 2 2 2 5 2 5" xfId="12877" xr:uid="{8DABAF03-CB13-4DA4-892D-1AED608D439A}"/>
    <cellStyle name="Normal 8 2 2 2 2 2 5 3" xfId="6500" xr:uid="{00000000-0005-0000-0000-0000071C0000}"/>
    <cellStyle name="Normal 8 2 2 2 2 2 5 3 2" xfId="31832" xr:uid="{4C656506-12F5-4B86-895F-8B015C347F61}"/>
    <cellStyle name="Normal 8 2 2 2 2 2 5 3 3" xfId="23391" xr:uid="{032C9843-8188-435B-BE77-9AD08BAE88BB}"/>
    <cellStyle name="Normal 8 2 2 2 2 2 5 3 4" xfId="14950" xr:uid="{80BA5CD6-D74A-4375-AD4A-B050996A8373}"/>
    <cellStyle name="Normal 8 2 2 2 2 2 5 4" xfId="27614" xr:uid="{1FDC92BF-7E54-4DF9-BEC1-CF734C66FA34}"/>
    <cellStyle name="Normal 8 2 2 2 2 2 5 5" xfId="19173" xr:uid="{5B294590-7052-47D5-8914-50D3B6914724}"/>
    <cellStyle name="Normal 8 2 2 2 2 2 5 6" xfId="10732" xr:uid="{97952D83-88B2-4DF6-8ED8-EA19CC9513F9}"/>
    <cellStyle name="Normal 8 2 2 2 2 2 6" xfId="2630" xr:uid="{00000000-0005-0000-0000-0000081C0000}"/>
    <cellStyle name="Normal 8 2 2 2 2 2 6 2" xfId="6913" xr:uid="{00000000-0005-0000-0000-0000091C0000}"/>
    <cellStyle name="Normal 8 2 2 2 2 2 6 2 2" xfId="32245" xr:uid="{944E47B3-6B76-498C-9454-A6B28EF0A864}"/>
    <cellStyle name="Normal 8 2 2 2 2 2 6 2 3" xfId="23804" xr:uid="{1224545F-B1BD-4E4A-AAA9-99B382F7DC53}"/>
    <cellStyle name="Normal 8 2 2 2 2 2 6 2 4" xfId="15363" xr:uid="{FEDC6A39-EF21-473B-9528-33E4F7E48715}"/>
    <cellStyle name="Normal 8 2 2 2 2 2 6 3" xfId="28027" xr:uid="{CDACF0CF-ACFF-4504-8FBC-DE7F44890AB5}"/>
    <cellStyle name="Normal 8 2 2 2 2 2 6 4" xfId="19586" xr:uid="{AA631D0A-7D7A-453F-A6D0-AA7A87BEE82B}"/>
    <cellStyle name="Normal 8 2 2 2 2 2 6 5" xfId="11145" xr:uid="{2D84FB85-EC0B-48EF-B35C-F6D292EE3706}"/>
    <cellStyle name="Normal 8 2 2 2 2 2 7" xfId="4848" xr:uid="{00000000-0005-0000-0000-00000A1C0000}"/>
    <cellStyle name="Normal 8 2 2 2 2 2 7 2" xfId="30180" xr:uid="{F5F5A24E-3082-4805-9A28-E15E13FD93E7}"/>
    <cellStyle name="Normal 8 2 2 2 2 2 7 3" xfId="21739" xr:uid="{4BB0EBAC-8C08-4CB4-8907-2E37E083B6F2}"/>
    <cellStyle name="Normal 8 2 2 2 2 2 7 4" xfId="13298" xr:uid="{E5741938-2121-4714-BC66-EF27F001B7EA}"/>
    <cellStyle name="Normal 8 2 2 2 2 2 8" xfId="25962" xr:uid="{6C28E29A-459A-403A-B723-F6DEA50A195C}"/>
    <cellStyle name="Normal 8 2 2 2 2 2 9" xfId="17521" xr:uid="{CC93D2B0-DE7A-40B5-BBE5-1FA89A7DC24B}"/>
    <cellStyle name="Normal 8 2 2 2 2 3" xfId="949" xr:uid="{00000000-0005-0000-0000-00000B1C0000}"/>
    <cellStyle name="Normal 8 2 2 2 2 3 2" xfId="3183" xr:uid="{00000000-0005-0000-0000-00000C1C0000}"/>
    <cellStyle name="Normal 8 2 2 2 2 3 2 2" xfId="7405" xr:uid="{00000000-0005-0000-0000-00000D1C0000}"/>
    <cellStyle name="Normal 8 2 2 2 2 3 2 2 2" xfId="32737" xr:uid="{B1036AC8-9841-45FE-8642-882ECE000129}"/>
    <cellStyle name="Normal 8 2 2 2 2 3 2 2 3" xfId="24296" xr:uid="{01AF3621-57A8-41F6-9527-B770311AC34D}"/>
    <cellStyle name="Normal 8 2 2 2 2 3 2 2 4" xfId="15855" xr:uid="{7A32FF0D-C48D-4F81-BD7D-93A825C542A9}"/>
    <cellStyle name="Normal 8 2 2 2 2 3 2 3" xfId="28519" xr:uid="{178BEA23-9833-4256-A59D-633761B82688}"/>
    <cellStyle name="Normal 8 2 2 2 2 3 2 4" xfId="20078" xr:uid="{C074FBB8-EA0A-4122-B350-84D1FDB20C95}"/>
    <cellStyle name="Normal 8 2 2 2 2 3 2 5" xfId="11637" xr:uid="{9BF13362-A9DB-4B22-9588-08EAE3DE61CC}"/>
    <cellStyle name="Normal 8 2 2 2 2 3 3" xfId="5260" xr:uid="{00000000-0005-0000-0000-00000E1C0000}"/>
    <cellStyle name="Normal 8 2 2 2 2 3 3 2" xfId="30592" xr:uid="{12D29C43-31F5-441B-972D-7EA73D1E5E1F}"/>
    <cellStyle name="Normal 8 2 2 2 2 3 3 3" xfId="22151" xr:uid="{461BB313-1BE2-45FD-9A42-3B5F4E76280C}"/>
    <cellStyle name="Normal 8 2 2 2 2 3 3 4" xfId="13710" xr:uid="{E087F9CE-A148-4822-92FA-B9ED68916A4B}"/>
    <cellStyle name="Normal 8 2 2 2 2 3 4" xfId="26374" xr:uid="{241E9593-D19D-482E-9A33-E87E8D1920A8}"/>
    <cellStyle name="Normal 8 2 2 2 2 3 5" xfId="17933" xr:uid="{6AD21E15-4337-4BC8-B07D-55A25AF3AF9B}"/>
    <cellStyle name="Normal 8 2 2 2 2 3 6" xfId="9492" xr:uid="{8322D709-AE2B-49F5-BB3D-D0F07656A4DC}"/>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2 2 2" xfId="33150" xr:uid="{AC0C8139-655F-45C4-B17B-BF3810F64CC5}"/>
    <cellStyle name="Normal 8 2 2 2 2 4 2 2 3" xfId="24709" xr:uid="{13D69818-8707-48CB-8C80-59A315C8E2FC}"/>
    <cellStyle name="Normal 8 2 2 2 2 4 2 2 4" xfId="16268" xr:uid="{5BA23725-21E4-4C54-B317-832B62BEC6C1}"/>
    <cellStyle name="Normal 8 2 2 2 2 4 2 3" xfId="28932" xr:uid="{68A409D7-D1BE-403C-A345-5B2CE6111198}"/>
    <cellStyle name="Normal 8 2 2 2 2 4 2 4" xfId="20491" xr:uid="{C3BF8245-85BE-496D-99D4-62E00144A8D9}"/>
    <cellStyle name="Normal 8 2 2 2 2 4 2 5" xfId="12050" xr:uid="{0BF6AE1B-4ECB-4F1E-95A5-B21E02BD5588}"/>
    <cellStyle name="Normal 8 2 2 2 2 4 3" xfId="5673" xr:uid="{00000000-0005-0000-0000-0000121C0000}"/>
    <cellStyle name="Normal 8 2 2 2 2 4 3 2" xfId="31005" xr:uid="{3CB23011-A7BB-444D-A0FF-705612FC1484}"/>
    <cellStyle name="Normal 8 2 2 2 2 4 3 3" xfId="22564" xr:uid="{A3964BE9-6E07-4243-A465-E637B394305B}"/>
    <cellStyle name="Normal 8 2 2 2 2 4 3 4" xfId="14123" xr:uid="{DEB79A44-244B-41FE-9491-76618F3A3A55}"/>
    <cellStyle name="Normal 8 2 2 2 2 4 4" xfId="26787" xr:uid="{F8F51383-86D6-4A45-BB55-D6A28DE8A87F}"/>
    <cellStyle name="Normal 8 2 2 2 2 4 5" xfId="18346" xr:uid="{42EB654A-5721-455B-AEFD-CB1530B43BCC}"/>
    <cellStyle name="Normal 8 2 2 2 2 4 6" xfId="9905" xr:uid="{DCF8B991-1FB5-45F1-9293-F61C82C2B2D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2 2 2" xfId="33563" xr:uid="{91FE23E5-44FC-458E-B53E-4F30A8863A84}"/>
    <cellStyle name="Normal 8 2 2 2 2 5 2 2 3" xfId="25122" xr:uid="{ED591228-3F08-4C47-9417-771E99DC130B}"/>
    <cellStyle name="Normal 8 2 2 2 2 5 2 2 4" xfId="16681" xr:uid="{729E52EE-1A65-4FB6-A279-4FAB8C737848}"/>
    <cellStyle name="Normal 8 2 2 2 2 5 2 3" xfId="29345" xr:uid="{153B7E97-1D65-4C8D-BFE5-2E6829BDD18E}"/>
    <cellStyle name="Normal 8 2 2 2 2 5 2 4" xfId="20904" xr:uid="{76EC5D81-08D5-420C-A392-F37788672B85}"/>
    <cellStyle name="Normal 8 2 2 2 2 5 2 5" xfId="12463" xr:uid="{67E426CC-8B87-4543-BCD6-F4F07F4EFCDC}"/>
    <cellStyle name="Normal 8 2 2 2 2 5 3" xfId="6086" xr:uid="{00000000-0005-0000-0000-0000161C0000}"/>
    <cellStyle name="Normal 8 2 2 2 2 5 3 2" xfId="31418" xr:uid="{BA4374CA-F8CF-4BF5-8538-7E4C95FA36F9}"/>
    <cellStyle name="Normal 8 2 2 2 2 5 3 3" xfId="22977" xr:uid="{F2CB6989-7DE2-4726-B2F8-D01C1375DBF5}"/>
    <cellStyle name="Normal 8 2 2 2 2 5 3 4" xfId="14536" xr:uid="{4B311352-8047-4ABD-9024-ABE977905F3D}"/>
    <cellStyle name="Normal 8 2 2 2 2 5 4" xfId="27200" xr:uid="{E48EFAF4-FAA4-47A5-97F7-7F2C3D730C3E}"/>
    <cellStyle name="Normal 8 2 2 2 2 5 5" xfId="18759" xr:uid="{EAFC3923-350C-4D78-855B-DBB29BE463AD}"/>
    <cellStyle name="Normal 8 2 2 2 2 5 6" xfId="10318" xr:uid="{ABDAF652-27AD-409D-82AB-54D4A99E99D1}"/>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2 2 2" xfId="33976" xr:uid="{635D1405-008E-42B0-B4FF-70E2CB8592C3}"/>
    <cellStyle name="Normal 8 2 2 2 2 6 2 2 3" xfId="25535" xr:uid="{6B7C2B9A-BC81-4FFF-BBA4-E4FAF84C8354}"/>
    <cellStyle name="Normal 8 2 2 2 2 6 2 2 4" xfId="17094" xr:uid="{90BE1C67-6B3F-4914-9529-407D1F4DA169}"/>
    <cellStyle name="Normal 8 2 2 2 2 6 2 3" xfId="29758" xr:uid="{73137181-078D-48DE-8AAA-B23FA2ACE87D}"/>
    <cellStyle name="Normal 8 2 2 2 2 6 2 4" xfId="21317" xr:uid="{0DDF55BE-1E85-4B5F-B6F7-3BDFDD66D793}"/>
    <cellStyle name="Normal 8 2 2 2 2 6 2 5" xfId="12876" xr:uid="{5A66BCF4-070E-4CAC-B95F-D3BB5B75B38F}"/>
    <cellStyle name="Normal 8 2 2 2 2 6 3" xfId="6499" xr:uid="{00000000-0005-0000-0000-00001A1C0000}"/>
    <cellStyle name="Normal 8 2 2 2 2 6 3 2" xfId="31831" xr:uid="{ED47F430-D40B-46C2-90EF-3509C4A78D6B}"/>
    <cellStyle name="Normal 8 2 2 2 2 6 3 3" xfId="23390" xr:uid="{AA048D79-B79B-45C4-B629-997A6134E1DA}"/>
    <cellStyle name="Normal 8 2 2 2 2 6 3 4" xfId="14949" xr:uid="{1AF99728-C778-49BA-96B3-EFDDB1502C7A}"/>
    <cellStyle name="Normal 8 2 2 2 2 6 4" xfId="27613" xr:uid="{68FCF3F7-3BE4-4D74-A88F-31D4891D486C}"/>
    <cellStyle name="Normal 8 2 2 2 2 6 5" xfId="19172" xr:uid="{879F0734-541B-4D3E-895C-58A554E5D60E}"/>
    <cellStyle name="Normal 8 2 2 2 2 6 6" xfId="10731" xr:uid="{2F71B3BA-6283-4A25-BEAE-B97A0F92A655}"/>
    <cellStyle name="Normal 8 2 2 2 2 7" xfId="2629" xr:uid="{00000000-0005-0000-0000-00001B1C0000}"/>
    <cellStyle name="Normal 8 2 2 2 2 7 2" xfId="6912" xr:uid="{00000000-0005-0000-0000-00001C1C0000}"/>
    <cellStyle name="Normal 8 2 2 2 2 7 2 2" xfId="32244" xr:uid="{E4E247D0-20B9-4844-AA24-D5C27294D9FA}"/>
    <cellStyle name="Normal 8 2 2 2 2 7 2 3" xfId="23803" xr:uid="{A31B6C78-658F-4FCA-B514-A7A1DF184BA9}"/>
    <cellStyle name="Normal 8 2 2 2 2 7 2 4" xfId="15362" xr:uid="{DC04B613-F2E1-40D5-AE58-2E91C79580F7}"/>
    <cellStyle name="Normal 8 2 2 2 2 7 3" xfId="28026" xr:uid="{BD89ADDF-33D4-47F8-9277-9A7D7F55C97B}"/>
    <cellStyle name="Normal 8 2 2 2 2 7 4" xfId="19585" xr:uid="{60800300-EAE9-455B-A129-6AC6988F3981}"/>
    <cellStyle name="Normal 8 2 2 2 2 7 5" xfId="11144" xr:uid="{8AF56765-0776-43F4-80D6-B6B335D8FF77}"/>
    <cellStyle name="Normal 8 2 2 2 2 8" xfId="4847" xr:uid="{00000000-0005-0000-0000-00001D1C0000}"/>
    <cellStyle name="Normal 8 2 2 2 2 8 2" xfId="30179" xr:uid="{1E51327E-8049-450D-86EF-EE3119F8F8E4}"/>
    <cellStyle name="Normal 8 2 2 2 2 8 3" xfId="21738" xr:uid="{522E24B9-D94C-4F65-90F6-3CFD8C3B6765}"/>
    <cellStyle name="Normal 8 2 2 2 2 8 4" xfId="13297" xr:uid="{0AE7F83F-342F-40F9-89DC-12EA1FDAD1A7}"/>
    <cellStyle name="Normal 8 2 2 2 2 9" xfId="25961" xr:uid="{79D529E2-CC3F-498F-BD53-68BD60679C2D}"/>
    <cellStyle name="Normal 8 2 2 2 3" xfId="484" xr:uid="{00000000-0005-0000-0000-00001E1C0000}"/>
    <cellStyle name="Normal 8 2 2 2 3 10" xfId="9081" xr:uid="{FA32A6F9-C5B3-431D-94B2-041AFE9E7C9A}"/>
    <cellStyle name="Normal 8 2 2 2 3 2" xfId="951" xr:uid="{00000000-0005-0000-0000-00001F1C0000}"/>
    <cellStyle name="Normal 8 2 2 2 3 2 2" xfId="3185" xr:uid="{00000000-0005-0000-0000-0000201C0000}"/>
    <cellStyle name="Normal 8 2 2 2 3 2 2 2" xfId="7407" xr:uid="{00000000-0005-0000-0000-0000211C0000}"/>
    <cellStyle name="Normal 8 2 2 2 3 2 2 2 2" xfId="32739" xr:uid="{B52523D1-015B-4F1D-ABE7-B128C489139B}"/>
    <cellStyle name="Normal 8 2 2 2 3 2 2 2 3" xfId="24298" xr:uid="{FBC7AADD-B979-4515-ABD2-C2CBD49FFAF8}"/>
    <cellStyle name="Normal 8 2 2 2 3 2 2 2 4" xfId="15857" xr:uid="{CB6CB02B-56C3-4F31-AD4F-0571B58F0283}"/>
    <cellStyle name="Normal 8 2 2 2 3 2 2 3" xfId="28521" xr:uid="{6D834DF4-D435-4B6D-A59D-C60CE47812AB}"/>
    <cellStyle name="Normal 8 2 2 2 3 2 2 4" xfId="20080" xr:uid="{547A1A0C-EBBD-455C-A790-67E57650615D}"/>
    <cellStyle name="Normal 8 2 2 2 3 2 2 5" xfId="11639" xr:uid="{2283D67E-5F00-42F6-BCA5-63F2CA0D5DD0}"/>
    <cellStyle name="Normal 8 2 2 2 3 2 3" xfId="5262" xr:uid="{00000000-0005-0000-0000-0000221C0000}"/>
    <cellStyle name="Normal 8 2 2 2 3 2 3 2" xfId="30594" xr:uid="{DC298D40-AD87-466D-8C3B-8A852A34E28E}"/>
    <cellStyle name="Normal 8 2 2 2 3 2 3 3" xfId="22153" xr:uid="{1952DADF-56FB-4ABA-B2A5-5C296FAB3540}"/>
    <cellStyle name="Normal 8 2 2 2 3 2 3 4" xfId="13712" xr:uid="{FC30CC8A-9D6A-4430-8B67-5DA42B268547}"/>
    <cellStyle name="Normal 8 2 2 2 3 2 4" xfId="26376" xr:uid="{0C334B30-1461-4F8A-B136-97D151C341C1}"/>
    <cellStyle name="Normal 8 2 2 2 3 2 5" xfId="17935" xr:uid="{8188AA8C-AAB4-42E3-BC94-7CE1AC28F9C6}"/>
    <cellStyle name="Normal 8 2 2 2 3 2 6" xfId="9494" xr:uid="{71FFAB93-D482-4CBA-8F98-084B1822C7AE}"/>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2 2 2" xfId="33152" xr:uid="{8564F28F-E889-4D4E-98F8-3CCC983DD31E}"/>
    <cellStyle name="Normal 8 2 2 2 3 3 2 2 3" xfId="24711" xr:uid="{7554BE60-25AB-49EE-B0AF-08B4D7C0D925}"/>
    <cellStyle name="Normal 8 2 2 2 3 3 2 2 4" xfId="16270" xr:uid="{D0E9E95C-E166-430F-A123-1CB384510107}"/>
    <cellStyle name="Normal 8 2 2 2 3 3 2 3" xfId="28934" xr:uid="{C81A3293-A02A-42D6-B3AE-36475008D2B9}"/>
    <cellStyle name="Normal 8 2 2 2 3 3 2 4" xfId="20493" xr:uid="{32E1B418-7468-49B8-9448-FAC0C4831298}"/>
    <cellStyle name="Normal 8 2 2 2 3 3 2 5" xfId="12052" xr:uid="{ABF478FD-49EF-4B1F-87E3-2DA3084D9899}"/>
    <cellStyle name="Normal 8 2 2 2 3 3 3" xfId="5675" xr:uid="{00000000-0005-0000-0000-0000261C0000}"/>
    <cellStyle name="Normal 8 2 2 2 3 3 3 2" xfId="31007" xr:uid="{5389AB37-AEDC-45FF-B9E1-452F24FAE79F}"/>
    <cellStyle name="Normal 8 2 2 2 3 3 3 3" xfId="22566" xr:uid="{647C998B-009D-46C4-BAB9-30DE0AF9F97B}"/>
    <cellStyle name="Normal 8 2 2 2 3 3 3 4" xfId="14125" xr:uid="{D06D7468-7142-456D-83F5-6C668D779207}"/>
    <cellStyle name="Normal 8 2 2 2 3 3 4" xfId="26789" xr:uid="{D3A24BF8-16FD-4640-8C1C-C72E88836BCF}"/>
    <cellStyle name="Normal 8 2 2 2 3 3 5" xfId="18348" xr:uid="{92BA4E66-8F5E-406D-AF40-BC165A114BF1}"/>
    <cellStyle name="Normal 8 2 2 2 3 3 6" xfId="9907" xr:uid="{DEC90827-0556-457B-B506-40810FF80FE1}"/>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2 2 2" xfId="33565" xr:uid="{47006B9F-BA51-4D44-AE77-48EDF6FBD941}"/>
    <cellStyle name="Normal 8 2 2 2 3 4 2 2 3" xfId="25124" xr:uid="{A7651FF0-E990-41EC-B42A-330011941318}"/>
    <cellStyle name="Normal 8 2 2 2 3 4 2 2 4" xfId="16683" xr:uid="{AB4C6A55-BF19-47A5-B090-1836BE6611B1}"/>
    <cellStyle name="Normal 8 2 2 2 3 4 2 3" xfId="29347" xr:uid="{9E7798E4-5C8F-4888-A6F5-DBCDA07624D4}"/>
    <cellStyle name="Normal 8 2 2 2 3 4 2 4" xfId="20906" xr:uid="{06EC2EFF-B04D-4EF8-9B12-374FE7EDF353}"/>
    <cellStyle name="Normal 8 2 2 2 3 4 2 5" xfId="12465" xr:uid="{E50A6972-D7A8-4510-8AA6-AE1F9874775F}"/>
    <cellStyle name="Normal 8 2 2 2 3 4 3" xfId="6088" xr:uid="{00000000-0005-0000-0000-00002A1C0000}"/>
    <cellStyle name="Normal 8 2 2 2 3 4 3 2" xfId="31420" xr:uid="{E9BD0CD3-CB09-40DF-92DA-5DAA34D1A91D}"/>
    <cellStyle name="Normal 8 2 2 2 3 4 3 3" xfId="22979" xr:uid="{C0F42F4E-5CCD-4E19-80AA-6FA553C749D1}"/>
    <cellStyle name="Normal 8 2 2 2 3 4 3 4" xfId="14538" xr:uid="{44F7E37D-5D37-4853-8084-F91D32A59F4A}"/>
    <cellStyle name="Normal 8 2 2 2 3 4 4" xfId="27202" xr:uid="{B96006C5-E543-4B84-80FA-01A2138D57F6}"/>
    <cellStyle name="Normal 8 2 2 2 3 4 5" xfId="18761" xr:uid="{F26561FC-B3A2-4D0F-9C05-4F4C156699A0}"/>
    <cellStyle name="Normal 8 2 2 2 3 4 6" xfId="10320" xr:uid="{7BD3C24B-21E6-4B80-B886-46A66B774DF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2 2 2" xfId="33978" xr:uid="{F7A70E0B-27A5-496E-8593-4A0E2622786F}"/>
    <cellStyle name="Normal 8 2 2 2 3 5 2 2 3" xfId="25537" xr:uid="{854E9A83-5FFA-4FF7-894C-6AB518409EC5}"/>
    <cellStyle name="Normal 8 2 2 2 3 5 2 2 4" xfId="17096" xr:uid="{EB3CAC4D-E418-4D78-BADD-27B7EC82137D}"/>
    <cellStyle name="Normal 8 2 2 2 3 5 2 3" xfId="29760" xr:uid="{A22A129A-0C0C-43FC-9DE7-CE2BEF65336D}"/>
    <cellStyle name="Normal 8 2 2 2 3 5 2 4" xfId="21319" xr:uid="{CF0FE8B1-33C9-403D-BDCF-942EF29E112A}"/>
    <cellStyle name="Normal 8 2 2 2 3 5 2 5" xfId="12878" xr:uid="{8F9C0667-8D7B-4FB6-9EBF-D42EE3874D2C}"/>
    <cellStyle name="Normal 8 2 2 2 3 5 3" xfId="6501" xr:uid="{00000000-0005-0000-0000-00002E1C0000}"/>
    <cellStyle name="Normal 8 2 2 2 3 5 3 2" xfId="31833" xr:uid="{C388AFE2-1202-41C9-9595-5CF3F17F62F6}"/>
    <cellStyle name="Normal 8 2 2 2 3 5 3 3" xfId="23392" xr:uid="{9CBCBF46-9299-4189-9252-2B6D6375562D}"/>
    <cellStyle name="Normal 8 2 2 2 3 5 3 4" xfId="14951" xr:uid="{BDDD3060-485B-42F9-BA78-C3FE0B87D09D}"/>
    <cellStyle name="Normal 8 2 2 2 3 5 4" xfId="27615" xr:uid="{0F1EB313-26AE-41F0-B23E-B7C613923CB9}"/>
    <cellStyle name="Normal 8 2 2 2 3 5 5" xfId="19174" xr:uid="{0943616E-5DD2-45AB-B49D-22700ADC608A}"/>
    <cellStyle name="Normal 8 2 2 2 3 5 6" xfId="10733" xr:uid="{1241757E-4D2E-403C-B566-FB034F6CC832}"/>
    <cellStyle name="Normal 8 2 2 2 3 6" xfId="2631" xr:uid="{00000000-0005-0000-0000-00002F1C0000}"/>
    <cellStyle name="Normal 8 2 2 2 3 6 2" xfId="6914" xr:uid="{00000000-0005-0000-0000-0000301C0000}"/>
    <cellStyle name="Normal 8 2 2 2 3 6 2 2" xfId="32246" xr:uid="{0A24453A-8D9F-488C-A8D0-A88448E0349F}"/>
    <cellStyle name="Normal 8 2 2 2 3 6 2 3" xfId="23805" xr:uid="{73FDF13B-0390-45F6-810E-05B6A5A630EA}"/>
    <cellStyle name="Normal 8 2 2 2 3 6 2 4" xfId="15364" xr:uid="{18A6D7B3-339A-4C42-A273-67F046C66DAA}"/>
    <cellStyle name="Normal 8 2 2 2 3 6 3" xfId="28028" xr:uid="{530FF7F4-DFD9-4341-9FD7-774DE566EC70}"/>
    <cellStyle name="Normal 8 2 2 2 3 6 4" xfId="19587" xr:uid="{BE0D6EAC-E0BF-4DD9-9F32-268A78AAFA4D}"/>
    <cellStyle name="Normal 8 2 2 2 3 6 5" xfId="11146" xr:uid="{DA5FA462-E57E-47F6-A907-39C8F492390F}"/>
    <cellStyle name="Normal 8 2 2 2 3 7" xfId="4849" xr:uid="{00000000-0005-0000-0000-0000311C0000}"/>
    <cellStyle name="Normal 8 2 2 2 3 7 2" xfId="30181" xr:uid="{2E29B10B-2502-42F9-93B5-DF4CE6DC61B3}"/>
    <cellStyle name="Normal 8 2 2 2 3 7 3" xfId="21740" xr:uid="{EF0F251E-1BD2-4B4A-B908-76CDD5DC5FAE}"/>
    <cellStyle name="Normal 8 2 2 2 3 7 4" xfId="13299" xr:uid="{BFCF2CF5-285C-4F0D-A324-C3AEF0A69797}"/>
    <cellStyle name="Normal 8 2 2 2 3 8" xfId="25963" xr:uid="{5CB2842F-7130-4F20-92D8-98366E09686D}"/>
    <cellStyle name="Normal 8 2 2 2 3 9" xfId="17522" xr:uid="{ADDC1906-70DB-4600-9599-39591026FA42}"/>
    <cellStyle name="Normal 8 2 2 2 4" xfId="948" xr:uid="{00000000-0005-0000-0000-0000321C0000}"/>
    <cellStyle name="Normal 8 2 2 2 4 2" xfId="3182" xr:uid="{00000000-0005-0000-0000-0000331C0000}"/>
    <cellStyle name="Normal 8 2 2 2 4 2 2" xfId="7404" xr:uid="{00000000-0005-0000-0000-0000341C0000}"/>
    <cellStyle name="Normal 8 2 2 2 4 2 2 2" xfId="32736" xr:uid="{5ECC9ED5-696B-4CB5-9A04-2EF5796356A5}"/>
    <cellStyle name="Normal 8 2 2 2 4 2 2 3" xfId="24295" xr:uid="{2C516FB4-3106-483B-ABEB-85FEF0632BCC}"/>
    <cellStyle name="Normal 8 2 2 2 4 2 2 4" xfId="15854" xr:uid="{73148DDA-4E28-4AE5-8927-BCCBA322B771}"/>
    <cellStyle name="Normal 8 2 2 2 4 2 3" xfId="28518" xr:uid="{EC7ABCA7-84D4-4FDC-B642-D809FE21CCF2}"/>
    <cellStyle name="Normal 8 2 2 2 4 2 4" xfId="20077" xr:uid="{B007A749-8544-4645-B15D-74F9291033AE}"/>
    <cellStyle name="Normal 8 2 2 2 4 2 5" xfId="11636" xr:uid="{474FCE8E-C5BC-470E-8106-0184371C89CA}"/>
    <cellStyle name="Normal 8 2 2 2 4 3" xfId="5259" xr:uid="{00000000-0005-0000-0000-0000351C0000}"/>
    <cellStyle name="Normal 8 2 2 2 4 3 2" xfId="30591" xr:uid="{E2148EBE-73DE-44C3-AB24-FBE5448E4183}"/>
    <cellStyle name="Normal 8 2 2 2 4 3 3" xfId="22150" xr:uid="{03C9E53E-D005-4A43-8962-BB4F5FD6CDC0}"/>
    <cellStyle name="Normal 8 2 2 2 4 3 4" xfId="13709" xr:uid="{7B702F84-A02A-443A-AAE7-D45A5FF0D48E}"/>
    <cellStyle name="Normal 8 2 2 2 4 4" xfId="26373" xr:uid="{59517104-49AB-4994-9DCD-4BC1AC5AB6DD}"/>
    <cellStyle name="Normal 8 2 2 2 4 5" xfId="17932" xr:uid="{E75F6866-3841-4581-9EAE-9C609A3D64A0}"/>
    <cellStyle name="Normal 8 2 2 2 4 6" xfId="9491" xr:uid="{402F9F08-EA1B-4879-A3C8-685D5362A27B}"/>
    <cellStyle name="Normal 8 2 2 2 5" xfId="1365" xr:uid="{00000000-0005-0000-0000-0000361C0000}"/>
    <cellStyle name="Normal 8 2 2 2 5 2" xfId="3595" xr:uid="{00000000-0005-0000-0000-0000371C0000}"/>
    <cellStyle name="Normal 8 2 2 2 5 2 2" xfId="7817" xr:uid="{00000000-0005-0000-0000-0000381C0000}"/>
    <cellStyle name="Normal 8 2 2 2 5 2 2 2" xfId="33149" xr:uid="{AC2C8377-7A30-4356-BA9D-568FE72659B4}"/>
    <cellStyle name="Normal 8 2 2 2 5 2 2 3" xfId="24708" xr:uid="{DC549231-5E3B-4C70-B605-1AE31BD092F9}"/>
    <cellStyle name="Normal 8 2 2 2 5 2 2 4" xfId="16267" xr:uid="{509FC7D4-1899-4B4A-942E-A3F8CC877002}"/>
    <cellStyle name="Normal 8 2 2 2 5 2 3" xfId="28931" xr:uid="{02974F3C-3E45-43A6-AA87-26229B727EB3}"/>
    <cellStyle name="Normal 8 2 2 2 5 2 4" xfId="20490" xr:uid="{0C72A3FB-ED9F-4698-B48A-07742268B3C3}"/>
    <cellStyle name="Normal 8 2 2 2 5 2 5" xfId="12049" xr:uid="{C1C95AAE-778F-423B-A5C7-B5AE415691FA}"/>
    <cellStyle name="Normal 8 2 2 2 5 3" xfId="5672" xr:uid="{00000000-0005-0000-0000-0000391C0000}"/>
    <cellStyle name="Normal 8 2 2 2 5 3 2" xfId="31004" xr:uid="{CFEF907B-CC97-40D9-8883-FB50B67C37B7}"/>
    <cellStyle name="Normal 8 2 2 2 5 3 3" xfId="22563" xr:uid="{4AD346DC-907E-4EAB-8C81-3EC7E35166BD}"/>
    <cellStyle name="Normal 8 2 2 2 5 3 4" xfId="14122" xr:uid="{4D5AC75F-4647-40F4-8393-F06E57E4EDA1}"/>
    <cellStyle name="Normal 8 2 2 2 5 4" xfId="26786" xr:uid="{19E6F150-F972-456F-BEFA-439C0F1B8A29}"/>
    <cellStyle name="Normal 8 2 2 2 5 5" xfId="18345" xr:uid="{CE714568-79CD-47F1-B081-2C8976EA1CB6}"/>
    <cellStyle name="Normal 8 2 2 2 5 6" xfId="9904" xr:uid="{44191EBB-F91C-465E-B875-8AE7667A7139}"/>
    <cellStyle name="Normal 8 2 2 2 6" xfId="1778" xr:uid="{00000000-0005-0000-0000-00003A1C0000}"/>
    <cellStyle name="Normal 8 2 2 2 6 2" xfId="4008" xr:uid="{00000000-0005-0000-0000-00003B1C0000}"/>
    <cellStyle name="Normal 8 2 2 2 6 2 2" xfId="8230" xr:uid="{00000000-0005-0000-0000-00003C1C0000}"/>
    <cellStyle name="Normal 8 2 2 2 6 2 2 2" xfId="33562" xr:uid="{5EA8375D-B1EA-49D7-8130-D25AE01792AF}"/>
    <cellStyle name="Normal 8 2 2 2 6 2 2 3" xfId="25121" xr:uid="{DC82637F-D763-48B1-BF2A-1132D2F0057E}"/>
    <cellStyle name="Normal 8 2 2 2 6 2 2 4" xfId="16680" xr:uid="{333AF0E1-DB30-466D-9C92-1B2B08F60EB7}"/>
    <cellStyle name="Normal 8 2 2 2 6 2 3" xfId="29344" xr:uid="{039976A4-C133-43BC-B699-11C190CA90AA}"/>
    <cellStyle name="Normal 8 2 2 2 6 2 4" xfId="20903" xr:uid="{055E76C9-7C86-4B0D-B749-EFFDE05BF608}"/>
    <cellStyle name="Normal 8 2 2 2 6 2 5" xfId="12462" xr:uid="{5D6F8BEA-2171-4C92-B165-B1340BCCA837}"/>
    <cellStyle name="Normal 8 2 2 2 6 3" xfId="6085" xr:uid="{00000000-0005-0000-0000-00003D1C0000}"/>
    <cellStyle name="Normal 8 2 2 2 6 3 2" xfId="31417" xr:uid="{D991D27E-15A4-4D09-B235-CECEC786AC8A}"/>
    <cellStyle name="Normal 8 2 2 2 6 3 3" xfId="22976" xr:uid="{9EF39812-89D7-46F4-94D1-89FC0A48AFA7}"/>
    <cellStyle name="Normal 8 2 2 2 6 3 4" xfId="14535" xr:uid="{613A0793-83B6-430D-8857-CF95910AE947}"/>
    <cellStyle name="Normal 8 2 2 2 6 4" xfId="27199" xr:uid="{CC0CD18B-8C56-4370-8DB0-9636BFDFE431}"/>
    <cellStyle name="Normal 8 2 2 2 6 5" xfId="18758" xr:uid="{ACEB91DF-72BC-4714-82FF-8AC3CC43C7C4}"/>
    <cellStyle name="Normal 8 2 2 2 6 6" xfId="10317" xr:uid="{9AD9FFB8-1C42-4768-AD65-D2951DC1C8CA}"/>
    <cellStyle name="Normal 8 2 2 2 7" xfId="2192" xr:uid="{00000000-0005-0000-0000-00003E1C0000}"/>
    <cellStyle name="Normal 8 2 2 2 7 2" xfId="4421" xr:uid="{00000000-0005-0000-0000-00003F1C0000}"/>
    <cellStyle name="Normal 8 2 2 2 7 2 2" xfId="8643" xr:uid="{00000000-0005-0000-0000-0000401C0000}"/>
    <cellStyle name="Normal 8 2 2 2 7 2 2 2" xfId="33975" xr:uid="{0071EB20-412A-41F9-8591-AE4465955262}"/>
    <cellStyle name="Normal 8 2 2 2 7 2 2 3" xfId="25534" xr:uid="{61DE901A-2B10-4CB6-AB37-3B966E731440}"/>
    <cellStyle name="Normal 8 2 2 2 7 2 2 4" xfId="17093" xr:uid="{5AC0177F-8795-43DD-A2CA-E0D082F4A838}"/>
    <cellStyle name="Normal 8 2 2 2 7 2 3" xfId="29757" xr:uid="{75EBEE2D-7085-4EE3-8E3D-6313FF5AD54B}"/>
    <cellStyle name="Normal 8 2 2 2 7 2 4" xfId="21316" xr:uid="{D4DD70AA-DF3A-4379-B20C-9C2FB5D6CF48}"/>
    <cellStyle name="Normal 8 2 2 2 7 2 5" xfId="12875" xr:uid="{77C55A75-5D9C-42C3-BFD2-DA4C2FC43D51}"/>
    <cellStyle name="Normal 8 2 2 2 7 3" xfId="6498" xr:uid="{00000000-0005-0000-0000-0000411C0000}"/>
    <cellStyle name="Normal 8 2 2 2 7 3 2" xfId="31830" xr:uid="{17A6FC4C-3BE0-497D-89A9-149B4E84FBC4}"/>
    <cellStyle name="Normal 8 2 2 2 7 3 3" xfId="23389" xr:uid="{9000C4D2-B862-43BB-BFD7-005B005FDDE5}"/>
    <cellStyle name="Normal 8 2 2 2 7 3 4" xfId="14948" xr:uid="{83FBD430-2B44-454A-87A6-15F48C30749D}"/>
    <cellStyle name="Normal 8 2 2 2 7 4" xfId="27612" xr:uid="{092FF7FC-0989-4809-95A1-F96D9FE0ED25}"/>
    <cellStyle name="Normal 8 2 2 2 7 5" xfId="19171" xr:uid="{15963020-48C6-41F0-866A-FE1CAABCA1F9}"/>
    <cellStyle name="Normal 8 2 2 2 7 6" xfId="10730" xr:uid="{BF3F846D-01A9-4B3B-8657-20A46544F89B}"/>
    <cellStyle name="Normal 8 2 2 2 8" xfId="2628" xr:uid="{00000000-0005-0000-0000-0000421C0000}"/>
    <cellStyle name="Normal 8 2 2 2 8 2" xfId="6911" xr:uid="{00000000-0005-0000-0000-0000431C0000}"/>
    <cellStyle name="Normal 8 2 2 2 8 2 2" xfId="32243" xr:uid="{113F298B-48E4-436D-AD5C-6CA430C282C1}"/>
    <cellStyle name="Normal 8 2 2 2 8 2 3" xfId="23802" xr:uid="{800A1390-C5CA-4137-BF15-384308FE2458}"/>
    <cellStyle name="Normal 8 2 2 2 8 2 4" xfId="15361" xr:uid="{5A431D92-FD0C-4699-AF94-AE4AA555465C}"/>
    <cellStyle name="Normal 8 2 2 2 8 3" xfId="28025" xr:uid="{704CB4B9-FF7F-4D6C-9864-043B9369F549}"/>
    <cellStyle name="Normal 8 2 2 2 8 4" xfId="19584" xr:uid="{3AD0C6F1-5DBC-46A1-98A9-EC2B37C500D1}"/>
    <cellStyle name="Normal 8 2 2 2 8 5" xfId="11143" xr:uid="{C687D6C1-272A-4E08-B530-2C02732EE522}"/>
    <cellStyle name="Normal 8 2 2 2 9" xfId="4846" xr:uid="{00000000-0005-0000-0000-0000441C0000}"/>
    <cellStyle name="Normal 8 2 2 2 9 2" xfId="30178" xr:uid="{42A4B388-A83C-4467-8BF7-2B83955881CF}"/>
    <cellStyle name="Normal 8 2 2 2 9 3" xfId="21737" xr:uid="{5AB47983-83F3-4010-B241-7EFD9EFB6B9E}"/>
    <cellStyle name="Normal 8 2 2 2 9 4" xfId="13296" xr:uid="{D022A2BD-EEB2-4621-9DF7-C988F671DC2D}"/>
    <cellStyle name="Normal 8 2 2 3" xfId="485" xr:uid="{00000000-0005-0000-0000-0000451C0000}"/>
    <cellStyle name="Normal 8 2 2 3 10" xfId="17523" xr:uid="{F760E705-F3BA-4EE8-AE9C-4958C84B7F36}"/>
    <cellStyle name="Normal 8 2 2 3 11" xfId="9082" xr:uid="{4E4DC123-3B18-4A41-86FD-AFD3167E0196}"/>
    <cellStyle name="Normal 8 2 2 3 2" xfId="486" xr:uid="{00000000-0005-0000-0000-0000461C0000}"/>
    <cellStyle name="Normal 8 2 2 3 2 10" xfId="9083" xr:uid="{5CF1F2E3-146C-4803-9E95-AB2323B917A6}"/>
    <cellStyle name="Normal 8 2 2 3 2 2" xfId="953" xr:uid="{00000000-0005-0000-0000-0000471C0000}"/>
    <cellStyle name="Normal 8 2 2 3 2 2 2" xfId="3187" xr:uid="{00000000-0005-0000-0000-0000481C0000}"/>
    <cellStyle name="Normal 8 2 2 3 2 2 2 2" xfId="7409" xr:uid="{00000000-0005-0000-0000-0000491C0000}"/>
    <cellStyle name="Normal 8 2 2 3 2 2 2 2 2" xfId="32741" xr:uid="{4CCC5867-958E-4579-82CC-B5C3C0E1D292}"/>
    <cellStyle name="Normal 8 2 2 3 2 2 2 2 3" xfId="24300" xr:uid="{D6FBA084-1D3C-42EC-8C75-1497D89EC293}"/>
    <cellStyle name="Normal 8 2 2 3 2 2 2 2 4" xfId="15859" xr:uid="{3ECA39D8-B71D-4EB8-BF12-57BDBDD9121D}"/>
    <cellStyle name="Normal 8 2 2 3 2 2 2 3" xfId="28523" xr:uid="{C951ED56-23F4-4BD0-9D3C-E9275D7AA5B7}"/>
    <cellStyle name="Normal 8 2 2 3 2 2 2 4" xfId="20082" xr:uid="{82DED1DE-7CB5-43BF-95D7-0DEF9801523B}"/>
    <cellStyle name="Normal 8 2 2 3 2 2 2 5" xfId="11641" xr:uid="{F5BD1031-A41C-4FDC-8564-44E8EB630184}"/>
    <cellStyle name="Normal 8 2 2 3 2 2 3" xfId="5264" xr:uid="{00000000-0005-0000-0000-00004A1C0000}"/>
    <cellStyle name="Normal 8 2 2 3 2 2 3 2" xfId="30596" xr:uid="{80467553-D66A-45E3-9294-201BE1A24396}"/>
    <cellStyle name="Normal 8 2 2 3 2 2 3 3" xfId="22155" xr:uid="{2D05AE38-D39A-48A3-ABF0-E6DEB31D7760}"/>
    <cellStyle name="Normal 8 2 2 3 2 2 3 4" xfId="13714" xr:uid="{E9E8291B-053C-4ED5-A7AB-08D04260F3DB}"/>
    <cellStyle name="Normal 8 2 2 3 2 2 4" xfId="26378" xr:uid="{679B1BD2-AB6B-4C23-9D00-D931B02CD18D}"/>
    <cellStyle name="Normal 8 2 2 3 2 2 5" xfId="17937" xr:uid="{447B1461-00FA-4C14-9076-0814F2854564}"/>
    <cellStyle name="Normal 8 2 2 3 2 2 6" xfId="9496" xr:uid="{605BDD1D-3D86-4F0A-A292-1DA4A3E3E8E1}"/>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2 2 2" xfId="33154" xr:uid="{A6093558-3725-47B7-B5B0-778FD1A022FC}"/>
    <cellStyle name="Normal 8 2 2 3 2 3 2 2 3" xfId="24713" xr:uid="{C5793856-0669-4312-B6DA-23FC5198D89A}"/>
    <cellStyle name="Normal 8 2 2 3 2 3 2 2 4" xfId="16272" xr:uid="{B08339D8-4757-4712-815A-829811BBC87D}"/>
    <cellStyle name="Normal 8 2 2 3 2 3 2 3" xfId="28936" xr:uid="{4A0BB036-5F95-485A-8DDC-182A0F87745C}"/>
    <cellStyle name="Normal 8 2 2 3 2 3 2 4" xfId="20495" xr:uid="{8A8A8A41-3DEC-493A-B7E7-EC4AC9BC01E5}"/>
    <cellStyle name="Normal 8 2 2 3 2 3 2 5" xfId="12054" xr:uid="{8EF45245-B67C-40AE-98DC-DA699435DF8C}"/>
    <cellStyle name="Normal 8 2 2 3 2 3 3" xfId="5677" xr:uid="{00000000-0005-0000-0000-00004E1C0000}"/>
    <cellStyle name="Normal 8 2 2 3 2 3 3 2" xfId="31009" xr:uid="{AFD58FB9-3D67-4C82-8970-57F3ACBD019F}"/>
    <cellStyle name="Normal 8 2 2 3 2 3 3 3" xfId="22568" xr:uid="{DC91DB63-846A-4D87-B1FD-AEDC6FB347EC}"/>
    <cellStyle name="Normal 8 2 2 3 2 3 3 4" xfId="14127" xr:uid="{569BB9C8-1610-46EC-BBE6-3BC27D65FD27}"/>
    <cellStyle name="Normal 8 2 2 3 2 3 4" xfId="26791" xr:uid="{B1122121-1D3A-40BB-AA32-EB32E940FD27}"/>
    <cellStyle name="Normal 8 2 2 3 2 3 5" xfId="18350" xr:uid="{91659442-348D-4623-95F0-BD69C53D6D21}"/>
    <cellStyle name="Normal 8 2 2 3 2 3 6" xfId="9909" xr:uid="{D5A0ECFF-D209-4555-814A-C88926BBF4C9}"/>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2 2 2" xfId="33567" xr:uid="{385AFC5D-7E17-46E8-ACBD-009CC2DCA75E}"/>
    <cellStyle name="Normal 8 2 2 3 2 4 2 2 3" xfId="25126" xr:uid="{679787D5-6564-48B4-B02F-3EA2BC30B1C4}"/>
    <cellStyle name="Normal 8 2 2 3 2 4 2 2 4" xfId="16685" xr:uid="{9E3A047C-3BAA-4C88-9EED-92568E1C6B35}"/>
    <cellStyle name="Normal 8 2 2 3 2 4 2 3" xfId="29349" xr:uid="{86777E49-D27F-4005-9132-546D4B31F21A}"/>
    <cellStyle name="Normal 8 2 2 3 2 4 2 4" xfId="20908" xr:uid="{6A38288D-BBDE-4A24-9B55-E35520E9CF29}"/>
    <cellStyle name="Normal 8 2 2 3 2 4 2 5" xfId="12467" xr:uid="{A98ABB94-3912-440C-8554-B1AA959362BA}"/>
    <cellStyle name="Normal 8 2 2 3 2 4 3" xfId="6090" xr:uid="{00000000-0005-0000-0000-0000521C0000}"/>
    <cellStyle name="Normal 8 2 2 3 2 4 3 2" xfId="31422" xr:uid="{B927E4FA-EE57-46D9-8457-0D50218B879B}"/>
    <cellStyle name="Normal 8 2 2 3 2 4 3 3" xfId="22981" xr:uid="{88F50159-E606-4D84-98B5-560037BCF939}"/>
    <cellStyle name="Normal 8 2 2 3 2 4 3 4" xfId="14540" xr:uid="{814AB2EC-D429-4FA7-BCC8-745E9BB2F493}"/>
    <cellStyle name="Normal 8 2 2 3 2 4 4" xfId="27204" xr:uid="{8D7B0E1D-7B9D-42CB-A70A-DD28865747F7}"/>
    <cellStyle name="Normal 8 2 2 3 2 4 5" xfId="18763" xr:uid="{88FB7DC9-0F78-49D7-A9C5-A1CA26E88CC9}"/>
    <cellStyle name="Normal 8 2 2 3 2 4 6" xfId="10322" xr:uid="{A6823AD4-E041-46E0-8FAC-74A870262CD3}"/>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2 2 2" xfId="33980" xr:uid="{696CCA62-5D86-48B6-B849-0AAF52490554}"/>
    <cellStyle name="Normal 8 2 2 3 2 5 2 2 3" xfId="25539" xr:uid="{0EE5C680-8FE9-4FED-B9AE-B725D5CBC02C}"/>
    <cellStyle name="Normal 8 2 2 3 2 5 2 2 4" xfId="17098" xr:uid="{9790CE13-5101-4F5D-922F-8E91BC2F6D29}"/>
    <cellStyle name="Normal 8 2 2 3 2 5 2 3" xfId="29762" xr:uid="{B6FB6B72-7288-465C-A060-7C3BCED7269F}"/>
    <cellStyle name="Normal 8 2 2 3 2 5 2 4" xfId="21321" xr:uid="{A88CD95F-1C37-404E-B0E5-623D808167F3}"/>
    <cellStyle name="Normal 8 2 2 3 2 5 2 5" xfId="12880" xr:uid="{950DB96C-55C8-4649-9829-ACD9E42AD53C}"/>
    <cellStyle name="Normal 8 2 2 3 2 5 3" xfId="6503" xr:uid="{00000000-0005-0000-0000-0000561C0000}"/>
    <cellStyle name="Normal 8 2 2 3 2 5 3 2" xfId="31835" xr:uid="{D26EE257-927F-42DA-8048-76502DC3D773}"/>
    <cellStyle name="Normal 8 2 2 3 2 5 3 3" xfId="23394" xr:uid="{F0CFF321-2649-41DC-B6BD-A88303F62E5B}"/>
    <cellStyle name="Normal 8 2 2 3 2 5 3 4" xfId="14953" xr:uid="{DE773BDB-C7BB-400F-A62C-7518689216A4}"/>
    <cellStyle name="Normal 8 2 2 3 2 5 4" xfId="27617" xr:uid="{3B804012-E726-40AA-BF94-9A0CC256F248}"/>
    <cellStyle name="Normal 8 2 2 3 2 5 5" xfId="19176" xr:uid="{43E0F1A1-9E35-4A75-9FDB-A1C2BA9F109D}"/>
    <cellStyle name="Normal 8 2 2 3 2 5 6" xfId="10735" xr:uid="{5A478A82-4D1E-4021-9DB6-9C062A2730FA}"/>
    <cellStyle name="Normal 8 2 2 3 2 6" xfId="2633" xr:uid="{00000000-0005-0000-0000-0000571C0000}"/>
    <cellStyle name="Normal 8 2 2 3 2 6 2" xfId="6916" xr:uid="{00000000-0005-0000-0000-0000581C0000}"/>
    <cellStyle name="Normal 8 2 2 3 2 6 2 2" xfId="32248" xr:uid="{7769C744-CAED-40E0-A04B-9250A641EF33}"/>
    <cellStyle name="Normal 8 2 2 3 2 6 2 3" xfId="23807" xr:uid="{351C300F-A9CF-4E2E-910C-FC55D82C7BC6}"/>
    <cellStyle name="Normal 8 2 2 3 2 6 2 4" xfId="15366" xr:uid="{F4AD429E-5A42-4561-8841-E16E6DAF0937}"/>
    <cellStyle name="Normal 8 2 2 3 2 6 3" xfId="28030" xr:uid="{95314409-85A3-4632-80D6-B67F39C0D726}"/>
    <cellStyle name="Normal 8 2 2 3 2 6 4" xfId="19589" xr:uid="{C76BD755-7858-4CEA-BD95-A0FCDAA4E9C8}"/>
    <cellStyle name="Normal 8 2 2 3 2 6 5" xfId="11148" xr:uid="{AE2A26F5-28C7-4EE5-8CB8-A4628BC5188B}"/>
    <cellStyle name="Normal 8 2 2 3 2 7" xfId="4851" xr:uid="{00000000-0005-0000-0000-0000591C0000}"/>
    <cellStyle name="Normal 8 2 2 3 2 7 2" xfId="30183" xr:uid="{82235C86-06A6-416A-8811-93ED766FD9A5}"/>
    <cellStyle name="Normal 8 2 2 3 2 7 3" xfId="21742" xr:uid="{16684C79-4B98-447C-9BD4-44B9A619D1F5}"/>
    <cellStyle name="Normal 8 2 2 3 2 7 4" xfId="13301" xr:uid="{328BBA5D-D07F-486A-83D7-321A9B851A6B}"/>
    <cellStyle name="Normal 8 2 2 3 2 8" xfId="25965" xr:uid="{378C9DAC-7557-4A1A-A71F-7AC4985EF08F}"/>
    <cellStyle name="Normal 8 2 2 3 2 9" xfId="17524" xr:uid="{374E375E-8345-4A53-AEDA-44750C93CD5A}"/>
    <cellStyle name="Normal 8 2 2 3 3" xfId="952" xr:uid="{00000000-0005-0000-0000-00005A1C0000}"/>
    <cellStyle name="Normal 8 2 2 3 3 2" xfId="3186" xr:uid="{00000000-0005-0000-0000-00005B1C0000}"/>
    <cellStyle name="Normal 8 2 2 3 3 2 2" xfId="7408" xr:uid="{00000000-0005-0000-0000-00005C1C0000}"/>
    <cellStyle name="Normal 8 2 2 3 3 2 2 2" xfId="32740" xr:uid="{FCFFB2D3-847F-452E-B10C-5456391B8D12}"/>
    <cellStyle name="Normal 8 2 2 3 3 2 2 3" xfId="24299" xr:uid="{09C57098-C20D-40FD-9B75-CB511FF12FC0}"/>
    <cellStyle name="Normal 8 2 2 3 3 2 2 4" xfId="15858" xr:uid="{9AFC558B-1F42-4250-BAEF-7B592A2E1028}"/>
    <cellStyle name="Normal 8 2 2 3 3 2 3" xfId="28522" xr:uid="{6266BE6D-49F5-4225-A4CC-8E19B2FF9530}"/>
    <cellStyle name="Normal 8 2 2 3 3 2 4" xfId="20081" xr:uid="{E06E23AD-6495-484A-AB76-7D341759E644}"/>
    <cellStyle name="Normal 8 2 2 3 3 2 5" xfId="11640" xr:uid="{D984A283-6F86-41A2-8B06-B7782CF471FD}"/>
    <cellStyle name="Normal 8 2 2 3 3 3" xfId="5263" xr:uid="{00000000-0005-0000-0000-00005D1C0000}"/>
    <cellStyle name="Normal 8 2 2 3 3 3 2" xfId="30595" xr:uid="{E47D2ED9-270D-43DA-89CA-9A821CC98302}"/>
    <cellStyle name="Normal 8 2 2 3 3 3 3" xfId="22154" xr:uid="{18B338A3-5119-4016-BD98-CC117CA76458}"/>
    <cellStyle name="Normal 8 2 2 3 3 3 4" xfId="13713" xr:uid="{A66616CD-1E36-4D50-BA6A-5B02709ED029}"/>
    <cellStyle name="Normal 8 2 2 3 3 4" xfId="26377" xr:uid="{D0146135-F935-4AB2-9CD4-E5547A411B1F}"/>
    <cellStyle name="Normal 8 2 2 3 3 5" xfId="17936" xr:uid="{D4E4CF53-1161-47E0-9DA9-12DBED3AE627}"/>
    <cellStyle name="Normal 8 2 2 3 3 6" xfId="9495" xr:uid="{B511C3C0-29D7-4BBD-BE86-E4C09FF03598}"/>
    <cellStyle name="Normal 8 2 2 3 4" xfId="1369" xr:uid="{00000000-0005-0000-0000-00005E1C0000}"/>
    <cellStyle name="Normal 8 2 2 3 4 2" xfId="3599" xr:uid="{00000000-0005-0000-0000-00005F1C0000}"/>
    <cellStyle name="Normal 8 2 2 3 4 2 2" xfId="7821" xr:uid="{00000000-0005-0000-0000-0000601C0000}"/>
    <cellStyle name="Normal 8 2 2 3 4 2 2 2" xfId="33153" xr:uid="{CC9D5ED3-D32D-4BB7-AC47-06C28935280D}"/>
    <cellStyle name="Normal 8 2 2 3 4 2 2 3" xfId="24712" xr:uid="{E83C8730-A8D1-4B2D-B987-C6787BE01703}"/>
    <cellStyle name="Normal 8 2 2 3 4 2 2 4" xfId="16271" xr:uid="{6A0544A4-1319-4FB3-B7DC-9A2564E1849C}"/>
    <cellStyle name="Normal 8 2 2 3 4 2 3" xfId="28935" xr:uid="{3AA683A2-9182-4645-B70C-4213489D5A43}"/>
    <cellStyle name="Normal 8 2 2 3 4 2 4" xfId="20494" xr:uid="{EC7D7246-2DB6-44B3-BBBB-1AFC41C7CCF4}"/>
    <cellStyle name="Normal 8 2 2 3 4 2 5" xfId="12053" xr:uid="{3648D010-92D2-49B1-87DA-68D00B9A915A}"/>
    <cellStyle name="Normal 8 2 2 3 4 3" xfId="5676" xr:uid="{00000000-0005-0000-0000-0000611C0000}"/>
    <cellStyle name="Normal 8 2 2 3 4 3 2" xfId="31008" xr:uid="{E07D0A85-1EF2-46DC-9186-731E68D317CA}"/>
    <cellStyle name="Normal 8 2 2 3 4 3 3" xfId="22567" xr:uid="{F93361A9-75DC-42E7-AE64-146BFB03266B}"/>
    <cellStyle name="Normal 8 2 2 3 4 3 4" xfId="14126" xr:uid="{F6EC4F30-28B8-4095-9B27-46D25F634E8B}"/>
    <cellStyle name="Normal 8 2 2 3 4 4" xfId="26790" xr:uid="{F8BA4881-B5F1-4041-83DF-32FDEBB80D19}"/>
    <cellStyle name="Normal 8 2 2 3 4 5" xfId="18349" xr:uid="{7621B7AD-BA86-433B-A5A5-DA29C77C765A}"/>
    <cellStyle name="Normal 8 2 2 3 4 6" xfId="9908" xr:uid="{B26F36F7-61D9-43C7-A41B-3327C5522047}"/>
    <cellStyle name="Normal 8 2 2 3 5" xfId="1782" xr:uid="{00000000-0005-0000-0000-0000621C0000}"/>
    <cellStyle name="Normal 8 2 2 3 5 2" xfId="4012" xr:uid="{00000000-0005-0000-0000-0000631C0000}"/>
    <cellStyle name="Normal 8 2 2 3 5 2 2" xfId="8234" xr:uid="{00000000-0005-0000-0000-0000641C0000}"/>
    <cellStyle name="Normal 8 2 2 3 5 2 2 2" xfId="33566" xr:uid="{0BA2F222-C94B-4CAA-A9B8-0DD0970B5353}"/>
    <cellStyle name="Normal 8 2 2 3 5 2 2 3" xfId="25125" xr:uid="{B7F20444-75AA-4D0F-8E3A-B6A639E8ECF5}"/>
    <cellStyle name="Normal 8 2 2 3 5 2 2 4" xfId="16684" xr:uid="{2E920300-0309-496D-9BDC-4A74DD4791D9}"/>
    <cellStyle name="Normal 8 2 2 3 5 2 3" xfId="29348" xr:uid="{3BD3AFAB-E1C3-4C1C-B2AC-EBFF1A88A870}"/>
    <cellStyle name="Normal 8 2 2 3 5 2 4" xfId="20907" xr:uid="{4291B278-81C5-4C53-9C20-320D2C2FC3A7}"/>
    <cellStyle name="Normal 8 2 2 3 5 2 5" xfId="12466" xr:uid="{E1ED72D2-DD0F-4E4D-ADFB-BC7F85A6E756}"/>
    <cellStyle name="Normal 8 2 2 3 5 3" xfId="6089" xr:uid="{00000000-0005-0000-0000-0000651C0000}"/>
    <cellStyle name="Normal 8 2 2 3 5 3 2" xfId="31421" xr:uid="{2E7084EF-0F3F-4E4E-8052-E8D33B9A021C}"/>
    <cellStyle name="Normal 8 2 2 3 5 3 3" xfId="22980" xr:uid="{50BF0733-6AD8-4ABD-B3E5-20968910287C}"/>
    <cellStyle name="Normal 8 2 2 3 5 3 4" xfId="14539" xr:uid="{71286458-D079-4D9C-B52D-9D1CCF2910F2}"/>
    <cellStyle name="Normal 8 2 2 3 5 4" xfId="27203" xr:uid="{1198907D-85E1-4332-83BD-D65E6A8EAC15}"/>
    <cellStyle name="Normal 8 2 2 3 5 5" xfId="18762" xr:uid="{22B00B34-5753-4764-A41C-4555ACB437B0}"/>
    <cellStyle name="Normal 8 2 2 3 5 6" xfId="10321" xr:uid="{07D888B0-2C6C-45D9-9D17-FB1EF933D1B0}"/>
    <cellStyle name="Normal 8 2 2 3 6" xfId="2196" xr:uid="{00000000-0005-0000-0000-0000661C0000}"/>
    <cellStyle name="Normal 8 2 2 3 6 2" xfId="4425" xr:uid="{00000000-0005-0000-0000-0000671C0000}"/>
    <cellStyle name="Normal 8 2 2 3 6 2 2" xfId="8647" xr:uid="{00000000-0005-0000-0000-0000681C0000}"/>
    <cellStyle name="Normal 8 2 2 3 6 2 2 2" xfId="33979" xr:uid="{82DFFFB8-7762-4121-8DED-ECA243BD4AA4}"/>
    <cellStyle name="Normal 8 2 2 3 6 2 2 3" xfId="25538" xr:uid="{E1D669B7-695F-446A-B3D9-FB54AA318D18}"/>
    <cellStyle name="Normal 8 2 2 3 6 2 2 4" xfId="17097" xr:uid="{8FF36605-8E4B-42E0-B08D-38EF5AC30359}"/>
    <cellStyle name="Normal 8 2 2 3 6 2 3" xfId="29761" xr:uid="{172C92E5-AE04-4F9B-9C97-31827683DCD5}"/>
    <cellStyle name="Normal 8 2 2 3 6 2 4" xfId="21320" xr:uid="{9AC04A5A-C8A9-4DF7-9637-8BCB23F2C5EB}"/>
    <cellStyle name="Normal 8 2 2 3 6 2 5" xfId="12879" xr:uid="{22E2C527-572F-4300-8CEE-DDB72230D98B}"/>
    <cellStyle name="Normal 8 2 2 3 6 3" xfId="6502" xr:uid="{00000000-0005-0000-0000-0000691C0000}"/>
    <cellStyle name="Normal 8 2 2 3 6 3 2" xfId="31834" xr:uid="{E4EF09F5-8E22-4DD8-AA30-7D798C9B9CCE}"/>
    <cellStyle name="Normal 8 2 2 3 6 3 3" xfId="23393" xr:uid="{BFFFEE2B-8D00-4052-95EF-947D05E8CF06}"/>
    <cellStyle name="Normal 8 2 2 3 6 3 4" xfId="14952" xr:uid="{E82DF9FE-79BB-43C5-A089-0C484883DCA2}"/>
    <cellStyle name="Normal 8 2 2 3 6 4" xfId="27616" xr:uid="{AE9736BC-D0F7-4F6A-93B2-B56901BCD62E}"/>
    <cellStyle name="Normal 8 2 2 3 6 5" xfId="19175" xr:uid="{96133F67-DA5C-46E9-B83F-69C2FAB348D0}"/>
    <cellStyle name="Normal 8 2 2 3 6 6" xfId="10734" xr:uid="{1D3B383F-3A6B-4DC5-95E6-0000DBABD706}"/>
    <cellStyle name="Normal 8 2 2 3 7" xfId="2632" xr:uid="{00000000-0005-0000-0000-00006A1C0000}"/>
    <cellStyle name="Normal 8 2 2 3 7 2" xfId="6915" xr:uid="{00000000-0005-0000-0000-00006B1C0000}"/>
    <cellStyle name="Normal 8 2 2 3 7 2 2" xfId="32247" xr:uid="{A42B7E68-C342-4C0F-892E-98725F299487}"/>
    <cellStyle name="Normal 8 2 2 3 7 2 3" xfId="23806" xr:uid="{CAEAD407-6880-4584-BDDB-2CA9EDC7F10B}"/>
    <cellStyle name="Normal 8 2 2 3 7 2 4" xfId="15365" xr:uid="{65681EE3-91C3-4650-8247-7B9229C47B78}"/>
    <cellStyle name="Normal 8 2 2 3 7 3" xfId="28029" xr:uid="{95BE6681-4C1B-45CB-B74C-D403BC88ADC9}"/>
    <cellStyle name="Normal 8 2 2 3 7 4" xfId="19588" xr:uid="{AE9CB689-0E2E-401D-B50E-EFB9FB82E48D}"/>
    <cellStyle name="Normal 8 2 2 3 7 5" xfId="11147" xr:uid="{69D02555-D283-4F79-A768-CA2FB339B12A}"/>
    <cellStyle name="Normal 8 2 2 3 8" xfId="4850" xr:uid="{00000000-0005-0000-0000-00006C1C0000}"/>
    <cellStyle name="Normal 8 2 2 3 8 2" xfId="30182" xr:uid="{51A2A51E-9014-4712-9F0D-F315DFB2D5FF}"/>
    <cellStyle name="Normal 8 2 2 3 8 3" xfId="21741" xr:uid="{82A77926-856D-476F-A924-165C8C109E73}"/>
    <cellStyle name="Normal 8 2 2 3 8 4" xfId="13300" xr:uid="{783C5D78-9E2A-41CF-A1A1-BD46AEDDF976}"/>
    <cellStyle name="Normal 8 2 2 3 9" xfId="25964" xr:uid="{DD9E992E-53B4-42B6-9183-43BF99C94D13}"/>
    <cellStyle name="Normal 8 2 2 4" xfId="487" xr:uid="{00000000-0005-0000-0000-00006D1C0000}"/>
    <cellStyle name="Normal 8 2 2 4 10" xfId="9084" xr:uid="{BF5F55E9-95E2-41E5-AFE9-924E820E8404}"/>
    <cellStyle name="Normal 8 2 2 4 2" xfId="954" xr:uid="{00000000-0005-0000-0000-00006E1C0000}"/>
    <cellStyle name="Normal 8 2 2 4 2 2" xfId="3188" xr:uid="{00000000-0005-0000-0000-00006F1C0000}"/>
    <cellStyle name="Normal 8 2 2 4 2 2 2" xfId="7410" xr:uid="{00000000-0005-0000-0000-0000701C0000}"/>
    <cellStyle name="Normal 8 2 2 4 2 2 2 2" xfId="32742" xr:uid="{388E3DEB-29DC-4EA3-B7B1-B2C7902B82A3}"/>
    <cellStyle name="Normal 8 2 2 4 2 2 2 3" xfId="24301" xr:uid="{E26922C0-8268-4CF0-BC02-C0DFFE8C6CA5}"/>
    <cellStyle name="Normal 8 2 2 4 2 2 2 4" xfId="15860" xr:uid="{31BE6D84-2A16-4B03-A014-810EB05DE895}"/>
    <cellStyle name="Normal 8 2 2 4 2 2 3" xfId="28524" xr:uid="{0AC375D6-EC49-4C79-8A73-A1F8A1B49DE7}"/>
    <cellStyle name="Normal 8 2 2 4 2 2 4" xfId="20083" xr:uid="{85648397-4D01-45F7-8624-36F8D654D137}"/>
    <cellStyle name="Normal 8 2 2 4 2 2 5" xfId="11642" xr:uid="{4F8647F7-A0F2-4D6C-A285-EAF0C058BC6D}"/>
    <cellStyle name="Normal 8 2 2 4 2 3" xfId="5265" xr:uid="{00000000-0005-0000-0000-0000711C0000}"/>
    <cellStyle name="Normal 8 2 2 4 2 3 2" xfId="30597" xr:uid="{314EA7E0-095B-4F4C-A1C3-3ABCF28FDB71}"/>
    <cellStyle name="Normal 8 2 2 4 2 3 3" xfId="22156" xr:uid="{79B967C4-FFC4-4259-887D-FC12CCC71195}"/>
    <cellStyle name="Normal 8 2 2 4 2 3 4" xfId="13715" xr:uid="{A1AEB483-3433-4610-80EA-8E5473231FE3}"/>
    <cellStyle name="Normal 8 2 2 4 2 4" xfId="26379" xr:uid="{C4139C74-0BB2-46AB-9A41-59219C13BB7A}"/>
    <cellStyle name="Normal 8 2 2 4 2 5" xfId="17938" xr:uid="{BBB5C0C7-3021-4A7B-A354-14FB90AE0873}"/>
    <cellStyle name="Normal 8 2 2 4 2 6" xfId="9497" xr:uid="{CC7BAA8E-B360-4B47-A212-6D28E297E72E}"/>
    <cellStyle name="Normal 8 2 2 4 3" xfId="1371" xr:uid="{00000000-0005-0000-0000-0000721C0000}"/>
    <cellStyle name="Normal 8 2 2 4 3 2" xfId="3601" xr:uid="{00000000-0005-0000-0000-0000731C0000}"/>
    <cellStyle name="Normal 8 2 2 4 3 2 2" xfId="7823" xr:uid="{00000000-0005-0000-0000-0000741C0000}"/>
    <cellStyle name="Normal 8 2 2 4 3 2 2 2" xfId="33155" xr:uid="{0EA072BD-A025-439B-92FC-8F430D65220E}"/>
    <cellStyle name="Normal 8 2 2 4 3 2 2 3" xfId="24714" xr:uid="{927E93C8-2D59-4409-97A5-BAE124502495}"/>
    <cellStyle name="Normal 8 2 2 4 3 2 2 4" xfId="16273" xr:uid="{235C1E7B-039D-472C-AFC7-552CA6F93E04}"/>
    <cellStyle name="Normal 8 2 2 4 3 2 3" xfId="28937" xr:uid="{921279A5-CA16-484C-877B-3878E08D5AE4}"/>
    <cellStyle name="Normal 8 2 2 4 3 2 4" xfId="20496" xr:uid="{64F2071A-765E-4C6B-B6D1-0D5065C0319D}"/>
    <cellStyle name="Normal 8 2 2 4 3 2 5" xfId="12055" xr:uid="{CAC342F4-0642-4BEE-B060-363CF417899A}"/>
    <cellStyle name="Normal 8 2 2 4 3 3" xfId="5678" xr:uid="{00000000-0005-0000-0000-0000751C0000}"/>
    <cellStyle name="Normal 8 2 2 4 3 3 2" xfId="31010" xr:uid="{F6E817E0-3C39-4717-804A-0F43F0B8BA5B}"/>
    <cellStyle name="Normal 8 2 2 4 3 3 3" xfId="22569" xr:uid="{D3697BFA-30FA-4F43-AFFA-3C47C137B985}"/>
    <cellStyle name="Normal 8 2 2 4 3 3 4" xfId="14128" xr:uid="{ED91E85E-D6E8-42E9-B4DC-51DF5EBD13DB}"/>
    <cellStyle name="Normal 8 2 2 4 3 4" xfId="26792" xr:uid="{6A94A376-ECC3-4B24-975F-BFE1FDFA93D1}"/>
    <cellStyle name="Normal 8 2 2 4 3 5" xfId="18351" xr:uid="{3EAC7C1B-C96B-452D-A9DC-2819C2972753}"/>
    <cellStyle name="Normal 8 2 2 4 3 6" xfId="9910" xr:uid="{65DB709A-4625-4F13-BD13-7BB5472B75DE}"/>
    <cellStyle name="Normal 8 2 2 4 4" xfId="1784" xr:uid="{00000000-0005-0000-0000-0000761C0000}"/>
    <cellStyle name="Normal 8 2 2 4 4 2" xfId="4014" xr:uid="{00000000-0005-0000-0000-0000771C0000}"/>
    <cellStyle name="Normal 8 2 2 4 4 2 2" xfId="8236" xr:uid="{00000000-0005-0000-0000-0000781C0000}"/>
    <cellStyle name="Normal 8 2 2 4 4 2 2 2" xfId="33568" xr:uid="{6AE12288-11AD-42CA-B860-0E98125F8020}"/>
    <cellStyle name="Normal 8 2 2 4 4 2 2 3" xfId="25127" xr:uid="{3A7E0FD3-93A5-44F6-BB22-B0C9D3041921}"/>
    <cellStyle name="Normal 8 2 2 4 4 2 2 4" xfId="16686" xr:uid="{DB1CCF7C-503E-4A6C-8DAF-19FF37538037}"/>
    <cellStyle name="Normal 8 2 2 4 4 2 3" xfId="29350" xr:uid="{555D6C3D-085A-4B00-847F-B191981A4C9C}"/>
    <cellStyle name="Normal 8 2 2 4 4 2 4" xfId="20909" xr:uid="{6E53B26B-867A-4AE6-8B0B-8985DB845ED9}"/>
    <cellStyle name="Normal 8 2 2 4 4 2 5" xfId="12468" xr:uid="{63B0FD72-E187-49CD-9B41-BCC87EFB989A}"/>
    <cellStyle name="Normal 8 2 2 4 4 3" xfId="6091" xr:uid="{00000000-0005-0000-0000-0000791C0000}"/>
    <cellStyle name="Normal 8 2 2 4 4 3 2" xfId="31423" xr:uid="{015BC45B-BD1D-446F-8D17-989C7658F84E}"/>
    <cellStyle name="Normal 8 2 2 4 4 3 3" xfId="22982" xr:uid="{A96A942A-CEC0-44D2-83B6-4F80CCAB7E73}"/>
    <cellStyle name="Normal 8 2 2 4 4 3 4" xfId="14541" xr:uid="{2A49ED14-FE1F-405D-95C8-08681B9175A5}"/>
    <cellStyle name="Normal 8 2 2 4 4 4" xfId="27205" xr:uid="{73166E7D-B234-461A-B9B9-1F4430CB080C}"/>
    <cellStyle name="Normal 8 2 2 4 4 5" xfId="18764" xr:uid="{99F3351A-8C45-4E31-BF87-BE6C071AB8C1}"/>
    <cellStyle name="Normal 8 2 2 4 4 6" xfId="10323" xr:uid="{06E6DB4A-080B-4375-A5D8-EB76E6849C17}"/>
    <cellStyle name="Normal 8 2 2 4 5" xfId="2198" xr:uid="{00000000-0005-0000-0000-00007A1C0000}"/>
    <cellStyle name="Normal 8 2 2 4 5 2" xfId="4427" xr:uid="{00000000-0005-0000-0000-00007B1C0000}"/>
    <cellStyle name="Normal 8 2 2 4 5 2 2" xfId="8649" xr:uid="{00000000-0005-0000-0000-00007C1C0000}"/>
    <cellStyle name="Normal 8 2 2 4 5 2 2 2" xfId="33981" xr:uid="{883F0DCF-1235-49D1-8AE6-4D3BBD2466D1}"/>
    <cellStyle name="Normal 8 2 2 4 5 2 2 3" xfId="25540" xr:uid="{93B2B69D-763E-4C9E-8A4E-A92EE06E6E74}"/>
    <cellStyle name="Normal 8 2 2 4 5 2 2 4" xfId="17099" xr:uid="{E5031C1E-AF0F-46E0-9AA5-C9C610FF9CA8}"/>
    <cellStyle name="Normal 8 2 2 4 5 2 3" xfId="29763" xr:uid="{5359A2DC-7B3A-49DF-83A9-CD8805602F58}"/>
    <cellStyle name="Normal 8 2 2 4 5 2 4" xfId="21322" xr:uid="{A691E85B-572B-4EC5-9280-C98CA43E74CF}"/>
    <cellStyle name="Normal 8 2 2 4 5 2 5" xfId="12881" xr:uid="{71A13418-2181-48D9-834A-5CB254575E0D}"/>
    <cellStyle name="Normal 8 2 2 4 5 3" xfId="6504" xr:uid="{00000000-0005-0000-0000-00007D1C0000}"/>
    <cellStyle name="Normal 8 2 2 4 5 3 2" xfId="31836" xr:uid="{4E6BDBB1-613F-45B3-B728-3EF53738F9ED}"/>
    <cellStyle name="Normal 8 2 2 4 5 3 3" xfId="23395" xr:uid="{9BF6C1B8-9BB5-4A5C-ACBB-E7F0FB5E28E7}"/>
    <cellStyle name="Normal 8 2 2 4 5 3 4" xfId="14954" xr:uid="{40E1D3C1-E4B3-4157-BE8A-76E6A0958C7F}"/>
    <cellStyle name="Normal 8 2 2 4 5 4" xfId="27618" xr:uid="{F2410D92-24A4-4196-9A6F-96E7726F211D}"/>
    <cellStyle name="Normal 8 2 2 4 5 5" xfId="19177" xr:uid="{EF5CB0DC-DE3B-46A6-9424-ABB2BD26CA48}"/>
    <cellStyle name="Normal 8 2 2 4 5 6" xfId="10736" xr:uid="{7EA58BFC-2A02-481F-801D-8679B3CE81C4}"/>
    <cellStyle name="Normal 8 2 2 4 6" xfId="2634" xr:uid="{00000000-0005-0000-0000-00007E1C0000}"/>
    <cellStyle name="Normal 8 2 2 4 6 2" xfId="6917" xr:uid="{00000000-0005-0000-0000-00007F1C0000}"/>
    <cellStyle name="Normal 8 2 2 4 6 2 2" xfId="32249" xr:uid="{58099DC8-5EBE-4395-8AD0-DC0D62040AA6}"/>
    <cellStyle name="Normal 8 2 2 4 6 2 3" xfId="23808" xr:uid="{C5F43A5A-380A-4473-BD28-23C2A3B328E3}"/>
    <cellStyle name="Normal 8 2 2 4 6 2 4" xfId="15367" xr:uid="{FA3B2406-D8EF-42CE-A1C3-2F596A586A97}"/>
    <cellStyle name="Normal 8 2 2 4 6 3" xfId="28031" xr:uid="{417C2FCA-0691-4285-BF01-F7102ACB58F9}"/>
    <cellStyle name="Normal 8 2 2 4 6 4" xfId="19590" xr:uid="{563FCF39-10E3-4932-A5F7-B8512F9374EE}"/>
    <cellStyle name="Normal 8 2 2 4 6 5" xfId="11149" xr:uid="{30648185-82D1-491A-959E-F4539E7E62BB}"/>
    <cellStyle name="Normal 8 2 2 4 7" xfId="4852" xr:uid="{00000000-0005-0000-0000-0000801C0000}"/>
    <cellStyle name="Normal 8 2 2 4 7 2" xfId="30184" xr:uid="{37D2DD9F-5E9B-4330-9DBA-25F99290C66D}"/>
    <cellStyle name="Normal 8 2 2 4 7 3" xfId="21743" xr:uid="{E2911379-68B4-4953-BBBF-AD38618237AD}"/>
    <cellStyle name="Normal 8 2 2 4 7 4" xfId="13302" xr:uid="{DDE6BAAC-C5C0-4093-8593-DAA8C9D3BC29}"/>
    <cellStyle name="Normal 8 2 2 4 8" xfId="25966" xr:uid="{669B777E-EB8E-4481-BA26-6CF7A59BB73E}"/>
    <cellStyle name="Normal 8 2 2 4 9" xfId="17525" xr:uid="{E6887287-B663-4A5E-AC62-EFF5CFE6FF36}"/>
    <cellStyle name="Normal 8 2 2 5" xfId="947" xr:uid="{00000000-0005-0000-0000-0000811C0000}"/>
    <cellStyle name="Normal 8 2 2 5 2" xfId="3181" xr:uid="{00000000-0005-0000-0000-0000821C0000}"/>
    <cellStyle name="Normal 8 2 2 5 2 2" xfId="7403" xr:uid="{00000000-0005-0000-0000-0000831C0000}"/>
    <cellStyle name="Normal 8 2 2 5 2 2 2" xfId="32735" xr:uid="{EA59538F-3098-4BA4-903F-544EE34CDB7E}"/>
    <cellStyle name="Normal 8 2 2 5 2 2 3" xfId="24294" xr:uid="{64403C1C-FFA7-4561-9409-28C77C50BA93}"/>
    <cellStyle name="Normal 8 2 2 5 2 2 4" xfId="15853" xr:uid="{2A78A65D-CF54-4EDB-B990-1AE6D412E6AC}"/>
    <cellStyle name="Normal 8 2 2 5 2 3" xfId="28517" xr:uid="{19E6345B-03F9-4325-9DE4-8B11976ED7A8}"/>
    <cellStyle name="Normal 8 2 2 5 2 4" xfId="20076" xr:uid="{10187E4A-CB99-49A5-A8BA-46E96FDFB137}"/>
    <cellStyle name="Normal 8 2 2 5 2 5" xfId="11635" xr:uid="{6AF54309-57BE-4378-884F-609851D968FA}"/>
    <cellStyle name="Normal 8 2 2 5 3" xfId="5258" xr:uid="{00000000-0005-0000-0000-0000841C0000}"/>
    <cellStyle name="Normal 8 2 2 5 3 2" xfId="30590" xr:uid="{E7475FDA-3A8C-4F25-90AD-9DECDC1E9C6C}"/>
    <cellStyle name="Normal 8 2 2 5 3 3" xfId="22149" xr:uid="{46DB26C8-1AC5-42FE-8BA8-8447F59DB71A}"/>
    <cellStyle name="Normal 8 2 2 5 3 4" xfId="13708" xr:uid="{9DC68571-3DCC-4694-9869-214799839347}"/>
    <cellStyle name="Normal 8 2 2 5 4" xfId="26372" xr:uid="{BD9D2230-6DB4-4AA4-934D-914408902AD2}"/>
    <cellStyle name="Normal 8 2 2 5 5" xfId="17931" xr:uid="{546FFFAB-2ECB-4E35-9BD3-7936DCD38F5B}"/>
    <cellStyle name="Normal 8 2 2 5 6" xfId="9490" xr:uid="{4FD29520-A970-478F-9C4E-6BEDE28B1962}"/>
    <cellStyle name="Normal 8 2 2 6" xfId="1364" xr:uid="{00000000-0005-0000-0000-0000851C0000}"/>
    <cellStyle name="Normal 8 2 2 6 2" xfId="3594" xr:uid="{00000000-0005-0000-0000-0000861C0000}"/>
    <cellStyle name="Normal 8 2 2 6 2 2" xfId="7816" xr:uid="{00000000-0005-0000-0000-0000871C0000}"/>
    <cellStyle name="Normal 8 2 2 6 2 2 2" xfId="33148" xr:uid="{DEF40E43-65A6-4828-AD11-6047BD3B3D23}"/>
    <cellStyle name="Normal 8 2 2 6 2 2 3" xfId="24707" xr:uid="{C52812BA-8E96-4397-913E-6AA3841A051F}"/>
    <cellStyle name="Normal 8 2 2 6 2 2 4" xfId="16266" xr:uid="{4D344FEC-6865-4E7E-AC05-CD2820BFDF2B}"/>
    <cellStyle name="Normal 8 2 2 6 2 3" xfId="28930" xr:uid="{854712F0-D6B5-4C92-8B71-BA28E0275EF0}"/>
    <cellStyle name="Normal 8 2 2 6 2 4" xfId="20489" xr:uid="{A2DE7A53-1B8A-4FEC-853C-148FF2585179}"/>
    <cellStyle name="Normal 8 2 2 6 2 5" xfId="12048" xr:uid="{0096B45C-0311-4C8C-8623-D8FD12ACEE08}"/>
    <cellStyle name="Normal 8 2 2 6 3" xfId="5671" xr:uid="{00000000-0005-0000-0000-0000881C0000}"/>
    <cellStyle name="Normal 8 2 2 6 3 2" xfId="31003" xr:uid="{1ABF3A44-53A3-4772-8861-4ACA65C36DED}"/>
    <cellStyle name="Normal 8 2 2 6 3 3" xfId="22562" xr:uid="{D9B9BADF-9BAC-4097-8AD8-7333B844E818}"/>
    <cellStyle name="Normal 8 2 2 6 3 4" xfId="14121" xr:uid="{C754ECAC-6E0E-40B8-94CA-104D89475011}"/>
    <cellStyle name="Normal 8 2 2 6 4" xfId="26785" xr:uid="{CED22758-EBD0-45E7-87BE-45B367522317}"/>
    <cellStyle name="Normal 8 2 2 6 5" xfId="18344" xr:uid="{5F330AB0-5198-4A76-B5E9-A7C8B4EB081F}"/>
    <cellStyle name="Normal 8 2 2 6 6" xfId="9903" xr:uid="{F388319C-A70F-4300-9D6A-26086B10DF6D}"/>
    <cellStyle name="Normal 8 2 2 7" xfId="1777" xr:uid="{00000000-0005-0000-0000-0000891C0000}"/>
    <cellStyle name="Normal 8 2 2 7 2" xfId="4007" xr:uid="{00000000-0005-0000-0000-00008A1C0000}"/>
    <cellStyle name="Normal 8 2 2 7 2 2" xfId="8229" xr:uid="{00000000-0005-0000-0000-00008B1C0000}"/>
    <cellStyle name="Normal 8 2 2 7 2 2 2" xfId="33561" xr:uid="{C0049E46-A10F-4D48-94E0-9CD9C24EAD25}"/>
    <cellStyle name="Normal 8 2 2 7 2 2 3" xfId="25120" xr:uid="{A083A9FC-6D42-45BB-9B10-43071E7C89A4}"/>
    <cellStyle name="Normal 8 2 2 7 2 2 4" xfId="16679" xr:uid="{0DC4CBCE-10F2-499D-9CF8-2FF71FAD7936}"/>
    <cellStyle name="Normal 8 2 2 7 2 3" xfId="29343" xr:uid="{20EB287D-8E80-44FD-9E3C-DC985EBA2497}"/>
    <cellStyle name="Normal 8 2 2 7 2 4" xfId="20902" xr:uid="{B434C907-DF87-43A6-9DC5-B3ABB84055A1}"/>
    <cellStyle name="Normal 8 2 2 7 2 5" xfId="12461" xr:uid="{5CC7B2D5-AF83-4BE4-9BA8-1E581E4397CA}"/>
    <cellStyle name="Normal 8 2 2 7 3" xfId="6084" xr:uid="{00000000-0005-0000-0000-00008C1C0000}"/>
    <cellStyle name="Normal 8 2 2 7 3 2" xfId="31416" xr:uid="{F48D0A30-C332-446A-BD2D-3DEF359DC2B5}"/>
    <cellStyle name="Normal 8 2 2 7 3 3" xfId="22975" xr:uid="{D6EE8E5A-F895-4FAA-BD15-754EAEEAB407}"/>
    <cellStyle name="Normal 8 2 2 7 3 4" xfId="14534" xr:uid="{CF0C1E9A-90AA-4961-976D-7C0D297F5702}"/>
    <cellStyle name="Normal 8 2 2 7 4" xfId="27198" xr:uid="{D9D63CE0-F604-46F8-AC5B-E8A4F784B764}"/>
    <cellStyle name="Normal 8 2 2 7 5" xfId="18757" xr:uid="{79241BAA-1A8C-4F4E-8365-0483A6041B1C}"/>
    <cellStyle name="Normal 8 2 2 7 6" xfId="10316" xr:uid="{3161B1D5-B4A4-407E-A80E-639B5890BB26}"/>
    <cellStyle name="Normal 8 2 2 8" xfId="2191" xr:uid="{00000000-0005-0000-0000-00008D1C0000}"/>
    <cellStyle name="Normal 8 2 2 8 2" xfId="4420" xr:uid="{00000000-0005-0000-0000-00008E1C0000}"/>
    <cellStyle name="Normal 8 2 2 8 2 2" xfId="8642" xr:uid="{00000000-0005-0000-0000-00008F1C0000}"/>
    <cellStyle name="Normal 8 2 2 8 2 2 2" xfId="33974" xr:uid="{4079EC8D-B913-4492-B772-877853B42AF2}"/>
    <cellStyle name="Normal 8 2 2 8 2 2 3" xfId="25533" xr:uid="{7B36B336-62F6-40B5-833F-19C5E904BD5C}"/>
    <cellStyle name="Normal 8 2 2 8 2 2 4" xfId="17092" xr:uid="{BE3D5C14-6E14-4CBC-9458-6049ECC23C4A}"/>
    <cellStyle name="Normal 8 2 2 8 2 3" xfId="29756" xr:uid="{3DEF8C8E-44A0-4AA2-856D-5874CE766373}"/>
    <cellStyle name="Normal 8 2 2 8 2 4" xfId="21315" xr:uid="{4A2ED4D6-CF76-453D-91D3-B646CE9590A2}"/>
    <cellStyle name="Normal 8 2 2 8 2 5" xfId="12874" xr:uid="{5141C5DE-C7E4-4190-8980-E06640F72B49}"/>
    <cellStyle name="Normal 8 2 2 8 3" xfId="6497" xr:uid="{00000000-0005-0000-0000-0000901C0000}"/>
    <cellStyle name="Normal 8 2 2 8 3 2" xfId="31829" xr:uid="{28A401EE-97FE-4963-8409-7D49E3E8037F}"/>
    <cellStyle name="Normal 8 2 2 8 3 3" xfId="23388" xr:uid="{C543C298-F300-4BB1-83F3-24D995BAFF8A}"/>
    <cellStyle name="Normal 8 2 2 8 3 4" xfId="14947" xr:uid="{24570B56-AAAA-41C8-9B6E-75385C5DFE09}"/>
    <cellStyle name="Normal 8 2 2 8 4" xfId="27611" xr:uid="{5D8A0F91-FB72-4A2A-BE1E-73BD4700104F}"/>
    <cellStyle name="Normal 8 2 2 8 5" xfId="19170" xr:uid="{0BF71FC4-D4B8-4292-8A7C-CD21E23666B3}"/>
    <cellStyle name="Normal 8 2 2 8 6" xfId="10729" xr:uid="{AA51A7DB-13DA-4506-9723-8E6FA0D552AB}"/>
    <cellStyle name="Normal 8 2 2 9" xfId="2627" xr:uid="{00000000-0005-0000-0000-0000911C0000}"/>
    <cellStyle name="Normal 8 2 2 9 2" xfId="6910" xr:uid="{00000000-0005-0000-0000-0000921C0000}"/>
    <cellStyle name="Normal 8 2 2 9 2 2" xfId="32242" xr:uid="{A690E3CE-39F1-47F3-AA92-4E7C5715D0A9}"/>
    <cellStyle name="Normal 8 2 2 9 2 3" xfId="23801" xr:uid="{82C949E7-3F44-4D2D-93F2-C6E201B28625}"/>
    <cellStyle name="Normal 8 2 2 9 2 4" xfId="15360" xr:uid="{F6E4869D-34E8-4F2D-8535-253C0267F368}"/>
    <cellStyle name="Normal 8 2 2 9 3" xfId="28024" xr:uid="{3281E207-72F1-4534-A455-F751A0EAE335}"/>
    <cellStyle name="Normal 8 2 2 9 4" xfId="19583" xr:uid="{BB4D750E-8614-4218-93E9-5F4AB2190E8C}"/>
    <cellStyle name="Normal 8 2 2 9 5" xfId="11142" xr:uid="{477C0519-3018-4378-826D-919029EFDB7F}"/>
    <cellStyle name="Normal 8 2 3" xfId="488" xr:uid="{00000000-0005-0000-0000-0000931C0000}"/>
    <cellStyle name="Normal 8 2 3 10" xfId="25967" xr:uid="{2B227996-FEB8-4067-9C52-142B33225A19}"/>
    <cellStyle name="Normal 8 2 3 11" xfId="17526" xr:uid="{6324C046-2B37-44AE-B745-814AA5BA40D5}"/>
    <cellStyle name="Normal 8 2 3 12" xfId="9085" xr:uid="{877E693E-84C4-4C56-8F64-B8DC83ADC427}"/>
    <cellStyle name="Normal 8 2 3 2" xfId="489" xr:uid="{00000000-0005-0000-0000-0000941C0000}"/>
    <cellStyle name="Normal 8 2 3 2 10" xfId="17527" xr:uid="{CB2BC481-ACCA-47A7-8049-3260D6F91D09}"/>
    <cellStyle name="Normal 8 2 3 2 11" xfId="9086" xr:uid="{8969C71D-D272-4740-A0DE-B6C5419058EB}"/>
    <cellStyle name="Normal 8 2 3 2 2" xfId="490" xr:uid="{00000000-0005-0000-0000-0000951C0000}"/>
    <cellStyle name="Normal 8 2 3 2 2 10" xfId="9087" xr:uid="{C1628405-7D21-4D7A-AAA5-C4AAD08C54F9}"/>
    <cellStyle name="Normal 8 2 3 2 2 2" xfId="957" xr:uid="{00000000-0005-0000-0000-0000961C0000}"/>
    <cellStyle name="Normal 8 2 3 2 2 2 2" xfId="3191" xr:uid="{00000000-0005-0000-0000-0000971C0000}"/>
    <cellStyle name="Normal 8 2 3 2 2 2 2 2" xfId="7413" xr:uid="{00000000-0005-0000-0000-0000981C0000}"/>
    <cellStyle name="Normal 8 2 3 2 2 2 2 2 2" xfId="32745" xr:uid="{AE553E53-38F1-46D8-9E53-0C903CADEE9E}"/>
    <cellStyle name="Normal 8 2 3 2 2 2 2 2 3" xfId="24304" xr:uid="{00C8BC29-57D3-4DCD-867A-0776D9DEFFD8}"/>
    <cellStyle name="Normal 8 2 3 2 2 2 2 2 4" xfId="15863" xr:uid="{57F8621C-E8E1-4578-9033-DB4D3612FBD0}"/>
    <cellStyle name="Normal 8 2 3 2 2 2 2 3" xfId="28527" xr:uid="{B6D9009F-1A0F-4D48-A4E9-08660BDD8E56}"/>
    <cellStyle name="Normal 8 2 3 2 2 2 2 4" xfId="20086" xr:uid="{72D77E2E-8399-469B-934F-4BA1DBDA3108}"/>
    <cellStyle name="Normal 8 2 3 2 2 2 2 5" xfId="11645" xr:uid="{A396AAD6-AA78-4F7E-BF31-388772520A0D}"/>
    <cellStyle name="Normal 8 2 3 2 2 2 3" xfId="5268" xr:uid="{00000000-0005-0000-0000-0000991C0000}"/>
    <cellStyle name="Normal 8 2 3 2 2 2 3 2" xfId="30600" xr:uid="{8E22B48E-3356-4158-9D58-4117AA07012F}"/>
    <cellStyle name="Normal 8 2 3 2 2 2 3 3" xfId="22159" xr:uid="{5823B051-4FD2-4022-882E-6EC9F1FC8B3F}"/>
    <cellStyle name="Normal 8 2 3 2 2 2 3 4" xfId="13718" xr:uid="{3AE5F42C-1C78-4AF2-9079-53D27A6168C7}"/>
    <cellStyle name="Normal 8 2 3 2 2 2 4" xfId="26382" xr:uid="{DC57827F-5029-42D3-8F48-6D416C0EF30B}"/>
    <cellStyle name="Normal 8 2 3 2 2 2 5" xfId="17941" xr:uid="{4BC4E5AC-BCDF-4EC6-B914-BD82CAC861FB}"/>
    <cellStyle name="Normal 8 2 3 2 2 2 6" xfId="9500" xr:uid="{467E5A78-B76D-4308-9A76-D04C16D2196C}"/>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2 2 2" xfId="33158" xr:uid="{D3209E81-0F5B-47F1-B56D-0D9A00B79CC7}"/>
    <cellStyle name="Normal 8 2 3 2 2 3 2 2 3" xfId="24717" xr:uid="{E3C22690-3156-430A-8881-89DE7E6EC6B9}"/>
    <cellStyle name="Normal 8 2 3 2 2 3 2 2 4" xfId="16276" xr:uid="{B9471A65-A51A-4581-9309-C358E028E2AB}"/>
    <cellStyle name="Normal 8 2 3 2 2 3 2 3" xfId="28940" xr:uid="{39626760-A6FF-42FA-AD47-ACDFC79876D1}"/>
    <cellStyle name="Normal 8 2 3 2 2 3 2 4" xfId="20499" xr:uid="{397A5A34-5B5B-41FA-A975-EEC894CD5885}"/>
    <cellStyle name="Normal 8 2 3 2 2 3 2 5" xfId="12058" xr:uid="{505DE298-02C6-4A37-A495-3E3E73627ABD}"/>
    <cellStyle name="Normal 8 2 3 2 2 3 3" xfId="5681" xr:uid="{00000000-0005-0000-0000-00009D1C0000}"/>
    <cellStyle name="Normal 8 2 3 2 2 3 3 2" xfId="31013" xr:uid="{C0747E82-1E46-4C91-A8C0-2D2E98AB38EE}"/>
    <cellStyle name="Normal 8 2 3 2 2 3 3 3" xfId="22572" xr:uid="{86E6FCC5-BD5E-4FEE-AFBF-AD0D3D920FE6}"/>
    <cellStyle name="Normal 8 2 3 2 2 3 3 4" xfId="14131" xr:uid="{A2AD6445-4FE2-4F18-A900-E31461567845}"/>
    <cellStyle name="Normal 8 2 3 2 2 3 4" xfId="26795" xr:uid="{053CB694-3DDA-4B6A-A703-2C80A2EFDC69}"/>
    <cellStyle name="Normal 8 2 3 2 2 3 5" xfId="18354" xr:uid="{6ED0F7CE-4CA2-4042-86A1-890220601409}"/>
    <cellStyle name="Normal 8 2 3 2 2 3 6" xfId="9913" xr:uid="{CDA5DA61-C993-47C4-8C69-F5E4F81EAD8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2 2 2" xfId="33571" xr:uid="{31C7812F-6C88-4557-B895-76D1DC4DD91D}"/>
    <cellStyle name="Normal 8 2 3 2 2 4 2 2 3" xfId="25130" xr:uid="{E4BE1AF8-A654-4E32-8B2E-97E8B48AA716}"/>
    <cellStyle name="Normal 8 2 3 2 2 4 2 2 4" xfId="16689" xr:uid="{7F859ABB-3720-47AE-82FB-7EC2CE168F4F}"/>
    <cellStyle name="Normal 8 2 3 2 2 4 2 3" xfId="29353" xr:uid="{61DBBD80-7661-4A66-BA11-9BC9EC8A582D}"/>
    <cellStyle name="Normal 8 2 3 2 2 4 2 4" xfId="20912" xr:uid="{18E4CDA7-CB88-44CF-9F05-51900A7011C7}"/>
    <cellStyle name="Normal 8 2 3 2 2 4 2 5" xfId="12471" xr:uid="{AA636AB7-7D95-49DA-A083-79281C58A18B}"/>
    <cellStyle name="Normal 8 2 3 2 2 4 3" xfId="6094" xr:uid="{00000000-0005-0000-0000-0000A11C0000}"/>
    <cellStyle name="Normal 8 2 3 2 2 4 3 2" xfId="31426" xr:uid="{094555DD-7B2E-4DD8-896C-41176AE4B2E2}"/>
    <cellStyle name="Normal 8 2 3 2 2 4 3 3" xfId="22985" xr:uid="{7488C54A-0126-4045-A447-9C5090CFCDE9}"/>
    <cellStyle name="Normal 8 2 3 2 2 4 3 4" xfId="14544" xr:uid="{2BD462B7-D912-4EAD-9461-FD34929812DC}"/>
    <cellStyle name="Normal 8 2 3 2 2 4 4" xfId="27208" xr:uid="{2D0AE889-AC60-450D-AB19-C37084D1A01A}"/>
    <cellStyle name="Normal 8 2 3 2 2 4 5" xfId="18767" xr:uid="{DC3AD279-719A-4F5F-9438-FC0A790E4EA6}"/>
    <cellStyle name="Normal 8 2 3 2 2 4 6" xfId="10326" xr:uid="{BD2A97B0-0763-4D14-8BDD-854FFBDAC1ED}"/>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2 2 2" xfId="33984" xr:uid="{54F764F3-87BA-44D5-87A1-D13260299F4A}"/>
    <cellStyle name="Normal 8 2 3 2 2 5 2 2 3" xfId="25543" xr:uid="{840F2CAA-0F9E-4C53-8036-44E2C5633B29}"/>
    <cellStyle name="Normal 8 2 3 2 2 5 2 2 4" xfId="17102" xr:uid="{AD6300DB-F203-472C-AAD1-C54972537049}"/>
    <cellStyle name="Normal 8 2 3 2 2 5 2 3" xfId="29766" xr:uid="{7E6E098D-3782-4808-92EE-5A2CAF51918E}"/>
    <cellStyle name="Normal 8 2 3 2 2 5 2 4" xfId="21325" xr:uid="{C96F93DE-A5D4-49AB-97EE-73A18F6EC12E}"/>
    <cellStyle name="Normal 8 2 3 2 2 5 2 5" xfId="12884" xr:uid="{16AE1251-D4C8-42F2-973B-28023DBBBAFC}"/>
    <cellStyle name="Normal 8 2 3 2 2 5 3" xfId="6507" xr:uid="{00000000-0005-0000-0000-0000A51C0000}"/>
    <cellStyle name="Normal 8 2 3 2 2 5 3 2" xfId="31839" xr:uid="{B471A362-7E5A-4287-8846-A4338ED81D69}"/>
    <cellStyle name="Normal 8 2 3 2 2 5 3 3" xfId="23398" xr:uid="{356224F6-4AA9-4344-8FA5-FDBBDA4B341E}"/>
    <cellStyle name="Normal 8 2 3 2 2 5 3 4" xfId="14957" xr:uid="{C1A71A0D-5CA7-4A55-B949-1B3C916553B6}"/>
    <cellStyle name="Normal 8 2 3 2 2 5 4" xfId="27621" xr:uid="{0082C50B-31D3-4564-A943-03A231E82C88}"/>
    <cellStyle name="Normal 8 2 3 2 2 5 5" xfId="19180" xr:uid="{C4D91B48-E5C7-4DC1-8D60-3E3B2E49D9C4}"/>
    <cellStyle name="Normal 8 2 3 2 2 5 6" xfId="10739" xr:uid="{128DD0A8-8A49-41D1-A333-20AC2984FEE3}"/>
    <cellStyle name="Normal 8 2 3 2 2 6" xfId="2637" xr:uid="{00000000-0005-0000-0000-0000A61C0000}"/>
    <cellStyle name="Normal 8 2 3 2 2 6 2" xfId="6920" xr:uid="{00000000-0005-0000-0000-0000A71C0000}"/>
    <cellStyle name="Normal 8 2 3 2 2 6 2 2" xfId="32252" xr:uid="{65A56624-FE9A-4E49-81AC-65C517386D67}"/>
    <cellStyle name="Normal 8 2 3 2 2 6 2 3" xfId="23811" xr:uid="{5E9DAD8C-BD7E-420F-8E7C-6B4FCCF639C8}"/>
    <cellStyle name="Normal 8 2 3 2 2 6 2 4" xfId="15370" xr:uid="{87515266-59CA-49CC-8340-26662CEF256D}"/>
    <cellStyle name="Normal 8 2 3 2 2 6 3" xfId="28034" xr:uid="{3A67D290-EFC5-4847-AC53-3CAE3227A5C6}"/>
    <cellStyle name="Normal 8 2 3 2 2 6 4" xfId="19593" xr:uid="{559770FB-2DD3-47F8-AF8B-494E317F8F5B}"/>
    <cellStyle name="Normal 8 2 3 2 2 6 5" xfId="11152" xr:uid="{E812A6BB-E91F-420D-B3CA-D726DD3A4BB5}"/>
    <cellStyle name="Normal 8 2 3 2 2 7" xfId="4855" xr:uid="{00000000-0005-0000-0000-0000A81C0000}"/>
    <cellStyle name="Normal 8 2 3 2 2 7 2" xfId="30187" xr:uid="{0C82A0A2-E455-4003-A2CD-2D3804D0DB17}"/>
    <cellStyle name="Normal 8 2 3 2 2 7 3" xfId="21746" xr:uid="{F3AB20D1-6750-44E5-B3C1-D71421280CE3}"/>
    <cellStyle name="Normal 8 2 3 2 2 7 4" xfId="13305" xr:uid="{D41E870C-489B-49D8-AA50-66338126AC91}"/>
    <cellStyle name="Normal 8 2 3 2 2 8" xfId="25969" xr:uid="{352F562F-31B2-4CDC-BCED-0012F546B3AA}"/>
    <cellStyle name="Normal 8 2 3 2 2 9" xfId="17528" xr:uid="{BF2DBCD2-8898-486C-94B3-3D4CC860DCE3}"/>
    <cellStyle name="Normal 8 2 3 2 3" xfId="956" xr:uid="{00000000-0005-0000-0000-0000A91C0000}"/>
    <cellStyle name="Normal 8 2 3 2 3 2" xfId="3190" xr:uid="{00000000-0005-0000-0000-0000AA1C0000}"/>
    <cellStyle name="Normal 8 2 3 2 3 2 2" xfId="7412" xr:uid="{00000000-0005-0000-0000-0000AB1C0000}"/>
    <cellStyle name="Normal 8 2 3 2 3 2 2 2" xfId="32744" xr:uid="{FC482F92-3269-441B-AB2E-DCB20C37F8D3}"/>
    <cellStyle name="Normal 8 2 3 2 3 2 2 3" xfId="24303" xr:uid="{6751B410-E30A-4E18-8BF8-99795B100EC8}"/>
    <cellStyle name="Normal 8 2 3 2 3 2 2 4" xfId="15862" xr:uid="{B5876829-4F75-4509-A79C-BC7D875C6B16}"/>
    <cellStyle name="Normal 8 2 3 2 3 2 3" xfId="28526" xr:uid="{7BF225FB-85CA-4DC5-B65B-F6FB1DFA0438}"/>
    <cellStyle name="Normal 8 2 3 2 3 2 4" xfId="20085" xr:uid="{D656EF5C-8280-4031-80AB-8D3D4C02312D}"/>
    <cellStyle name="Normal 8 2 3 2 3 2 5" xfId="11644" xr:uid="{45C3EB3C-5B28-4B9D-A878-EE169D591D16}"/>
    <cellStyle name="Normal 8 2 3 2 3 3" xfId="5267" xr:uid="{00000000-0005-0000-0000-0000AC1C0000}"/>
    <cellStyle name="Normal 8 2 3 2 3 3 2" xfId="30599" xr:uid="{EBF08204-0180-4E81-8E55-F0FFC115AE55}"/>
    <cellStyle name="Normal 8 2 3 2 3 3 3" xfId="22158" xr:uid="{993BECBC-CBA1-4B5B-9970-8D41393BFB2B}"/>
    <cellStyle name="Normal 8 2 3 2 3 3 4" xfId="13717" xr:uid="{5111DED3-7A18-4D55-8522-BC2790A57D60}"/>
    <cellStyle name="Normal 8 2 3 2 3 4" xfId="26381" xr:uid="{E3AA50D1-9FD1-4971-83DF-1AB2A034748A}"/>
    <cellStyle name="Normal 8 2 3 2 3 5" xfId="17940" xr:uid="{4FD2D5F4-704F-4E8B-A7FE-A67AC0CB8AA5}"/>
    <cellStyle name="Normal 8 2 3 2 3 6" xfId="9499" xr:uid="{D2504E61-0767-4030-B757-EA50B6E32A70}"/>
    <cellStyle name="Normal 8 2 3 2 4" xfId="1373" xr:uid="{00000000-0005-0000-0000-0000AD1C0000}"/>
    <cellStyle name="Normal 8 2 3 2 4 2" xfId="3603" xr:uid="{00000000-0005-0000-0000-0000AE1C0000}"/>
    <cellStyle name="Normal 8 2 3 2 4 2 2" xfId="7825" xr:uid="{00000000-0005-0000-0000-0000AF1C0000}"/>
    <cellStyle name="Normal 8 2 3 2 4 2 2 2" xfId="33157" xr:uid="{8E2560BC-D293-40F3-9A9E-B4C1F500C988}"/>
    <cellStyle name="Normal 8 2 3 2 4 2 2 3" xfId="24716" xr:uid="{8C0A3395-0EA9-4529-A2A0-894CE7881B81}"/>
    <cellStyle name="Normal 8 2 3 2 4 2 2 4" xfId="16275" xr:uid="{B12FE5E5-1E60-44B3-BB09-0BE51E6EB14F}"/>
    <cellStyle name="Normal 8 2 3 2 4 2 3" xfId="28939" xr:uid="{E76253DE-8542-43D2-916A-89FF923E0184}"/>
    <cellStyle name="Normal 8 2 3 2 4 2 4" xfId="20498" xr:uid="{D4AB1DBE-41F1-4C49-B775-9E66B46E5054}"/>
    <cellStyle name="Normal 8 2 3 2 4 2 5" xfId="12057" xr:uid="{BE4699C9-C807-4FDE-8464-5D6C0670A6C7}"/>
    <cellStyle name="Normal 8 2 3 2 4 3" xfId="5680" xr:uid="{00000000-0005-0000-0000-0000B01C0000}"/>
    <cellStyle name="Normal 8 2 3 2 4 3 2" xfId="31012" xr:uid="{F69F7969-D9A8-4591-96CC-FF632131722A}"/>
    <cellStyle name="Normal 8 2 3 2 4 3 3" xfId="22571" xr:uid="{3D752211-FFD7-4667-9284-BF4B73A2AC24}"/>
    <cellStyle name="Normal 8 2 3 2 4 3 4" xfId="14130" xr:uid="{20DBA33D-D369-4EC4-AAE0-75EB090B6166}"/>
    <cellStyle name="Normal 8 2 3 2 4 4" xfId="26794" xr:uid="{ABDCA1A8-473E-415D-A701-BCB21B699AAD}"/>
    <cellStyle name="Normal 8 2 3 2 4 5" xfId="18353" xr:uid="{B1192158-645B-4309-85AA-C46707822A3B}"/>
    <cellStyle name="Normal 8 2 3 2 4 6" xfId="9912" xr:uid="{EDAE2493-DBCC-4A27-88D3-C626DBCC512D}"/>
    <cellStyle name="Normal 8 2 3 2 5" xfId="1786" xr:uid="{00000000-0005-0000-0000-0000B11C0000}"/>
    <cellStyle name="Normal 8 2 3 2 5 2" xfId="4016" xr:uid="{00000000-0005-0000-0000-0000B21C0000}"/>
    <cellStyle name="Normal 8 2 3 2 5 2 2" xfId="8238" xr:uid="{00000000-0005-0000-0000-0000B31C0000}"/>
    <cellStyle name="Normal 8 2 3 2 5 2 2 2" xfId="33570" xr:uid="{98136D2F-D2A4-4E07-8873-75A59E519B28}"/>
    <cellStyle name="Normal 8 2 3 2 5 2 2 3" xfId="25129" xr:uid="{C3017F38-AE93-4784-8100-F9FC4E646F2D}"/>
    <cellStyle name="Normal 8 2 3 2 5 2 2 4" xfId="16688" xr:uid="{E7A1540B-8A12-4613-874E-72ABD82F3FE7}"/>
    <cellStyle name="Normal 8 2 3 2 5 2 3" xfId="29352" xr:uid="{DF6A886F-A602-43BF-97ED-7511556E407E}"/>
    <cellStyle name="Normal 8 2 3 2 5 2 4" xfId="20911" xr:uid="{81540217-CBCC-4DE4-B030-8A9964BF347A}"/>
    <cellStyle name="Normal 8 2 3 2 5 2 5" xfId="12470" xr:uid="{891657B6-98F6-455E-A03E-3984D5E5F276}"/>
    <cellStyle name="Normal 8 2 3 2 5 3" xfId="6093" xr:uid="{00000000-0005-0000-0000-0000B41C0000}"/>
    <cellStyle name="Normal 8 2 3 2 5 3 2" xfId="31425" xr:uid="{4FE38AD7-DD19-4D78-8417-F3BB143A4664}"/>
    <cellStyle name="Normal 8 2 3 2 5 3 3" xfId="22984" xr:uid="{E2FF2B6B-B0FB-4865-BF2C-465553CC38CF}"/>
    <cellStyle name="Normal 8 2 3 2 5 3 4" xfId="14543" xr:uid="{1B82289B-2028-4F0B-89B1-793F92122A8D}"/>
    <cellStyle name="Normal 8 2 3 2 5 4" xfId="27207" xr:uid="{8957C92F-F33E-40C9-878D-A5C570E0E492}"/>
    <cellStyle name="Normal 8 2 3 2 5 5" xfId="18766" xr:uid="{A9AC79B4-F9AD-47E8-98D7-0E5DB478AEF0}"/>
    <cellStyle name="Normal 8 2 3 2 5 6" xfId="10325" xr:uid="{E9008DBF-98A8-493C-B7AF-DECCEB667001}"/>
    <cellStyle name="Normal 8 2 3 2 6" xfId="2200" xr:uid="{00000000-0005-0000-0000-0000B51C0000}"/>
    <cellStyle name="Normal 8 2 3 2 6 2" xfId="4429" xr:uid="{00000000-0005-0000-0000-0000B61C0000}"/>
    <cellStyle name="Normal 8 2 3 2 6 2 2" xfId="8651" xr:uid="{00000000-0005-0000-0000-0000B71C0000}"/>
    <cellStyle name="Normal 8 2 3 2 6 2 2 2" xfId="33983" xr:uid="{BD4EED8F-35FC-40A5-ADAC-4E642EDDF250}"/>
    <cellStyle name="Normal 8 2 3 2 6 2 2 3" xfId="25542" xr:uid="{10F83594-8C4D-4420-9ED3-5D7072B5E6BC}"/>
    <cellStyle name="Normal 8 2 3 2 6 2 2 4" xfId="17101" xr:uid="{DC9BD953-F164-42AC-A664-78CD6798E07A}"/>
    <cellStyle name="Normal 8 2 3 2 6 2 3" xfId="29765" xr:uid="{128E9DF6-6780-462C-A150-BE70946659DE}"/>
    <cellStyle name="Normal 8 2 3 2 6 2 4" xfId="21324" xr:uid="{7091C56C-6510-454F-A083-4B5D1E35350B}"/>
    <cellStyle name="Normal 8 2 3 2 6 2 5" xfId="12883" xr:uid="{08D15F37-6FD7-4C91-B3CA-A16B28CD857A}"/>
    <cellStyle name="Normal 8 2 3 2 6 3" xfId="6506" xr:uid="{00000000-0005-0000-0000-0000B81C0000}"/>
    <cellStyle name="Normal 8 2 3 2 6 3 2" xfId="31838" xr:uid="{36ABB711-8662-42AA-8A0C-6158AB876A2C}"/>
    <cellStyle name="Normal 8 2 3 2 6 3 3" xfId="23397" xr:uid="{FFAB3CE8-F68A-4C90-A127-1811728A2A83}"/>
    <cellStyle name="Normal 8 2 3 2 6 3 4" xfId="14956" xr:uid="{C3B4F661-6803-45FF-B1EE-25E97B3BB1F3}"/>
    <cellStyle name="Normal 8 2 3 2 6 4" xfId="27620" xr:uid="{04DD81DE-2766-49FD-A263-403E683B5796}"/>
    <cellStyle name="Normal 8 2 3 2 6 5" xfId="19179" xr:uid="{25BFAB7F-177C-460C-B3A2-99668DDC9385}"/>
    <cellStyle name="Normal 8 2 3 2 6 6" xfId="10738" xr:uid="{1AF18E38-73E8-442D-AEE5-19C43B3F080E}"/>
    <cellStyle name="Normal 8 2 3 2 7" xfId="2636" xr:uid="{00000000-0005-0000-0000-0000B91C0000}"/>
    <cellStyle name="Normal 8 2 3 2 7 2" xfId="6919" xr:uid="{00000000-0005-0000-0000-0000BA1C0000}"/>
    <cellStyle name="Normal 8 2 3 2 7 2 2" xfId="32251" xr:uid="{95B63373-1278-4CC1-A6B6-B6D12813052A}"/>
    <cellStyle name="Normal 8 2 3 2 7 2 3" xfId="23810" xr:uid="{C115CCC3-E6B8-4A76-88FE-6E8A2D6BC438}"/>
    <cellStyle name="Normal 8 2 3 2 7 2 4" xfId="15369" xr:uid="{DCEF4905-7C36-4DFB-82E1-191E18670F4F}"/>
    <cellStyle name="Normal 8 2 3 2 7 3" xfId="28033" xr:uid="{D93A109B-A2DC-4EE1-848B-23DD37FB5C0A}"/>
    <cellStyle name="Normal 8 2 3 2 7 4" xfId="19592" xr:uid="{8DC65C9E-B273-4EDC-A75C-9C91680F59FF}"/>
    <cellStyle name="Normal 8 2 3 2 7 5" xfId="11151" xr:uid="{73DD707F-F55E-45FA-A28A-9C1CAC2B3B07}"/>
    <cellStyle name="Normal 8 2 3 2 8" xfId="4854" xr:uid="{00000000-0005-0000-0000-0000BB1C0000}"/>
    <cellStyle name="Normal 8 2 3 2 8 2" xfId="30186" xr:uid="{79C15000-57AC-4E0F-A55C-D765BCB2B8F1}"/>
    <cellStyle name="Normal 8 2 3 2 8 3" xfId="21745" xr:uid="{737F77C0-B5CB-42A8-BC40-CD13129D6252}"/>
    <cellStyle name="Normal 8 2 3 2 8 4" xfId="13304" xr:uid="{90776EF2-B6A9-4B40-AC20-1E496AFA3B1D}"/>
    <cellStyle name="Normal 8 2 3 2 9" xfId="25968" xr:uid="{96DBF16D-B590-4AD2-94D0-9740ED9B8289}"/>
    <cellStyle name="Normal 8 2 3 3" xfId="491" xr:uid="{00000000-0005-0000-0000-0000BC1C0000}"/>
    <cellStyle name="Normal 8 2 3 3 10" xfId="9088" xr:uid="{6A556EA2-3879-40CA-84C8-CE795B5542F6}"/>
    <cellStyle name="Normal 8 2 3 3 2" xfId="958" xr:uid="{00000000-0005-0000-0000-0000BD1C0000}"/>
    <cellStyle name="Normal 8 2 3 3 2 2" xfId="3192" xr:uid="{00000000-0005-0000-0000-0000BE1C0000}"/>
    <cellStyle name="Normal 8 2 3 3 2 2 2" xfId="7414" xr:uid="{00000000-0005-0000-0000-0000BF1C0000}"/>
    <cellStyle name="Normal 8 2 3 3 2 2 2 2" xfId="32746" xr:uid="{287FC7D6-3ABD-48F5-8284-3AE707BBF430}"/>
    <cellStyle name="Normal 8 2 3 3 2 2 2 3" xfId="24305" xr:uid="{50E6B962-F16C-4092-B55F-E13729C8F5F2}"/>
    <cellStyle name="Normal 8 2 3 3 2 2 2 4" xfId="15864" xr:uid="{68B7D1D4-38C3-45D0-B16A-D08283D68131}"/>
    <cellStyle name="Normal 8 2 3 3 2 2 3" xfId="28528" xr:uid="{5EBAAADB-B6B5-4047-8AC9-B29816B2ED49}"/>
    <cellStyle name="Normal 8 2 3 3 2 2 4" xfId="20087" xr:uid="{1DB43220-AEF2-4E4C-BB53-61628C848D61}"/>
    <cellStyle name="Normal 8 2 3 3 2 2 5" xfId="11646" xr:uid="{8A484D20-5423-4916-9153-E9CD59E8C7E2}"/>
    <cellStyle name="Normal 8 2 3 3 2 3" xfId="5269" xr:uid="{00000000-0005-0000-0000-0000C01C0000}"/>
    <cellStyle name="Normal 8 2 3 3 2 3 2" xfId="30601" xr:uid="{263DC97A-B2AC-4CE0-BDBF-AED76E04A6B4}"/>
    <cellStyle name="Normal 8 2 3 3 2 3 3" xfId="22160" xr:uid="{9CE3274A-FBB1-4636-B69E-82172FABF8F4}"/>
    <cellStyle name="Normal 8 2 3 3 2 3 4" xfId="13719" xr:uid="{86E5F6DA-CE06-4D91-91FA-610629E3576A}"/>
    <cellStyle name="Normal 8 2 3 3 2 4" xfId="26383" xr:uid="{22F37EFD-B022-46FF-B500-099B79A8A269}"/>
    <cellStyle name="Normal 8 2 3 3 2 5" xfId="17942" xr:uid="{8E4B684D-AC2A-47F7-9790-518ABFD5434A}"/>
    <cellStyle name="Normal 8 2 3 3 2 6" xfId="9501" xr:uid="{677406C1-4A39-4A82-80AE-9AD3C92741FE}"/>
    <cellStyle name="Normal 8 2 3 3 3" xfId="1375" xr:uid="{00000000-0005-0000-0000-0000C11C0000}"/>
    <cellStyle name="Normal 8 2 3 3 3 2" xfId="3605" xr:uid="{00000000-0005-0000-0000-0000C21C0000}"/>
    <cellStyle name="Normal 8 2 3 3 3 2 2" xfId="7827" xr:uid="{00000000-0005-0000-0000-0000C31C0000}"/>
    <cellStyle name="Normal 8 2 3 3 3 2 2 2" xfId="33159" xr:uid="{911DC35C-8C80-43D1-8C9E-E55EDEE65DE1}"/>
    <cellStyle name="Normal 8 2 3 3 3 2 2 3" xfId="24718" xr:uid="{28E15C14-9F86-4254-9768-7EE5E21B18D2}"/>
    <cellStyle name="Normal 8 2 3 3 3 2 2 4" xfId="16277" xr:uid="{4B8AE11C-8924-48ED-99A4-58FAAAE0B169}"/>
    <cellStyle name="Normal 8 2 3 3 3 2 3" xfId="28941" xr:uid="{A06EFE1A-F949-4E57-8942-191DBDFDC9E3}"/>
    <cellStyle name="Normal 8 2 3 3 3 2 4" xfId="20500" xr:uid="{09BCEFE9-77C8-4E8C-8455-41C14DC519B8}"/>
    <cellStyle name="Normal 8 2 3 3 3 2 5" xfId="12059" xr:uid="{73D9F443-04A3-44FB-AC97-D328D614616B}"/>
    <cellStyle name="Normal 8 2 3 3 3 3" xfId="5682" xr:uid="{00000000-0005-0000-0000-0000C41C0000}"/>
    <cellStyle name="Normal 8 2 3 3 3 3 2" xfId="31014" xr:uid="{B910EBA1-23BD-4636-B0AA-B7549B57F0C2}"/>
    <cellStyle name="Normal 8 2 3 3 3 3 3" xfId="22573" xr:uid="{B265B672-F0AA-4FFA-AB05-5843C5E33320}"/>
    <cellStyle name="Normal 8 2 3 3 3 3 4" xfId="14132" xr:uid="{95B7F6EA-3612-4F5C-9F9C-D7E29046FF59}"/>
    <cellStyle name="Normal 8 2 3 3 3 4" xfId="26796" xr:uid="{EF9EB90D-2B2D-4B79-83DC-72C3AF83C062}"/>
    <cellStyle name="Normal 8 2 3 3 3 5" xfId="18355" xr:uid="{22E2EC0B-F093-4B49-84C4-1E73FD572BDF}"/>
    <cellStyle name="Normal 8 2 3 3 3 6" xfId="9914" xr:uid="{4816DC98-EE7B-4216-81F6-1F9A6DC0F9E8}"/>
    <cellStyle name="Normal 8 2 3 3 4" xfId="1788" xr:uid="{00000000-0005-0000-0000-0000C51C0000}"/>
    <cellStyle name="Normal 8 2 3 3 4 2" xfId="4018" xr:uid="{00000000-0005-0000-0000-0000C61C0000}"/>
    <cellStyle name="Normal 8 2 3 3 4 2 2" xfId="8240" xr:uid="{00000000-0005-0000-0000-0000C71C0000}"/>
    <cellStyle name="Normal 8 2 3 3 4 2 2 2" xfId="33572" xr:uid="{938C90C7-CC92-4157-8482-E26CF471A4AC}"/>
    <cellStyle name="Normal 8 2 3 3 4 2 2 3" xfId="25131" xr:uid="{B536A082-3AD9-46CE-940C-8543650B67A0}"/>
    <cellStyle name="Normal 8 2 3 3 4 2 2 4" xfId="16690" xr:uid="{A919B83D-9E3A-47CF-B5AA-24A2BF165C86}"/>
    <cellStyle name="Normal 8 2 3 3 4 2 3" xfId="29354" xr:uid="{DFFB9F96-02AB-4231-B016-67314F1CF347}"/>
    <cellStyle name="Normal 8 2 3 3 4 2 4" xfId="20913" xr:uid="{116C9098-8B72-42C1-94BB-16F5D8A62DB0}"/>
    <cellStyle name="Normal 8 2 3 3 4 2 5" xfId="12472" xr:uid="{A33A2AB8-3927-4ECF-BCC5-08E5499EE3D3}"/>
    <cellStyle name="Normal 8 2 3 3 4 3" xfId="6095" xr:uid="{00000000-0005-0000-0000-0000C81C0000}"/>
    <cellStyle name="Normal 8 2 3 3 4 3 2" xfId="31427" xr:uid="{8E2FB2AF-9220-461E-B6F5-706590E4329C}"/>
    <cellStyle name="Normal 8 2 3 3 4 3 3" xfId="22986" xr:uid="{438D4090-97D5-42EF-92A0-284B43E62C9B}"/>
    <cellStyle name="Normal 8 2 3 3 4 3 4" xfId="14545" xr:uid="{20889B0F-1FB2-48B6-BCC3-8B0EB86E2E0D}"/>
    <cellStyle name="Normal 8 2 3 3 4 4" xfId="27209" xr:uid="{9B17474B-D486-4050-ACB9-7D6876455E12}"/>
    <cellStyle name="Normal 8 2 3 3 4 5" xfId="18768" xr:uid="{8FAAC197-04EF-473F-89ED-FE724AD38353}"/>
    <cellStyle name="Normal 8 2 3 3 4 6" xfId="10327" xr:uid="{CC372551-5387-49F1-87EC-4124E0A4303F}"/>
    <cellStyle name="Normal 8 2 3 3 5" xfId="2202" xr:uid="{00000000-0005-0000-0000-0000C91C0000}"/>
    <cellStyle name="Normal 8 2 3 3 5 2" xfId="4431" xr:uid="{00000000-0005-0000-0000-0000CA1C0000}"/>
    <cellStyle name="Normal 8 2 3 3 5 2 2" xfId="8653" xr:uid="{00000000-0005-0000-0000-0000CB1C0000}"/>
    <cellStyle name="Normal 8 2 3 3 5 2 2 2" xfId="33985" xr:uid="{EED2C8C2-EAB9-4455-8021-F9C3A1643C3C}"/>
    <cellStyle name="Normal 8 2 3 3 5 2 2 3" xfId="25544" xr:uid="{4CF86B53-9845-4BF8-9EF6-C9E14EAB38D0}"/>
    <cellStyle name="Normal 8 2 3 3 5 2 2 4" xfId="17103" xr:uid="{22C595D6-0790-4356-A636-D5DD59677E0A}"/>
    <cellStyle name="Normal 8 2 3 3 5 2 3" xfId="29767" xr:uid="{7CBEC096-EE5E-4911-9446-7203727C16F4}"/>
    <cellStyle name="Normal 8 2 3 3 5 2 4" xfId="21326" xr:uid="{9C557B62-F8B9-4B86-B6DF-E28C608AF29E}"/>
    <cellStyle name="Normal 8 2 3 3 5 2 5" xfId="12885" xr:uid="{588BC642-5035-40E8-B36B-7A4396F10DBA}"/>
    <cellStyle name="Normal 8 2 3 3 5 3" xfId="6508" xr:uid="{00000000-0005-0000-0000-0000CC1C0000}"/>
    <cellStyle name="Normal 8 2 3 3 5 3 2" xfId="31840" xr:uid="{C1824DC2-F502-424E-8460-45A381A7C33E}"/>
    <cellStyle name="Normal 8 2 3 3 5 3 3" xfId="23399" xr:uid="{06DD2754-4AD6-40DA-BA24-13B60DAC2EAC}"/>
    <cellStyle name="Normal 8 2 3 3 5 3 4" xfId="14958" xr:uid="{C54A8EB3-375C-4739-8FC1-0D5057A23CB1}"/>
    <cellStyle name="Normal 8 2 3 3 5 4" xfId="27622" xr:uid="{9424A4DA-B2C3-4D55-B635-B7A9B3CF5519}"/>
    <cellStyle name="Normal 8 2 3 3 5 5" xfId="19181" xr:uid="{5DB98E94-8635-451E-9AB0-1AA0BA4EB0B5}"/>
    <cellStyle name="Normal 8 2 3 3 5 6" xfId="10740" xr:uid="{B2377D6F-825B-480A-8AD7-E3598548332D}"/>
    <cellStyle name="Normal 8 2 3 3 6" xfId="2638" xr:uid="{00000000-0005-0000-0000-0000CD1C0000}"/>
    <cellStyle name="Normal 8 2 3 3 6 2" xfId="6921" xr:uid="{00000000-0005-0000-0000-0000CE1C0000}"/>
    <cellStyle name="Normal 8 2 3 3 6 2 2" xfId="32253" xr:uid="{9FE13AB1-41F9-4C34-AEF5-B2114DBEE025}"/>
    <cellStyle name="Normal 8 2 3 3 6 2 3" xfId="23812" xr:uid="{FE077B1B-7C6F-4F2E-A9D1-A59DC2D1DFA1}"/>
    <cellStyle name="Normal 8 2 3 3 6 2 4" xfId="15371" xr:uid="{EA192BCD-323B-4821-918C-46D12596FABB}"/>
    <cellStyle name="Normal 8 2 3 3 6 3" xfId="28035" xr:uid="{F1D370CD-907C-49B4-8B3F-0B4DF8661C92}"/>
    <cellStyle name="Normal 8 2 3 3 6 4" xfId="19594" xr:uid="{14FB9B64-C728-4FE1-87F7-D1222A4A4D31}"/>
    <cellStyle name="Normal 8 2 3 3 6 5" xfId="11153" xr:uid="{CF2AF87B-50C0-43EE-AE38-02AF91F05C13}"/>
    <cellStyle name="Normal 8 2 3 3 7" xfId="4856" xr:uid="{00000000-0005-0000-0000-0000CF1C0000}"/>
    <cellStyle name="Normal 8 2 3 3 7 2" xfId="30188" xr:uid="{3C8D692E-D04E-4390-A3AA-2ABCF4244D9E}"/>
    <cellStyle name="Normal 8 2 3 3 7 3" xfId="21747" xr:uid="{CC419E0F-EACA-4ACF-97AB-88942A6A36B8}"/>
    <cellStyle name="Normal 8 2 3 3 7 4" xfId="13306" xr:uid="{03F1BEEA-CCBC-45AE-AD6A-ED1EF45421D3}"/>
    <cellStyle name="Normal 8 2 3 3 8" xfId="25970" xr:uid="{3444C27D-68AB-4331-9C0A-64DC821B5108}"/>
    <cellStyle name="Normal 8 2 3 3 9" xfId="17529" xr:uid="{AD306057-A7C8-4468-B92F-49C56481ED30}"/>
    <cellStyle name="Normal 8 2 3 4" xfId="955" xr:uid="{00000000-0005-0000-0000-0000D01C0000}"/>
    <cellStyle name="Normal 8 2 3 4 2" xfId="3189" xr:uid="{00000000-0005-0000-0000-0000D11C0000}"/>
    <cellStyle name="Normal 8 2 3 4 2 2" xfId="7411" xr:uid="{00000000-0005-0000-0000-0000D21C0000}"/>
    <cellStyle name="Normal 8 2 3 4 2 2 2" xfId="32743" xr:uid="{71727F8D-145E-4D51-8F25-0D28AA70C85D}"/>
    <cellStyle name="Normal 8 2 3 4 2 2 3" xfId="24302" xr:uid="{D027EE2F-088D-49B1-B678-0CEA14506E22}"/>
    <cellStyle name="Normal 8 2 3 4 2 2 4" xfId="15861" xr:uid="{05A1C9CF-AB59-4501-943C-6B614F98F980}"/>
    <cellStyle name="Normal 8 2 3 4 2 3" xfId="28525" xr:uid="{ABA316A0-9CE2-4510-82C7-C453E545A442}"/>
    <cellStyle name="Normal 8 2 3 4 2 4" xfId="20084" xr:uid="{03FA0ADD-D544-477F-BE9E-8354B32CD87D}"/>
    <cellStyle name="Normal 8 2 3 4 2 5" xfId="11643" xr:uid="{CA8A3FB8-969E-4DDD-B04D-CFAC6CB4113D}"/>
    <cellStyle name="Normal 8 2 3 4 3" xfId="5266" xr:uid="{00000000-0005-0000-0000-0000D31C0000}"/>
    <cellStyle name="Normal 8 2 3 4 3 2" xfId="30598" xr:uid="{4688B352-9996-445F-AF28-1CDC1385B482}"/>
    <cellStyle name="Normal 8 2 3 4 3 3" xfId="22157" xr:uid="{7A262AF6-634E-4F2E-B6FA-BDD59A44E663}"/>
    <cellStyle name="Normal 8 2 3 4 3 4" xfId="13716" xr:uid="{CE5501F8-3D66-4B5B-A284-3DB9908B62AE}"/>
    <cellStyle name="Normal 8 2 3 4 4" xfId="26380" xr:uid="{29F4A852-84BF-4382-A016-AFB876809E82}"/>
    <cellStyle name="Normal 8 2 3 4 5" xfId="17939" xr:uid="{85D2335C-0390-4494-A601-D00176DF6EE9}"/>
    <cellStyle name="Normal 8 2 3 4 6" xfId="9498" xr:uid="{F6579357-1C7D-4944-ACE8-007E9754F98B}"/>
    <cellStyle name="Normal 8 2 3 5" xfId="1372" xr:uid="{00000000-0005-0000-0000-0000D41C0000}"/>
    <cellStyle name="Normal 8 2 3 5 2" xfId="3602" xr:uid="{00000000-0005-0000-0000-0000D51C0000}"/>
    <cellStyle name="Normal 8 2 3 5 2 2" xfId="7824" xr:uid="{00000000-0005-0000-0000-0000D61C0000}"/>
    <cellStyle name="Normal 8 2 3 5 2 2 2" xfId="33156" xr:uid="{1D2979B9-739D-4649-9679-E776F925A5B8}"/>
    <cellStyle name="Normal 8 2 3 5 2 2 3" xfId="24715" xr:uid="{1EB13A23-A592-44F5-B17E-9005C4B25A28}"/>
    <cellStyle name="Normal 8 2 3 5 2 2 4" xfId="16274" xr:uid="{515B9FFD-1078-4FB6-BCF7-0D502A489FDD}"/>
    <cellStyle name="Normal 8 2 3 5 2 3" xfId="28938" xr:uid="{58973E4C-E13E-4357-A501-2B12396EC630}"/>
    <cellStyle name="Normal 8 2 3 5 2 4" xfId="20497" xr:uid="{67D27A82-0CF7-46B0-A2A8-5E20711E35EF}"/>
    <cellStyle name="Normal 8 2 3 5 2 5" xfId="12056" xr:uid="{D5726F7B-D942-4856-9EA8-7536514B13E4}"/>
    <cellStyle name="Normal 8 2 3 5 3" xfId="5679" xr:uid="{00000000-0005-0000-0000-0000D71C0000}"/>
    <cellStyle name="Normal 8 2 3 5 3 2" xfId="31011" xr:uid="{5289E7FD-528B-4D15-9265-0719CAFC07BC}"/>
    <cellStyle name="Normal 8 2 3 5 3 3" xfId="22570" xr:uid="{47D924C5-4843-4822-BE9D-9DFE87B734E8}"/>
    <cellStyle name="Normal 8 2 3 5 3 4" xfId="14129" xr:uid="{FD09825F-42D5-473D-B84B-561D709773E6}"/>
    <cellStyle name="Normal 8 2 3 5 4" xfId="26793" xr:uid="{8EA4A16D-CD6C-4FDD-8965-ABBAD7D7F456}"/>
    <cellStyle name="Normal 8 2 3 5 5" xfId="18352" xr:uid="{01C71A77-E848-4771-9715-6FF73F7A2C0F}"/>
    <cellStyle name="Normal 8 2 3 5 6" xfId="9911" xr:uid="{0F5E2137-D0C2-4ACC-8A72-4ED3FF6E9876}"/>
    <cellStyle name="Normal 8 2 3 6" xfId="1785" xr:uid="{00000000-0005-0000-0000-0000D81C0000}"/>
    <cellStyle name="Normal 8 2 3 6 2" xfId="4015" xr:uid="{00000000-0005-0000-0000-0000D91C0000}"/>
    <cellStyle name="Normal 8 2 3 6 2 2" xfId="8237" xr:uid="{00000000-0005-0000-0000-0000DA1C0000}"/>
    <cellStyle name="Normal 8 2 3 6 2 2 2" xfId="33569" xr:uid="{1B901FFF-1E9F-4548-AB67-DB9788E543BC}"/>
    <cellStyle name="Normal 8 2 3 6 2 2 3" xfId="25128" xr:uid="{347484CF-AE8D-43E8-89EC-0728024E9FB9}"/>
    <cellStyle name="Normal 8 2 3 6 2 2 4" xfId="16687" xr:uid="{9E6903A6-B06A-4F1C-8AC2-67FA74A08661}"/>
    <cellStyle name="Normal 8 2 3 6 2 3" xfId="29351" xr:uid="{9C609C9E-71FE-406F-A58D-7651C0AD4A30}"/>
    <cellStyle name="Normal 8 2 3 6 2 4" xfId="20910" xr:uid="{866CC1CD-C404-417D-8F63-AB5F111A11C1}"/>
    <cellStyle name="Normal 8 2 3 6 2 5" xfId="12469" xr:uid="{21B6EDBC-FCF3-4285-94F1-ACBB40B8425F}"/>
    <cellStyle name="Normal 8 2 3 6 3" xfId="6092" xr:uid="{00000000-0005-0000-0000-0000DB1C0000}"/>
    <cellStyle name="Normal 8 2 3 6 3 2" xfId="31424" xr:uid="{E08C1096-1A53-42AC-B996-6FAEA843FF9D}"/>
    <cellStyle name="Normal 8 2 3 6 3 3" xfId="22983" xr:uid="{1BA80697-D033-4088-973F-1640EA0D6302}"/>
    <cellStyle name="Normal 8 2 3 6 3 4" xfId="14542" xr:uid="{B890AE98-16BF-49EF-9537-0E73C531BA76}"/>
    <cellStyle name="Normal 8 2 3 6 4" xfId="27206" xr:uid="{18001346-1BB9-48A4-A45A-FDF544B89D5B}"/>
    <cellStyle name="Normal 8 2 3 6 5" xfId="18765" xr:uid="{7D31D04E-4A49-4B49-95C2-2FFAF63189D1}"/>
    <cellStyle name="Normal 8 2 3 6 6" xfId="10324" xr:uid="{F70EA168-393F-46DF-B176-D15AE9D5022D}"/>
    <cellStyle name="Normal 8 2 3 7" xfId="2199" xr:uid="{00000000-0005-0000-0000-0000DC1C0000}"/>
    <cellStyle name="Normal 8 2 3 7 2" xfId="4428" xr:uid="{00000000-0005-0000-0000-0000DD1C0000}"/>
    <cellStyle name="Normal 8 2 3 7 2 2" xfId="8650" xr:uid="{00000000-0005-0000-0000-0000DE1C0000}"/>
    <cellStyle name="Normal 8 2 3 7 2 2 2" xfId="33982" xr:uid="{353C811D-90B8-4D88-A26E-FF146C765FA3}"/>
    <cellStyle name="Normal 8 2 3 7 2 2 3" xfId="25541" xr:uid="{D676892B-9DBC-4D17-8E15-920802186D30}"/>
    <cellStyle name="Normal 8 2 3 7 2 2 4" xfId="17100" xr:uid="{B2829EB8-72F5-40FA-9B40-987CA9D02CF0}"/>
    <cellStyle name="Normal 8 2 3 7 2 3" xfId="29764" xr:uid="{5155D210-9360-47D8-B317-DB93831B4826}"/>
    <cellStyle name="Normal 8 2 3 7 2 4" xfId="21323" xr:uid="{B73EB3E9-5BBB-482C-9AD1-7A1F0E77E011}"/>
    <cellStyle name="Normal 8 2 3 7 2 5" xfId="12882" xr:uid="{334CAD5A-9672-493F-8431-0DA18B1DC7B5}"/>
    <cellStyle name="Normal 8 2 3 7 3" xfId="6505" xr:uid="{00000000-0005-0000-0000-0000DF1C0000}"/>
    <cellStyle name="Normal 8 2 3 7 3 2" xfId="31837" xr:uid="{27D972AD-5B49-4BA7-8C9D-9EEA2279B76A}"/>
    <cellStyle name="Normal 8 2 3 7 3 3" xfId="23396" xr:uid="{CC8AE953-0B91-469D-8918-6054BE46E86E}"/>
    <cellStyle name="Normal 8 2 3 7 3 4" xfId="14955" xr:uid="{EFCF071B-FB62-4AA1-8D59-8612A6A6E027}"/>
    <cellStyle name="Normal 8 2 3 7 4" xfId="27619" xr:uid="{A33D7B81-7BA5-472A-BAE5-D999C924960E}"/>
    <cellStyle name="Normal 8 2 3 7 5" xfId="19178" xr:uid="{EF21616B-39C2-438B-B202-9FFE5F70F127}"/>
    <cellStyle name="Normal 8 2 3 7 6" xfId="10737" xr:uid="{A88244E0-6FAC-40AB-8A0F-3969F3DC51D3}"/>
    <cellStyle name="Normal 8 2 3 8" xfId="2635" xr:uid="{00000000-0005-0000-0000-0000E01C0000}"/>
    <cellStyle name="Normal 8 2 3 8 2" xfId="6918" xr:uid="{00000000-0005-0000-0000-0000E11C0000}"/>
    <cellStyle name="Normal 8 2 3 8 2 2" xfId="32250" xr:uid="{5C99E7D1-FE12-4303-B663-D5390E4B63DD}"/>
    <cellStyle name="Normal 8 2 3 8 2 3" xfId="23809" xr:uid="{1CAB596C-4DBE-45FC-A998-8273F05D9A92}"/>
    <cellStyle name="Normal 8 2 3 8 2 4" xfId="15368" xr:uid="{D8823340-3646-4115-A951-9DF0C9FB857F}"/>
    <cellStyle name="Normal 8 2 3 8 3" xfId="28032" xr:uid="{571BE69D-5A04-440B-816C-58D3B220960D}"/>
    <cellStyle name="Normal 8 2 3 8 4" xfId="19591" xr:uid="{00003626-4385-4A8F-9AEC-E7873376751B}"/>
    <cellStyle name="Normal 8 2 3 8 5" xfId="11150" xr:uid="{C0C0B79A-B061-42D4-B897-12E641CE6129}"/>
    <cellStyle name="Normal 8 2 3 9" xfId="4853" xr:uid="{00000000-0005-0000-0000-0000E21C0000}"/>
    <cellStyle name="Normal 8 2 3 9 2" xfId="30185" xr:uid="{A06AD319-815F-45FF-A448-E5F73C989D0A}"/>
    <cellStyle name="Normal 8 2 3 9 3" xfId="21744" xr:uid="{33D0B6C8-1246-4A7A-8812-2E565D8016DC}"/>
    <cellStyle name="Normal 8 2 3 9 4" xfId="13303" xr:uid="{29DDAD74-1180-4E53-844D-6C74A3A5D9D0}"/>
    <cellStyle name="Normal 8 2 4" xfId="492" xr:uid="{00000000-0005-0000-0000-0000E31C0000}"/>
    <cellStyle name="Normal 8 2 4 10" xfId="17530" xr:uid="{01A4A7BB-A986-4EC7-86F8-47CFDA16BE87}"/>
    <cellStyle name="Normal 8 2 4 11" xfId="9089" xr:uid="{19ADB57E-4AB0-4C4B-AE00-D548BB216514}"/>
    <cellStyle name="Normal 8 2 4 2" xfId="493" xr:uid="{00000000-0005-0000-0000-0000E41C0000}"/>
    <cellStyle name="Normal 8 2 4 2 10" xfId="9090" xr:uid="{7C892E0A-59B0-4B6E-BBF8-886A2FBAB01C}"/>
    <cellStyle name="Normal 8 2 4 2 2" xfId="960" xr:uid="{00000000-0005-0000-0000-0000E51C0000}"/>
    <cellStyle name="Normal 8 2 4 2 2 2" xfId="3194" xr:uid="{00000000-0005-0000-0000-0000E61C0000}"/>
    <cellStyle name="Normal 8 2 4 2 2 2 2" xfId="7416" xr:uid="{00000000-0005-0000-0000-0000E71C0000}"/>
    <cellStyle name="Normal 8 2 4 2 2 2 2 2" xfId="32748" xr:uid="{36A41172-091F-4FB8-9363-4270157790E8}"/>
    <cellStyle name="Normal 8 2 4 2 2 2 2 3" xfId="24307" xr:uid="{AF61FBBC-D9B8-45D8-897C-363ECA954109}"/>
    <cellStyle name="Normal 8 2 4 2 2 2 2 4" xfId="15866" xr:uid="{2D7D4580-57D4-4131-8766-A5A2823E413A}"/>
    <cellStyle name="Normal 8 2 4 2 2 2 3" xfId="28530" xr:uid="{FB4C6865-2D10-4E90-91AF-118CD93FF340}"/>
    <cellStyle name="Normal 8 2 4 2 2 2 4" xfId="20089" xr:uid="{BD24DB1B-8C68-4AD6-94C3-A5D519BA8D41}"/>
    <cellStyle name="Normal 8 2 4 2 2 2 5" xfId="11648" xr:uid="{C5D12AA4-389F-413C-9F7A-9888DC7F526B}"/>
    <cellStyle name="Normal 8 2 4 2 2 3" xfId="5271" xr:uid="{00000000-0005-0000-0000-0000E81C0000}"/>
    <cellStyle name="Normal 8 2 4 2 2 3 2" xfId="30603" xr:uid="{957C8E29-F6FD-43D8-9E13-BF5B1B8DAB1F}"/>
    <cellStyle name="Normal 8 2 4 2 2 3 3" xfId="22162" xr:uid="{4FF5EB0B-2F1E-4529-A5D9-1661510C9A8B}"/>
    <cellStyle name="Normal 8 2 4 2 2 3 4" xfId="13721" xr:uid="{6D8F9058-C0D0-45FC-9E0D-382D68215485}"/>
    <cellStyle name="Normal 8 2 4 2 2 4" xfId="26385" xr:uid="{FE35EA06-D632-4254-A068-4513CFCBB5DB}"/>
    <cellStyle name="Normal 8 2 4 2 2 5" xfId="17944" xr:uid="{0482A540-56EB-4CB2-89D0-BB91A2D92988}"/>
    <cellStyle name="Normal 8 2 4 2 2 6" xfId="9503" xr:uid="{F39222BD-DF62-48E9-8EE1-FDB0EC68F5F1}"/>
    <cellStyle name="Normal 8 2 4 2 3" xfId="1377" xr:uid="{00000000-0005-0000-0000-0000E91C0000}"/>
    <cellStyle name="Normal 8 2 4 2 3 2" xfId="3607" xr:uid="{00000000-0005-0000-0000-0000EA1C0000}"/>
    <cellStyle name="Normal 8 2 4 2 3 2 2" xfId="7829" xr:uid="{00000000-0005-0000-0000-0000EB1C0000}"/>
    <cellStyle name="Normal 8 2 4 2 3 2 2 2" xfId="33161" xr:uid="{E990432F-1810-4CED-AE66-5DC5A9219E27}"/>
    <cellStyle name="Normal 8 2 4 2 3 2 2 3" xfId="24720" xr:uid="{D15609F5-8607-4809-BD3B-9360F7BE789E}"/>
    <cellStyle name="Normal 8 2 4 2 3 2 2 4" xfId="16279" xr:uid="{4BA6CA30-5978-4703-9B29-F24953D051E2}"/>
    <cellStyle name="Normal 8 2 4 2 3 2 3" xfId="28943" xr:uid="{B58D7627-9367-4F34-B0BC-6CD5DB949E03}"/>
    <cellStyle name="Normal 8 2 4 2 3 2 4" xfId="20502" xr:uid="{E7017DCA-68AA-4668-AFE7-A871E9BE6FD3}"/>
    <cellStyle name="Normal 8 2 4 2 3 2 5" xfId="12061" xr:uid="{E1EF2DA4-3357-419F-82BC-ADABAEE7696E}"/>
    <cellStyle name="Normal 8 2 4 2 3 3" xfId="5684" xr:uid="{00000000-0005-0000-0000-0000EC1C0000}"/>
    <cellStyle name="Normal 8 2 4 2 3 3 2" xfId="31016" xr:uid="{64FBE456-BA95-43E8-A050-406CF1DC6D41}"/>
    <cellStyle name="Normal 8 2 4 2 3 3 3" xfId="22575" xr:uid="{A36FF3D6-B15F-4FD7-9311-18E87621474E}"/>
    <cellStyle name="Normal 8 2 4 2 3 3 4" xfId="14134" xr:uid="{55462109-9C7C-449D-855B-353ABC411062}"/>
    <cellStyle name="Normal 8 2 4 2 3 4" xfId="26798" xr:uid="{99FCECAA-3EB7-4044-9230-A1F0C06252BF}"/>
    <cellStyle name="Normal 8 2 4 2 3 5" xfId="18357" xr:uid="{D7D303BB-69B7-46ED-8535-30BE541FA30D}"/>
    <cellStyle name="Normal 8 2 4 2 3 6" xfId="9916" xr:uid="{E4E76585-F14F-4237-857D-9E10B0EEE482}"/>
    <cellStyle name="Normal 8 2 4 2 4" xfId="1790" xr:uid="{00000000-0005-0000-0000-0000ED1C0000}"/>
    <cellStyle name="Normal 8 2 4 2 4 2" xfId="4020" xr:uid="{00000000-0005-0000-0000-0000EE1C0000}"/>
    <cellStyle name="Normal 8 2 4 2 4 2 2" xfId="8242" xr:uid="{00000000-0005-0000-0000-0000EF1C0000}"/>
    <cellStyle name="Normal 8 2 4 2 4 2 2 2" xfId="33574" xr:uid="{85E0D1A9-59D5-431F-8041-90574CB7B883}"/>
    <cellStyle name="Normal 8 2 4 2 4 2 2 3" xfId="25133" xr:uid="{1658EFC9-319F-4716-B6F2-067BCBD56110}"/>
    <cellStyle name="Normal 8 2 4 2 4 2 2 4" xfId="16692" xr:uid="{AE49D0FF-898F-49E7-B8CF-929FDA66F76D}"/>
    <cellStyle name="Normal 8 2 4 2 4 2 3" xfId="29356" xr:uid="{A44FB2AD-7D6F-4004-92E0-E43A19076BD3}"/>
    <cellStyle name="Normal 8 2 4 2 4 2 4" xfId="20915" xr:uid="{76484524-C7C5-4688-8F77-90644251E409}"/>
    <cellStyle name="Normal 8 2 4 2 4 2 5" xfId="12474" xr:uid="{00B26105-25D3-4C2C-AD3A-DAB2A4F51365}"/>
    <cellStyle name="Normal 8 2 4 2 4 3" xfId="6097" xr:uid="{00000000-0005-0000-0000-0000F01C0000}"/>
    <cellStyle name="Normal 8 2 4 2 4 3 2" xfId="31429" xr:uid="{2A25A46C-8A04-4402-9006-F61318E449D9}"/>
    <cellStyle name="Normal 8 2 4 2 4 3 3" xfId="22988" xr:uid="{8A32A6E3-EC65-415D-8D4B-170FB2A6019F}"/>
    <cellStyle name="Normal 8 2 4 2 4 3 4" xfId="14547" xr:uid="{5D976A3E-4688-45C4-99B5-959BCF4D06D7}"/>
    <cellStyle name="Normal 8 2 4 2 4 4" xfId="27211" xr:uid="{BD333B9A-6FC6-41AB-A7D0-53545128A60E}"/>
    <cellStyle name="Normal 8 2 4 2 4 5" xfId="18770" xr:uid="{CCDF7E97-06EA-47F7-9E9D-73AE75016664}"/>
    <cellStyle name="Normal 8 2 4 2 4 6" xfId="10329" xr:uid="{CBE5B7BC-9A55-4044-803C-78C1BDF1DE18}"/>
    <cellStyle name="Normal 8 2 4 2 5" xfId="2204" xr:uid="{00000000-0005-0000-0000-0000F11C0000}"/>
    <cellStyle name="Normal 8 2 4 2 5 2" xfId="4433" xr:uid="{00000000-0005-0000-0000-0000F21C0000}"/>
    <cellStyle name="Normal 8 2 4 2 5 2 2" xfId="8655" xr:uid="{00000000-0005-0000-0000-0000F31C0000}"/>
    <cellStyle name="Normal 8 2 4 2 5 2 2 2" xfId="33987" xr:uid="{6618F7A0-C1A1-4CD9-A5FA-C2DB39716D58}"/>
    <cellStyle name="Normal 8 2 4 2 5 2 2 3" xfId="25546" xr:uid="{42F0CFFE-C4E2-4092-A579-10791D04D1FE}"/>
    <cellStyle name="Normal 8 2 4 2 5 2 2 4" xfId="17105" xr:uid="{C3B0B317-9E74-4B22-AF4E-42CC16A3A2A0}"/>
    <cellStyle name="Normal 8 2 4 2 5 2 3" xfId="29769" xr:uid="{397991E3-90BD-44B0-8E50-D2EEE4A4E57A}"/>
    <cellStyle name="Normal 8 2 4 2 5 2 4" xfId="21328" xr:uid="{B139A4FF-4282-40F8-97C3-FBA37D8F1EB7}"/>
    <cellStyle name="Normal 8 2 4 2 5 2 5" xfId="12887" xr:uid="{1937B553-1CF9-44A9-9216-5A46EBFA6F75}"/>
    <cellStyle name="Normal 8 2 4 2 5 3" xfId="6510" xr:uid="{00000000-0005-0000-0000-0000F41C0000}"/>
    <cellStyle name="Normal 8 2 4 2 5 3 2" xfId="31842" xr:uid="{BBB87AC0-6B85-43EF-BFDC-A0B56D67861B}"/>
    <cellStyle name="Normal 8 2 4 2 5 3 3" xfId="23401" xr:uid="{ABF9E35A-E364-438C-BD1D-CC7A924E6C81}"/>
    <cellStyle name="Normal 8 2 4 2 5 3 4" xfId="14960" xr:uid="{011BD3DE-5AE3-406D-AADC-235287589935}"/>
    <cellStyle name="Normal 8 2 4 2 5 4" xfId="27624" xr:uid="{12D58A25-552B-4EE2-A235-88E264E021C1}"/>
    <cellStyle name="Normal 8 2 4 2 5 5" xfId="19183" xr:uid="{42544083-6F45-4610-BF9F-EDE1C3B633B2}"/>
    <cellStyle name="Normal 8 2 4 2 5 6" xfId="10742" xr:uid="{13BFEB44-7B3A-4D01-B598-DA5F77D85D6B}"/>
    <cellStyle name="Normal 8 2 4 2 6" xfId="2640" xr:uid="{00000000-0005-0000-0000-0000F51C0000}"/>
    <cellStyle name="Normal 8 2 4 2 6 2" xfId="6923" xr:uid="{00000000-0005-0000-0000-0000F61C0000}"/>
    <cellStyle name="Normal 8 2 4 2 6 2 2" xfId="32255" xr:uid="{4EF2C2CF-B128-4F00-918C-F0E12BE1BC10}"/>
    <cellStyle name="Normal 8 2 4 2 6 2 3" xfId="23814" xr:uid="{6404CEDF-A646-49B4-9A55-8802034156F7}"/>
    <cellStyle name="Normal 8 2 4 2 6 2 4" xfId="15373" xr:uid="{69A88572-1E79-40D4-AF21-D4418F573C6F}"/>
    <cellStyle name="Normal 8 2 4 2 6 3" xfId="28037" xr:uid="{86498C36-A1A3-4097-8133-43FA91F4DDB6}"/>
    <cellStyle name="Normal 8 2 4 2 6 4" xfId="19596" xr:uid="{3283FA8D-9073-4F01-B081-F0F2C38888E5}"/>
    <cellStyle name="Normal 8 2 4 2 6 5" xfId="11155" xr:uid="{BE7F9DC9-5957-4D95-AA4C-286B22E0FDBA}"/>
    <cellStyle name="Normal 8 2 4 2 7" xfId="4858" xr:uid="{00000000-0005-0000-0000-0000F71C0000}"/>
    <cellStyle name="Normal 8 2 4 2 7 2" xfId="30190" xr:uid="{35349F66-C482-45D7-B62E-C63BFBAD9D82}"/>
    <cellStyle name="Normal 8 2 4 2 7 3" xfId="21749" xr:uid="{62E1B464-A0A6-46F4-9F43-D6C433AF4750}"/>
    <cellStyle name="Normal 8 2 4 2 7 4" xfId="13308" xr:uid="{33C7BF4E-5D79-429B-8A29-071D4CED7D3F}"/>
    <cellStyle name="Normal 8 2 4 2 8" xfId="25972" xr:uid="{C0139F62-5098-4207-92E3-DDB90BE2A347}"/>
    <cellStyle name="Normal 8 2 4 2 9" xfId="17531" xr:uid="{15F531CC-6A1D-49F3-966C-3A3174D1CE58}"/>
    <cellStyle name="Normal 8 2 4 3" xfId="959" xr:uid="{00000000-0005-0000-0000-0000F81C0000}"/>
    <cellStyle name="Normal 8 2 4 3 2" xfId="3193" xr:uid="{00000000-0005-0000-0000-0000F91C0000}"/>
    <cellStyle name="Normal 8 2 4 3 2 2" xfId="7415" xr:uid="{00000000-0005-0000-0000-0000FA1C0000}"/>
    <cellStyle name="Normal 8 2 4 3 2 2 2" xfId="32747" xr:uid="{79D79478-B54A-4BA2-8113-09CBCD80A41C}"/>
    <cellStyle name="Normal 8 2 4 3 2 2 3" xfId="24306" xr:uid="{B272D60D-682F-4185-9714-E41C1F833EB0}"/>
    <cellStyle name="Normal 8 2 4 3 2 2 4" xfId="15865" xr:uid="{35AE0E9C-87E9-4245-9164-A630FC65B386}"/>
    <cellStyle name="Normal 8 2 4 3 2 3" xfId="28529" xr:uid="{7488C0F8-CD7C-48A5-9204-2AC13B197BD2}"/>
    <cellStyle name="Normal 8 2 4 3 2 4" xfId="20088" xr:uid="{E6A3E8C1-9FC2-4868-A269-E8EF67519FDD}"/>
    <cellStyle name="Normal 8 2 4 3 2 5" xfId="11647" xr:uid="{EFC6A449-6595-446C-80AC-861D2004DEC2}"/>
    <cellStyle name="Normal 8 2 4 3 3" xfId="5270" xr:uid="{00000000-0005-0000-0000-0000FB1C0000}"/>
    <cellStyle name="Normal 8 2 4 3 3 2" xfId="30602" xr:uid="{D78D0865-707C-4470-8DEE-159AD03EA562}"/>
    <cellStyle name="Normal 8 2 4 3 3 3" xfId="22161" xr:uid="{CDC222F9-F048-418B-900D-0CA3A014B3DE}"/>
    <cellStyle name="Normal 8 2 4 3 3 4" xfId="13720" xr:uid="{0646513E-B7A2-4DD0-8814-CA18DF18BAEC}"/>
    <cellStyle name="Normal 8 2 4 3 4" xfId="26384" xr:uid="{90D2EF0C-0097-49F6-AB26-768DD7C84D28}"/>
    <cellStyle name="Normal 8 2 4 3 5" xfId="17943" xr:uid="{BDAAFCAD-45A3-489A-AEA4-63BD265663CB}"/>
    <cellStyle name="Normal 8 2 4 3 6" xfId="9502" xr:uid="{C4D5A0DA-8309-4DED-BA25-CE82E1C0E5BD}"/>
    <cellStyle name="Normal 8 2 4 4" xfId="1376" xr:uid="{00000000-0005-0000-0000-0000FC1C0000}"/>
    <cellStyle name="Normal 8 2 4 4 2" xfId="3606" xr:uid="{00000000-0005-0000-0000-0000FD1C0000}"/>
    <cellStyle name="Normal 8 2 4 4 2 2" xfId="7828" xr:uid="{00000000-0005-0000-0000-0000FE1C0000}"/>
    <cellStyle name="Normal 8 2 4 4 2 2 2" xfId="33160" xr:uid="{A321CD8E-7441-4EC4-9607-3E6239E08E0C}"/>
    <cellStyle name="Normal 8 2 4 4 2 2 3" xfId="24719" xr:uid="{7B44A53B-8757-4753-8101-9262FB5B5AA0}"/>
    <cellStyle name="Normal 8 2 4 4 2 2 4" xfId="16278" xr:uid="{D5DAC53E-3327-4EEF-BA0B-482A1408E11C}"/>
    <cellStyle name="Normal 8 2 4 4 2 3" xfId="28942" xr:uid="{B4B71259-3AE8-43F6-A372-A7D22338B1A2}"/>
    <cellStyle name="Normal 8 2 4 4 2 4" xfId="20501" xr:uid="{98B2C037-08EA-4A55-B4DE-3C6C7F4B7B59}"/>
    <cellStyle name="Normal 8 2 4 4 2 5" xfId="12060" xr:uid="{EC3D260E-0F76-45F4-B0CE-D55593258C24}"/>
    <cellStyle name="Normal 8 2 4 4 3" xfId="5683" xr:uid="{00000000-0005-0000-0000-0000FF1C0000}"/>
    <cellStyle name="Normal 8 2 4 4 3 2" xfId="31015" xr:uid="{29E31379-1BDC-4D77-B3C9-A9DD063BD67B}"/>
    <cellStyle name="Normal 8 2 4 4 3 3" xfId="22574" xr:uid="{862F1CB8-3BC4-42DB-A049-1F360CDBAE93}"/>
    <cellStyle name="Normal 8 2 4 4 3 4" xfId="14133" xr:uid="{8305AFF7-A0C9-4145-AB3D-75AF514FE970}"/>
    <cellStyle name="Normal 8 2 4 4 4" xfId="26797" xr:uid="{B3F0E8C7-39CE-421D-B133-D221F92F8414}"/>
    <cellStyle name="Normal 8 2 4 4 5" xfId="18356" xr:uid="{A3915BAC-4114-4D6F-ABEC-B672665BB4EF}"/>
    <cellStyle name="Normal 8 2 4 4 6" xfId="9915" xr:uid="{3CEF961E-B14B-4638-B400-2ED1BAC21968}"/>
    <cellStyle name="Normal 8 2 4 5" xfId="1789" xr:uid="{00000000-0005-0000-0000-0000001D0000}"/>
    <cellStyle name="Normal 8 2 4 5 2" xfId="4019" xr:uid="{00000000-0005-0000-0000-0000011D0000}"/>
    <cellStyle name="Normal 8 2 4 5 2 2" xfId="8241" xr:uid="{00000000-0005-0000-0000-0000021D0000}"/>
    <cellStyle name="Normal 8 2 4 5 2 2 2" xfId="33573" xr:uid="{474CE1D7-FC60-441F-AC8C-59CD58F43555}"/>
    <cellStyle name="Normal 8 2 4 5 2 2 3" xfId="25132" xr:uid="{E99C6A92-266F-4DF7-BE29-BE5864FE383F}"/>
    <cellStyle name="Normal 8 2 4 5 2 2 4" xfId="16691" xr:uid="{226DA600-2D91-48D3-80E0-10ADB450A10F}"/>
    <cellStyle name="Normal 8 2 4 5 2 3" xfId="29355" xr:uid="{C069BA01-9B6C-4749-8CA0-27BCB38AD0A1}"/>
    <cellStyle name="Normal 8 2 4 5 2 4" xfId="20914" xr:uid="{6EF083F1-D916-4B4C-8F8B-EB19C742FC27}"/>
    <cellStyle name="Normal 8 2 4 5 2 5" xfId="12473" xr:uid="{CF21D96E-3DCE-4D72-B11E-61E4C8E070FF}"/>
    <cellStyle name="Normal 8 2 4 5 3" xfId="6096" xr:uid="{00000000-0005-0000-0000-0000031D0000}"/>
    <cellStyle name="Normal 8 2 4 5 3 2" xfId="31428" xr:uid="{05D25EDD-6C00-40ED-80A8-E6EB993B8BAD}"/>
    <cellStyle name="Normal 8 2 4 5 3 3" xfId="22987" xr:uid="{EDF5AF7F-3F99-4E18-9B6C-A0B0DAAF378A}"/>
    <cellStyle name="Normal 8 2 4 5 3 4" xfId="14546" xr:uid="{F6CF6B61-0B4E-4926-8428-2210D7C6200A}"/>
    <cellStyle name="Normal 8 2 4 5 4" xfId="27210" xr:uid="{D3D90C9C-91E8-4FC5-BB3E-D3A19769D55C}"/>
    <cellStyle name="Normal 8 2 4 5 5" xfId="18769" xr:uid="{B262184C-F356-4096-9D51-D4D86B984ADD}"/>
    <cellStyle name="Normal 8 2 4 5 6" xfId="10328" xr:uid="{F927A904-F2C1-4A3E-95ED-5CEB9943B1D9}"/>
    <cellStyle name="Normal 8 2 4 6" xfId="2203" xr:uid="{00000000-0005-0000-0000-0000041D0000}"/>
    <cellStyle name="Normal 8 2 4 6 2" xfId="4432" xr:uid="{00000000-0005-0000-0000-0000051D0000}"/>
    <cellStyle name="Normal 8 2 4 6 2 2" xfId="8654" xr:uid="{00000000-0005-0000-0000-0000061D0000}"/>
    <cellStyle name="Normal 8 2 4 6 2 2 2" xfId="33986" xr:uid="{9A6352F0-9F92-4A57-9474-85EC2E016B6E}"/>
    <cellStyle name="Normal 8 2 4 6 2 2 3" xfId="25545" xr:uid="{78BF0410-3DFE-498C-9C76-5F0FD1635FB1}"/>
    <cellStyle name="Normal 8 2 4 6 2 2 4" xfId="17104" xr:uid="{DC9FD785-9D34-4395-94AA-76A929CAE6D3}"/>
    <cellStyle name="Normal 8 2 4 6 2 3" xfId="29768" xr:uid="{8F0A5B81-61E1-444F-9BAE-0042FECD2BB5}"/>
    <cellStyle name="Normal 8 2 4 6 2 4" xfId="21327" xr:uid="{06F19A3D-0F42-4E5F-8AF4-B63EDA8342DB}"/>
    <cellStyle name="Normal 8 2 4 6 2 5" xfId="12886" xr:uid="{08971432-EB28-40DF-A4D2-46DF3149441A}"/>
    <cellStyle name="Normal 8 2 4 6 3" xfId="6509" xr:uid="{00000000-0005-0000-0000-0000071D0000}"/>
    <cellStyle name="Normal 8 2 4 6 3 2" xfId="31841" xr:uid="{2F7E100F-2158-44AB-80FC-114517228F87}"/>
    <cellStyle name="Normal 8 2 4 6 3 3" xfId="23400" xr:uid="{A79719E5-A0B9-4BAC-B1D2-845E6B78EA00}"/>
    <cellStyle name="Normal 8 2 4 6 3 4" xfId="14959" xr:uid="{EEEAB274-8183-4F90-AA9E-1ED1B959CDCE}"/>
    <cellStyle name="Normal 8 2 4 6 4" xfId="27623" xr:uid="{05ACAAE8-F03F-4CC3-80C8-196DE3791C7C}"/>
    <cellStyle name="Normal 8 2 4 6 5" xfId="19182" xr:uid="{5FEBF5A3-BE10-4A46-959D-399F96DEA5FE}"/>
    <cellStyle name="Normal 8 2 4 6 6" xfId="10741" xr:uid="{9944113E-C053-45DD-90FB-2D7E7324C663}"/>
    <cellStyle name="Normal 8 2 4 7" xfId="2639" xr:uid="{00000000-0005-0000-0000-0000081D0000}"/>
    <cellStyle name="Normal 8 2 4 7 2" xfId="6922" xr:uid="{00000000-0005-0000-0000-0000091D0000}"/>
    <cellStyle name="Normal 8 2 4 7 2 2" xfId="32254" xr:uid="{5C62636C-97F1-4B73-BEFA-43F7016FAE25}"/>
    <cellStyle name="Normal 8 2 4 7 2 3" xfId="23813" xr:uid="{AD674EF3-F88E-45D8-9FAB-DC3A26FBEFB9}"/>
    <cellStyle name="Normal 8 2 4 7 2 4" xfId="15372" xr:uid="{3E90C951-AF26-463A-84F2-3B9ED5341A80}"/>
    <cellStyle name="Normal 8 2 4 7 3" xfId="28036" xr:uid="{691F1AB8-C9F8-45FF-9900-22381E4B430D}"/>
    <cellStyle name="Normal 8 2 4 7 4" xfId="19595" xr:uid="{0809D188-F433-4ED0-BCFB-015380576B06}"/>
    <cellStyle name="Normal 8 2 4 7 5" xfId="11154" xr:uid="{E533786A-9B0F-4927-A736-C5249F3A4EC2}"/>
    <cellStyle name="Normal 8 2 4 8" xfId="4857" xr:uid="{00000000-0005-0000-0000-00000A1D0000}"/>
    <cellStyle name="Normal 8 2 4 8 2" xfId="30189" xr:uid="{3F172F33-1BFE-4057-9868-07AA2D41EEA6}"/>
    <cellStyle name="Normal 8 2 4 8 3" xfId="21748" xr:uid="{03E76A41-AC70-4702-ACDA-42C1D16B9502}"/>
    <cellStyle name="Normal 8 2 4 8 4" xfId="13307" xr:uid="{6085026A-BD55-423D-A886-F22CCB5BE633}"/>
    <cellStyle name="Normal 8 2 4 9" xfId="25971" xr:uid="{30C931A0-3658-4669-9C8F-828B52DB71A9}"/>
    <cellStyle name="Normal 8 2 5" xfId="494" xr:uid="{00000000-0005-0000-0000-00000B1D0000}"/>
    <cellStyle name="Normal 8 2 5 10" xfId="9091" xr:uid="{56B1AFA2-2E3F-4051-A59C-C8354E8D86FE}"/>
    <cellStyle name="Normal 8 2 5 2" xfId="961" xr:uid="{00000000-0005-0000-0000-00000C1D0000}"/>
    <cellStyle name="Normal 8 2 5 2 2" xfId="3195" xr:uid="{00000000-0005-0000-0000-00000D1D0000}"/>
    <cellStyle name="Normal 8 2 5 2 2 2" xfId="7417" xr:uid="{00000000-0005-0000-0000-00000E1D0000}"/>
    <cellStyle name="Normal 8 2 5 2 2 2 2" xfId="32749" xr:uid="{06235F90-66D5-4152-9BB7-2D604E7E64C1}"/>
    <cellStyle name="Normal 8 2 5 2 2 2 3" xfId="24308" xr:uid="{8D29B444-5D0C-427E-9461-E0590C43C2C4}"/>
    <cellStyle name="Normal 8 2 5 2 2 2 4" xfId="15867" xr:uid="{1804B096-31E9-4BD0-9F43-5E6EEA231906}"/>
    <cellStyle name="Normal 8 2 5 2 2 3" xfId="28531" xr:uid="{63D271E3-B0A4-4F49-AB48-0C47EAD1E855}"/>
    <cellStyle name="Normal 8 2 5 2 2 4" xfId="20090" xr:uid="{ABFD5E5B-46FA-46C2-BFD3-DB7C87EB6AEE}"/>
    <cellStyle name="Normal 8 2 5 2 2 5" xfId="11649" xr:uid="{25BEF0CF-CE71-46E3-96D1-362081DCA3D9}"/>
    <cellStyle name="Normal 8 2 5 2 3" xfId="5272" xr:uid="{00000000-0005-0000-0000-00000F1D0000}"/>
    <cellStyle name="Normal 8 2 5 2 3 2" xfId="30604" xr:uid="{7351D890-F4E7-453B-ACFE-AD7E05C45397}"/>
    <cellStyle name="Normal 8 2 5 2 3 3" xfId="22163" xr:uid="{00791A8C-1D16-45BB-A94C-86CE79F40898}"/>
    <cellStyle name="Normal 8 2 5 2 3 4" xfId="13722" xr:uid="{2A007CE2-0869-4FA5-B375-2156872871A0}"/>
    <cellStyle name="Normal 8 2 5 2 4" xfId="26386" xr:uid="{0D3614AA-7BFD-402A-8BB9-F2D3491239FC}"/>
    <cellStyle name="Normal 8 2 5 2 5" xfId="17945" xr:uid="{5F43A856-D06F-47F5-A564-40C8510F44C7}"/>
    <cellStyle name="Normal 8 2 5 2 6" xfId="9504" xr:uid="{3F4C07D1-C577-44E9-A4A7-711E0932C8B5}"/>
    <cellStyle name="Normal 8 2 5 3" xfId="1378" xr:uid="{00000000-0005-0000-0000-0000101D0000}"/>
    <cellStyle name="Normal 8 2 5 3 2" xfId="3608" xr:uid="{00000000-0005-0000-0000-0000111D0000}"/>
    <cellStyle name="Normal 8 2 5 3 2 2" xfId="7830" xr:uid="{00000000-0005-0000-0000-0000121D0000}"/>
    <cellStyle name="Normal 8 2 5 3 2 2 2" xfId="33162" xr:uid="{8FFEF72C-42F2-4100-A5CE-25BC615035A8}"/>
    <cellStyle name="Normal 8 2 5 3 2 2 3" xfId="24721" xr:uid="{66E9E564-6F10-467C-8520-FA33C0F018DC}"/>
    <cellStyle name="Normal 8 2 5 3 2 2 4" xfId="16280" xr:uid="{D2ECA0DA-CD6F-4A0D-A127-D6BABA4568D7}"/>
    <cellStyle name="Normal 8 2 5 3 2 3" xfId="28944" xr:uid="{C57F1D03-281C-4DB5-B7AE-9CD4668BAB21}"/>
    <cellStyle name="Normal 8 2 5 3 2 4" xfId="20503" xr:uid="{6B9B3E39-9253-4C62-AFF2-F981957C45FA}"/>
    <cellStyle name="Normal 8 2 5 3 2 5" xfId="12062" xr:uid="{170177BB-EBD1-4D94-ACF2-B5BA1FD0060B}"/>
    <cellStyle name="Normal 8 2 5 3 3" xfId="5685" xr:uid="{00000000-0005-0000-0000-0000131D0000}"/>
    <cellStyle name="Normal 8 2 5 3 3 2" xfId="31017" xr:uid="{7CAA43D1-67C6-41CE-8675-13BB39808FD6}"/>
    <cellStyle name="Normal 8 2 5 3 3 3" xfId="22576" xr:uid="{9A4C0403-C30E-40B6-AE3C-13EC20F1829C}"/>
    <cellStyle name="Normal 8 2 5 3 3 4" xfId="14135" xr:uid="{7B5A4011-9E53-4F1D-9FFE-EA23F510FD90}"/>
    <cellStyle name="Normal 8 2 5 3 4" xfId="26799" xr:uid="{5B27ECE9-3EEC-4E45-9F81-E2E6929932F0}"/>
    <cellStyle name="Normal 8 2 5 3 5" xfId="18358" xr:uid="{C6AD2182-212A-4DFA-9A45-1CA61D955F89}"/>
    <cellStyle name="Normal 8 2 5 3 6" xfId="9917" xr:uid="{F518E10F-4551-4511-8C7C-2451F793B7D1}"/>
    <cellStyle name="Normal 8 2 5 4" xfId="1791" xr:uid="{00000000-0005-0000-0000-0000141D0000}"/>
    <cellStyle name="Normal 8 2 5 4 2" xfId="4021" xr:uid="{00000000-0005-0000-0000-0000151D0000}"/>
    <cellStyle name="Normal 8 2 5 4 2 2" xfId="8243" xr:uid="{00000000-0005-0000-0000-0000161D0000}"/>
    <cellStyle name="Normal 8 2 5 4 2 2 2" xfId="33575" xr:uid="{B6DE7B1E-F57E-4F7F-AA1E-6D18201B16BF}"/>
    <cellStyle name="Normal 8 2 5 4 2 2 3" xfId="25134" xr:uid="{FECD6512-22EA-4C57-90B7-EBE42F56B741}"/>
    <cellStyle name="Normal 8 2 5 4 2 2 4" xfId="16693" xr:uid="{FFC81005-76E2-4F13-9915-7521A22A9E34}"/>
    <cellStyle name="Normal 8 2 5 4 2 3" xfId="29357" xr:uid="{F5C36B0B-AA54-4B47-B541-7277A4A6C08E}"/>
    <cellStyle name="Normal 8 2 5 4 2 4" xfId="20916" xr:uid="{C1D9423C-0CA4-4E10-A7EF-AB779C5FDBCA}"/>
    <cellStyle name="Normal 8 2 5 4 2 5" xfId="12475" xr:uid="{18B523AF-A0EF-4A96-8857-859222BA5BD1}"/>
    <cellStyle name="Normal 8 2 5 4 3" xfId="6098" xr:uid="{00000000-0005-0000-0000-0000171D0000}"/>
    <cellStyle name="Normal 8 2 5 4 3 2" xfId="31430" xr:uid="{DB97F790-4D09-43B7-9B6D-C7FC276F6D8C}"/>
    <cellStyle name="Normal 8 2 5 4 3 3" xfId="22989" xr:uid="{3C5603DC-617E-4CA3-A6D7-C3F0B55A1D78}"/>
    <cellStyle name="Normal 8 2 5 4 3 4" xfId="14548" xr:uid="{F671FED1-C39F-4594-9331-F07967CBD151}"/>
    <cellStyle name="Normal 8 2 5 4 4" xfId="27212" xr:uid="{0C26B2BA-6A71-424B-B596-3C852DCB8A3E}"/>
    <cellStyle name="Normal 8 2 5 4 5" xfId="18771" xr:uid="{97E210E6-03C5-484D-A516-7D3485459D0E}"/>
    <cellStyle name="Normal 8 2 5 4 6" xfId="10330" xr:uid="{EB16FC14-133B-4A30-BB06-1F355BEB92E4}"/>
    <cellStyle name="Normal 8 2 5 5" xfId="2205" xr:uid="{00000000-0005-0000-0000-0000181D0000}"/>
    <cellStyle name="Normal 8 2 5 5 2" xfId="4434" xr:uid="{00000000-0005-0000-0000-0000191D0000}"/>
    <cellStyle name="Normal 8 2 5 5 2 2" xfId="8656" xr:uid="{00000000-0005-0000-0000-00001A1D0000}"/>
    <cellStyle name="Normal 8 2 5 5 2 2 2" xfId="33988" xr:uid="{4D6AFC93-C349-4195-93BC-B47954503D1E}"/>
    <cellStyle name="Normal 8 2 5 5 2 2 3" xfId="25547" xr:uid="{1F9027C3-E0F8-4C28-8BA1-D93B5FB7803F}"/>
    <cellStyle name="Normal 8 2 5 5 2 2 4" xfId="17106" xr:uid="{69BB95EB-76B8-40C3-ABAF-C0DE413C12B8}"/>
    <cellStyle name="Normal 8 2 5 5 2 3" xfId="29770" xr:uid="{C6753CF7-D375-49B6-A547-D678E7CE2E1F}"/>
    <cellStyle name="Normal 8 2 5 5 2 4" xfId="21329" xr:uid="{FFFE9416-DD37-4376-A8B6-11BDDAA5192F}"/>
    <cellStyle name="Normal 8 2 5 5 2 5" xfId="12888" xr:uid="{2E2B6D27-3956-4C72-88A6-6B240E29A5E1}"/>
    <cellStyle name="Normal 8 2 5 5 3" xfId="6511" xr:uid="{00000000-0005-0000-0000-00001B1D0000}"/>
    <cellStyle name="Normal 8 2 5 5 3 2" xfId="31843" xr:uid="{7C158EE0-4622-4A49-BEDC-D1D9CE004F26}"/>
    <cellStyle name="Normal 8 2 5 5 3 3" xfId="23402" xr:uid="{EE8D1268-2B73-4419-A6B2-7336D336B32A}"/>
    <cellStyle name="Normal 8 2 5 5 3 4" xfId="14961" xr:uid="{E678B9C9-E389-4B35-A77E-DCD6651F5183}"/>
    <cellStyle name="Normal 8 2 5 5 4" xfId="27625" xr:uid="{F496363B-0886-46B6-B8EC-7FE7F6A3CAF6}"/>
    <cellStyle name="Normal 8 2 5 5 5" xfId="19184" xr:uid="{6C2CF366-B8D8-4EA3-95E9-436F89FBF945}"/>
    <cellStyle name="Normal 8 2 5 5 6" xfId="10743" xr:uid="{42C4FFCF-DEC2-4392-BF45-8FAC07408E6A}"/>
    <cellStyle name="Normal 8 2 5 6" xfId="2641" xr:uid="{00000000-0005-0000-0000-00001C1D0000}"/>
    <cellStyle name="Normal 8 2 5 6 2" xfId="6924" xr:uid="{00000000-0005-0000-0000-00001D1D0000}"/>
    <cellStyle name="Normal 8 2 5 6 2 2" xfId="32256" xr:uid="{5D728961-0FC8-4BD3-9475-BA483005323E}"/>
    <cellStyle name="Normal 8 2 5 6 2 3" xfId="23815" xr:uid="{69BC2CEA-1BDD-4B2D-8AA4-3A92377B7CC8}"/>
    <cellStyle name="Normal 8 2 5 6 2 4" xfId="15374" xr:uid="{C1677026-8B39-493D-AF91-17B681F0834D}"/>
    <cellStyle name="Normal 8 2 5 6 3" xfId="28038" xr:uid="{686C5DC5-3C41-467A-98C1-5B4303204758}"/>
    <cellStyle name="Normal 8 2 5 6 4" xfId="19597" xr:uid="{40847B1F-6A7A-4ED0-835D-4E09E4A8CE94}"/>
    <cellStyle name="Normal 8 2 5 6 5" xfId="11156" xr:uid="{6CD7E1B4-1A15-4D16-8D12-0DC81F0AB7C0}"/>
    <cellStyle name="Normal 8 2 5 7" xfId="4859" xr:uid="{00000000-0005-0000-0000-00001E1D0000}"/>
    <cellStyle name="Normal 8 2 5 7 2" xfId="30191" xr:uid="{CF34BF9D-3F9B-4584-9CCA-D19A0BA8A6C1}"/>
    <cellStyle name="Normal 8 2 5 7 3" xfId="21750" xr:uid="{7694E6FC-13D3-423A-AEDF-5ED9C80A96E5}"/>
    <cellStyle name="Normal 8 2 5 7 4" xfId="13309" xr:uid="{B5FBD402-9C5B-4CBD-BE54-DEDA7BEE060C}"/>
    <cellStyle name="Normal 8 2 5 8" xfId="25973" xr:uid="{6A6AC775-150F-45E4-B7D4-29CD48B91BEB}"/>
    <cellStyle name="Normal 8 2 5 9" xfId="17532" xr:uid="{644927F9-88FA-4B7F-8AF3-73D59CA5E73F}"/>
    <cellStyle name="Normal 8 2 6" xfId="946" xr:uid="{00000000-0005-0000-0000-00001F1D0000}"/>
    <cellStyle name="Normal 8 2 6 2" xfId="3180" xr:uid="{00000000-0005-0000-0000-0000201D0000}"/>
    <cellStyle name="Normal 8 2 6 2 2" xfId="7402" xr:uid="{00000000-0005-0000-0000-0000211D0000}"/>
    <cellStyle name="Normal 8 2 6 2 2 2" xfId="32734" xr:uid="{DC4F65E4-4494-4FE6-8804-22CBA9BB5784}"/>
    <cellStyle name="Normal 8 2 6 2 2 3" xfId="24293" xr:uid="{B90FAE95-70E1-44F9-9786-B0F48C2CC69F}"/>
    <cellStyle name="Normal 8 2 6 2 2 4" xfId="15852" xr:uid="{3B58643D-B126-4F7A-8700-AA0E96523F76}"/>
    <cellStyle name="Normal 8 2 6 2 3" xfId="28516" xr:uid="{A79F7BBE-D9A3-4111-B483-C159269C64C4}"/>
    <cellStyle name="Normal 8 2 6 2 4" xfId="20075" xr:uid="{3C11BF20-2974-44B3-9EA5-8FE2435595DF}"/>
    <cellStyle name="Normal 8 2 6 2 5" xfId="11634" xr:uid="{F896316F-656F-47EC-AE0D-E4F90CD5C5CE}"/>
    <cellStyle name="Normal 8 2 6 3" xfId="5257" xr:uid="{00000000-0005-0000-0000-0000221D0000}"/>
    <cellStyle name="Normal 8 2 6 3 2" xfId="30589" xr:uid="{A93CBE7A-660F-4404-B8B5-FD4D1C111523}"/>
    <cellStyle name="Normal 8 2 6 3 3" xfId="22148" xr:uid="{33AEC676-6D65-4931-94B9-5886632EBA53}"/>
    <cellStyle name="Normal 8 2 6 3 4" xfId="13707" xr:uid="{35ECDD5A-98BF-4D6E-BD95-7B69134C6C0A}"/>
    <cellStyle name="Normal 8 2 6 4" xfId="26371" xr:uid="{61B71A44-35D4-4DFF-88B0-05EA7E865996}"/>
    <cellStyle name="Normal 8 2 6 5" xfId="17930" xr:uid="{92B462E8-43E3-4BCA-8BFB-EFEE2819BB38}"/>
    <cellStyle name="Normal 8 2 6 6" xfId="9489" xr:uid="{46413034-66FE-4987-A29D-B1AFA5B8CF2F}"/>
    <cellStyle name="Normal 8 2 7" xfId="1363" xr:uid="{00000000-0005-0000-0000-0000231D0000}"/>
    <cellStyle name="Normal 8 2 7 2" xfId="3593" xr:uid="{00000000-0005-0000-0000-0000241D0000}"/>
    <cellStyle name="Normal 8 2 7 2 2" xfId="7815" xr:uid="{00000000-0005-0000-0000-0000251D0000}"/>
    <cellStyle name="Normal 8 2 7 2 2 2" xfId="33147" xr:uid="{D02FA148-1AD3-41EF-B6FB-8A8968089E0C}"/>
    <cellStyle name="Normal 8 2 7 2 2 3" xfId="24706" xr:uid="{C28CE187-5F06-4564-9204-61633A42E9B8}"/>
    <cellStyle name="Normal 8 2 7 2 2 4" xfId="16265" xr:uid="{E6A68AA8-4220-480F-A613-A33078275E83}"/>
    <cellStyle name="Normal 8 2 7 2 3" xfId="28929" xr:uid="{AE3D92F5-8033-470A-B15B-6C3B25802C49}"/>
    <cellStyle name="Normal 8 2 7 2 4" xfId="20488" xr:uid="{B0DECB50-002C-46E4-8173-8F33CFB61E4C}"/>
    <cellStyle name="Normal 8 2 7 2 5" xfId="12047" xr:uid="{5D13A52B-EBFD-4DC7-B796-0263FD1900BC}"/>
    <cellStyle name="Normal 8 2 7 3" xfId="5670" xr:uid="{00000000-0005-0000-0000-0000261D0000}"/>
    <cellStyle name="Normal 8 2 7 3 2" xfId="31002" xr:uid="{3AF0D1EA-0CC3-4A53-9214-8B3C911E0569}"/>
    <cellStyle name="Normal 8 2 7 3 3" xfId="22561" xr:uid="{ABD92BFB-6263-4196-8BDE-DF3610E6B81C}"/>
    <cellStyle name="Normal 8 2 7 3 4" xfId="14120" xr:uid="{D8C9170F-4B51-41A4-B98D-99DCF5D22DB4}"/>
    <cellStyle name="Normal 8 2 7 4" xfId="26784" xr:uid="{0189AC3A-A19D-4569-B16C-724254DDF457}"/>
    <cellStyle name="Normal 8 2 7 5" xfId="18343" xr:uid="{01AA2077-34FB-4A57-AADC-E473103F76EF}"/>
    <cellStyle name="Normal 8 2 7 6" xfId="9902" xr:uid="{FC73BF4F-2D6E-49E3-AB67-2368B086DCD3}"/>
    <cellStyle name="Normal 8 2 8" xfId="1776" xr:uid="{00000000-0005-0000-0000-0000271D0000}"/>
    <cellStyle name="Normal 8 2 8 2" xfId="4006" xr:uid="{00000000-0005-0000-0000-0000281D0000}"/>
    <cellStyle name="Normal 8 2 8 2 2" xfId="8228" xr:uid="{00000000-0005-0000-0000-0000291D0000}"/>
    <cellStyle name="Normal 8 2 8 2 2 2" xfId="33560" xr:uid="{6E5D447F-FC2C-4D49-9759-189B4D9EE7D0}"/>
    <cellStyle name="Normal 8 2 8 2 2 3" xfId="25119" xr:uid="{FD49EEE8-DBC9-4FF8-BC38-16EA6F4BB4E0}"/>
    <cellStyle name="Normal 8 2 8 2 2 4" xfId="16678" xr:uid="{2C47714A-C5AC-486B-9314-22CB2E8E60F3}"/>
    <cellStyle name="Normal 8 2 8 2 3" xfId="29342" xr:uid="{DF9B2CBE-0790-4AAF-8322-14C8BAB80035}"/>
    <cellStyle name="Normal 8 2 8 2 4" xfId="20901" xr:uid="{AA85FDD0-7ED6-4F24-83BF-407119822A43}"/>
    <cellStyle name="Normal 8 2 8 2 5" xfId="12460" xr:uid="{2170EF14-DFBE-415A-BD6B-0AD4A62F3904}"/>
    <cellStyle name="Normal 8 2 8 3" xfId="6083" xr:uid="{00000000-0005-0000-0000-00002A1D0000}"/>
    <cellStyle name="Normal 8 2 8 3 2" xfId="31415" xr:uid="{434BA7A0-C377-4300-9431-E05203C0DD0C}"/>
    <cellStyle name="Normal 8 2 8 3 3" xfId="22974" xr:uid="{13F2E552-DC13-4571-B993-7024EC831BAC}"/>
    <cellStyle name="Normal 8 2 8 3 4" xfId="14533" xr:uid="{9593C1FB-8898-4B06-B660-BA133112E218}"/>
    <cellStyle name="Normal 8 2 8 4" xfId="27197" xr:uid="{5E388608-A0EA-439F-B89B-3350AF437C0C}"/>
    <cellStyle name="Normal 8 2 8 5" xfId="18756" xr:uid="{321B470A-7FF7-44C5-BC8D-2BC66B14FB72}"/>
    <cellStyle name="Normal 8 2 8 6" xfId="10315" xr:uid="{42F04A63-ED78-414B-A56E-DCABFD73D9BD}"/>
    <cellStyle name="Normal 8 2 9" xfId="2190" xr:uid="{00000000-0005-0000-0000-00002B1D0000}"/>
    <cellStyle name="Normal 8 2 9 2" xfId="4419" xr:uid="{00000000-0005-0000-0000-00002C1D0000}"/>
    <cellStyle name="Normal 8 2 9 2 2" xfId="8641" xr:uid="{00000000-0005-0000-0000-00002D1D0000}"/>
    <cellStyle name="Normal 8 2 9 2 2 2" xfId="33973" xr:uid="{2187B13D-DFD3-4A30-8124-10BE193FB1B7}"/>
    <cellStyle name="Normal 8 2 9 2 2 3" xfId="25532" xr:uid="{D66FAE2F-1446-469A-A46A-E62A17F95AC5}"/>
    <cellStyle name="Normal 8 2 9 2 2 4" xfId="17091" xr:uid="{98FF9A5B-5791-46F5-9355-AC209377915C}"/>
    <cellStyle name="Normal 8 2 9 2 3" xfId="29755" xr:uid="{F74E3057-54EB-4C44-AFD4-46AB4C1C54EB}"/>
    <cellStyle name="Normal 8 2 9 2 4" xfId="21314" xr:uid="{89EC124B-9669-4686-962E-29E6F392B4C8}"/>
    <cellStyle name="Normal 8 2 9 2 5" xfId="12873" xr:uid="{CDFF1FE9-AF91-40EB-B709-C36A4B79354F}"/>
    <cellStyle name="Normal 8 2 9 3" xfId="6496" xr:uid="{00000000-0005-0000-0000-00002E1D0000}"/>
    <cellStyle name="Normal 8 2 9 3 2" xfId="31828" xr:uid="{ECE9AD35-72AA-4383-AC82-23BD6DBA8903}"/>
    <cellStyle name="Normal 8 2 9 3 3" xfId="23387" xr:uid="{6CE19515-1625-4426-8EB6-43046FE3D672}"/>
    <cellStyle name="Normal 8 2 9 3 4" xfId="14946" xr:uid="{8C813DCB-FFEB-4D5C-931A-780E909637BA}"/>
    <cellStyle name="Normal 8 2 9 4" xfId="27610" xr:uid="{40577939-7D60-445D-86F0-791753D09E46}"/>
    <cellStyle name="Normal 8 2 9 5" xfId="19169" xr:uid="{28246AD1-15DF-4D26-A1C3-27ACDA65BE77}"/>
    <cellStyle name="Normal 8 2 9 6" xfId="10728" xr:uid="{F6F4364E-C1DD-4F53-952B-63A5859774FE}"/>
    <cellStyle name="Normal 8 3" xfId="495" xr:uid="{00000000-0005-0000-0000-00002F1D0000}"/>
    <cellStyle name="Normal 8 3 10" xfId="4860" xr:uid="{00000000-0005-0000-0000-0000301D0000}"/>
    <cellStyle name="Normal 8 3 10 2" xfId="30192" xr:uid="{53F6B505-2018-45D5-BA6D-CCC6168DECBB}"/>
    <cellStyle name="Normal 8 3 10 3" xfId="21751" xr:uid="{5271C2BE-6153-425F-B280-08E845828340}"/>
    <cellStyle name="Normal 8 3 10 4" xfId="13310" xr:uid="{7A73CDA7-3E41-487F-A4B8-388141C91EA3}"/>
    <cellStyle name="Normal 8 3 11" xfId="25974" xr:uid="{DCB9AB77-E2CA-4E60-9D1D-10824FCE837B}"/>
    <cellStyle name="Normal 8 3 12" xfId="17533" xr:uid="{46139EF3-B498-4AD8-8E54-AC2672AE5490}"/>
    <cellStyle name="Normal 8 3 13" xfId="9092" xr:uid="{F1647790-D688-4B16-858B-8A41178B28B4}"/>
    <cellStyle name="Normal 8 3 2" xfId="496" xr:uid="{00000000-0005-0000-0000-0000311D0000}"/>
    <cellStyle name="Normal 8 3 2 10" xfId="25975" xr:uid="{86BD1634-E1CD-427C-AF02-6B136FB46B11}"/>
    <cellStyle name="Normal 8 3 2 11" xfId="17534" xr:uid="{E92E0059-5513-45A2-89E4-04AF6287CEEE}"/>
    <cellStyle name="Normal 8 3 2 12" xfId="9093" xr:uid="{EBDF190B-F0F7-4415-A1C6-F79535E30868}"/>
    <cellStyle name="Normal 8 3 2 2" xfId="497" xr:uid="{00000000-0005-0000-0000-0000321D0000}"/>
    <cellStyle name="Normal 8 3 2 2 10" xfId="17535" xr:uid="{2600DF4E-1BF6-419C-A364-061C9AC6CD87}"/>
    <cellStyle name="Normal 8 3 2 2 11" xfId="9094" xr:uid="{6919DD4A-9A4A-4B56-89DE-A98A40F505B4}"/>
    <cellStyle name="Normal 8 3 2 2 2" xfId="498" xr:uid="{00000000-0005-0000-0000-0000331D0000}"/>
    <cellStyle name="Normal 8 3 2 2 2 10" xfId="9095" xr:uid="{73E310DF-3B01-4A01-A555-EFB8964AC449}"/>
    <cellStyle name="Normal 8 3 2 2 2 2" xfId="965" xr:uid="{00000000-0005-0000-0000-0000341D0000}"/>
    <cellStyle name="Normal 8 3 2 2 2 2 2" xfId="3199" xr:uid="{00000000-0005-0000-0000-0000351D0000}"/>
    <cellStyle name="Normal 8 3 2 2 2 2 2 2" xfId="7421" xr:uid="{00000000-0005-0000-0000-0000361D0000}"/>
    <cellStyle name="Normal 8 3 2 2 2 2 2 2 2" xfId="32753" xr:uid="{2B5F4443-CC56-4007-94FD-3631B6F4B20A}"/>
    <cellStyle name="Normal 8 3 2 2 2 2 2 2 3" xfId="24312" xr:uid="{4A5E7253-F3BE-4D1B-9020-462964C58354}"/>
    <cellStyle name="Normal 8 3 2 2 2 2 2 2 4" xfId="15871" xr:uid="{8674020D-5C79-404B-973E-05CF6918EB2D}"/>
    <cellStyle name="Normal 8 3 2 2 2 2 2 3" xfId="28535" xr:uid="{83C4A61F-A727-459A-9B68-514F837F8D7A}"/>
    <cellStyle name="Normal 8 3 2 2 2 2 2 4" xfId="20094" xr:uid="{DEA0EE00-2706-40B5-B2E9-16B1971DABF6}"/>
    <cellStyle name="Normal 8 3 2 2 2 2 2 5" xfId="11653" xr:uid="{CA05D61A-9D3E-4169-A15E-DA4452AACB1D}"/>
    <cellStyle name="Normal 8 3 2 2 2 2 3" xfId="5276" xr:uid="{00000000-0005-0000-0000-0000371D0000}"/>
    <cellStyle name="Normal 8 3 2 2 2 2 3 2" xfId="30608" xr:uid="{AEBC0BC0-072F-427C-AF47-D76A6BEDC17D}"/>
    <cellStyle name="Normal 8 3 2 2 2 2 3 3" xfId="22167" xr:uid="{6BB82D2C-E1F5-423E-A262-1B89D83F6A9A}"/>
    <cellStyle name="Normal 8 3 2 2 2 2 3 4" xfId="13726" xr:uid="{7812FF1E-9A39-465B-BAD0-4DDF40BF6EE6}"/>
    <cellStyle name="Normal 8 3 2 2 2 2 4" xfId="26390" xr:uid="{57964012-C3E5-4F28-9F3A-8ECAE97C5F4E}"/>
    <cellStyle name="Normal 8 3 2 2 2 2 5" xfId="17949" xr:uid="{BE7E07A8-7743-433B-902F-A64078139975}"/>
    <cellStyle name="Normal 8 3 2 2 2 2 6" xfId="9508" xr:uid="{A867AEC5-CE01-4540-ACCF-7B86FD9697AC}"/>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2 2 2" xfId="33166" xr:uid="{704DC3DC-D7E2-4BEB-8872-9346E7947727}"/>
    <cellStyle name="Normal 8 3 2 2 2 3 2 2 3" xfId="24725" xr:uid="{2502A780-FC80-47A6-9E4C-EC494F608455}"/>
    <cellStyle name="Normal 8 3 2 2 2 3 2 2 4" xfId="16284" xr:uid="{14B21F86-0055-4AD0-9C1C-8F8D26BB447C}"/>
    <cellStyle name="Normal 8 3 2 2 2 3 2 3" xfId="28948" xr:uid="{4522C436-7780-4AEC-A831-10B82A84D784}"/>
    <cellStyle name="Normal 8 3 2 2 2 3 2 4" xfId="20507" xr:uid="{91E55DDD-948E-4A30-BC26-F22370A03A5B}"/>
    <cellStyle name="Normal 8 3 2 2 2 3 2 5" xfId="12066" xr:uid="{098C9F16-010E-4AB0-A62F-8D65B0953445}"/>
    <cellStyle name="Normal 8 3 2 2 2 3 3" xfId="5689" xr:uid="{00000000-0005-0000-0000-00003B1D0000}"/>
    <cellStyle name="Normal 8 3 2 2 2 3 3 2" xfId="31021" xr:uid="{839BBB35-DA9C-4BA8-937E-15F00A1BE1D8}"/>
    <cellStyle name="Normal 8 3 2 2 2 3 3 3" xfId="22580" xr:uid="{DCF4BC88-8F7A-409B-88E8-94FAF2C61610}"/>
    <cellStyle name="Normal 8 3 2 2 2 3 3 4" xfId="14139" xr:uid="{B1247F74-F37D-4726-95DE-755B795BBE3A}"/>
    <cellStyle name="Normal 8 3 2 2 2 3 4" xfId="26803" xr:uid="{728FFBE3-7847-4ADE-BA65-5B47E2404E3C}"/>
    <cellStyle name="Normal 8 3 2 2 2 3 5" xfId="18362" xr:uid="{113A95B0-644F-4BDE-8BA7-F9D2A5744319}"/>
    <cellStyle name="Normal 8 3 2 2 2 3 6" xfId="9921" xr:uid="{244821B1-42F2-46CA-962C-D1C1DA0FD24F}"/>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2 2 2" xfId="33579" xr:uid="{1E9E5C34-8237-4ACF-9675-5CB0EF5FEF08}"/>
    <cellStyle name="Normal 8 3 2 2 2 4 2 2 3" xfId="25138" xr:uid="{EC3B085A-79BF-4730-AED3-28E09A96566A}"/>
    <cellStyle name="Normal 8 3 2 2 2 4 2 2 4" xfId="16697" xr:uid="{3F317C36-8FC2-414E-A3F7-FF1367A90098}"/>
    <cellStyle name="Normal 8 3 2 2 2 4 2 3" xfId="29361" xr:uid="{B48F0B85-777F-4E07-8DDD-00926130BE92}"/>
    <cellStyle name="Normal 8 3 2 2 2 4 2 4" xfId="20920" xr:uid="{27B8DB01-9432-446D-8B78-9AB41DA63368}"/>
    <cellStyle name="Normal 8 3 2 2 2 4 2 5" xfId="12479" xr:uid="{A6C1D044-11EF-471C-AA28-303E52C048D7}"/>
    <cellStyle name="Normal 8 3 2 2 2 4 3" xfId="6102" xr:uid="{00000000-0005-0000-0000-00003F1D0000}"/>
    <cellStyle name="Normal 8 3 2 2 2 4 3 2" xfId="31434" xr:uid="{EB28E02E-13C9-4707-8E35-081C90052BF2}"/>
    <cellStyle name="Normal 8 3 2 2 2 4 3 3" xfId="22993" xr:uid="{CC97A265-8E0F-46C3-AD06-404FFFF100D5}"/>
    <cellStyle name="Normal 8 3 2 2 2 4 3 4" xfId="14552" xr:uid="{53E3C7BC-3BF4-43C1-B6F9-6CCC29D716C2}"/>
    <cellStyle name="Normal 8 3 2 2 2 4 4" xfId="27216" xr:uid="{2F81BAD5-BCBD-41F5-A1A8-BB4EFF9FDC99}"/>
    <cellStyle name="Normal 8 3 2 2 2 4 5" xfId="18775" xr:uid="{63408C52-B69C-41E5-A342-D7A6AD0A9EFD}"/>
    <cellStyle name="Normal 8 3 2 2 2 4 6" xfId="10334" xr:uid="{AE70C9D6-177C-4296-8003-2D18FB15B024}"/>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2 2 2" xfId="33992" xr:uid="{31E62C4D-FFAB-470E-A466-0195392EC145}"/>
    <cellStyle name="Normal 8 3 2 2 2 5 2 2 3" xfId="25551" xr:uid="{D6D59117-9A87-49FB-9D71-6758B2009BA9}"/>
    <cellStyle name="Normal 8 3 2 2 2 5 2 2 4" xfId="17110" xr:uid="{B2FE4713-7B7B-4CFB-B595-B261240128E7}"/>
    <cellStyle name="Normal 8 3 2 2 2 5 2 3" xfId="29774" xr:uid="{4E8DE678-9A54-45D9-8621-E60730B63E7B}"/>
    <cellStyle name="Normal 8 3 2 2 2 5 2 4" xfId="21333" xr:uid="{79B70CEA-5ADF-4CBC-BC1E-527DCE44BC9A}"/>
    <cellStyle name="Normal 8 3 2 2 2 5 2 5" xfId="12892" xr:uid="{5D1243D5-0192-49BF-A722-BC3643EBEBBF}"/>
    <cellStyle name="Normal 8 3 2 2 2 5 3" xfId="6515" xr:uid="{00000000-0005-0000-0000-0000431D0000}"/>
    <cellStyle name="Normal 8 3 2 2 2 5 3 2" xfId="31847" xr:uid="{9E844CD2-69E7-48F2-82E2-BCEDD4E9A776}"/>
    <cellStyle name="Normal 8 3 2 2 2 5 3 3" xfId="23406" xr:uid="{03F7E373-2964-41AE-B977-EA4495EC644D}"/>
    <cellStyle name="Normal 8 3 2 2 2 5 3 4" xfId="14965" xr:uid="{FCA10E4A-BB43-4A8C-8957-8A8206C143D0}"/>
    <cellStyle name="Normal 8 3 2 2 2 5 4" xfId="27629" xr:uid="{EB8EEA32-12A0-4E64-BFC4-1335CE4B8F39}"/>
    <cellStyle name="Normal 8 3 2 2 2 5 5" xfId="19188" xr:uid="{98945BB8-A08D-44AA-A100-03B366120ED7}"/>
    <cellStyle name="Normal 8 3 2 2 2 5 6" xfId="10747" xr:uid="{F4946A49-E1EC-4767-BFCA-BA8EF6166E38}"/>
    <cellStyle name="Normal 8 3 2 2 2 6" xfId="2645" xr:uid="{00000000-0005-0000-0000-0000441D0000}"/>
    <cellStyle name="Normal 8 3 2 2 2 6 2" xfId="6928" xr:uid="{00000000-0005-0000-0000-0000451D0000}"/>
    <cellStyle name="Normal 8 3 2 2 2 6 2 2" xfId="32260" xr:uid="{6F125884-2CEA-48DD-BB5B-1661905F8DDB}"/>
    <cellStyle name="Normal 8 3 2 2 2 6 2 3" xfId="23819" xr:uid="{1EAD259A-CF72-43AA-A2B7-A24588657781}"/>
    <cellStyle name="Normal 8 3 2 2 2 6 2 4" xfId="15378" xr:uid="{DDD143FD-21C8-448D-91B1-72C8FAD5D519}"/>
    <cellStyle name="Normal 8 3 2 2 2 6 3" xfId="28042" xr:uid="{C03BCE5F-DA84-4395-AACA-93A9246E0BFB}"/>
    <cellStyle name="Normal 8 3 2 2 2 6 4" xfId="19601" xr:uid="{5EA84569-0860-407F-91AC-5D8241591647}"/>
    <cellStyle name="Normal 8 3 2 2 2 6 5" xfId="11160" xr:uid="{98D4DE26-6E14-4F29-A402-CBE15D922939}"/>
    <cellStyle name="Normal 8 3 2 2 2 7" xfId="4863" xr:uid="{00000000-0005-0000-0000-0000461D0000}"/>
    <cellStyle name="Normal 8 3 2 2 2 7 2" xfId="30195" xr:uid="{ADADB96D-888C-4087-AF65-8EC592CB25D9}"/>
    <cellStyle name="Normal 8 3 2 2 2 7 3" xfId="21754" xr:uid="{481C015D-16BC-47D8-BDB9-C3CB79B0C1B4}"/>
    <cellStyle name="Normal 8 3 2 2 2 7 4" xfId="13313" xr:uid="{DF7A9743-70B0-4D53-B2DF-631B40625B96}"/>
    <cellStyle name="Normal 8 3 2 2 2 8" xfId="25977" xr:uid="{DC564DA2-DE2F-4D98-A261-26770DC9B171}"/>
    <cellStyle name="Normal 8 3 2 2 2 9" xfId="17536" xr:uid="{A7D32C76-D2CE-4DF6-8F33-A18538FFE313}"/>
    <cellStyle name="Normal 8 3 2 2 3" xfId="964" xr:uid="{00000000-0005-0000-0000-0000471D0000}"/>
    <cellStyle name="Normal 8 3 2 2 3 2" xfId="3198" xr:uid="{00000000-0005-0000-0000-0000481D0000}"/>
    <cellStyle name="Normal 8 3 2 2 3 2 2" xfId="7420" xr:uid="{00000000-0005-0000-0000-0000491D0000}"/>
    <cellStyle name="Normal 8 3 2 2 3 2 2 2" xfId="32752" xr:uid="{2B11AA18-39B9-4E78-A47C-8F8BF8162009}"/>
    <cellStyle name="Normal 8 3 2 2 3 2 2 3" xfId="24311" xr:uid="{14C3AB4D-7A17-4B4F-B565-C7A3668A952D}"/>
    <cellStyle name="Normal 8 3 2 2 3 2 2 4" xfId="15870" xr:uid="{B7805319-1E18-422C-8DBA-180F3C11D8C6}"/>
    <cellStyle name="Normal 8 3 2 2 3 2 3" xfId="28534" xr:uid="{C2FF0C71-2D7E-46D9-B9A5-A979E46D7ACA}"/>
    <cellStyle name="Normal 8 3 2 2 3 2 4" xfId="20093" xr:uid="{008C50FB-6E42-41EC-BC26-C8BAE203DE3D}"/>
    <cellStyle name="Normal 8 3 2 2 3 2 5" xfId="11652" xr:uid="{8156BC74-FA97-453B-BD81-C7363803FFF0}"/>
    <cellStyle name="Normal 8 3 2 2 3 3" xfId="5275" xr:uid="{00000000-0005-0000-0000-00004A1D0000}"/>
    <cellStyle name="Normal 8 3 2 2 3 3 2" xfId="30607" xr:uid="{83A52E4E-125D-4368-9856-E7F025435BFA}"/>
    <cellStyle name="Normal 8 3 2 2 3 3 3" xfId="22166" xr:uid="{F96D1635-D33C-4C2E-9900-468E439E13F2}"/>
    <cellStyle name="Normal 8 3 2 2 3 3 4" xfId="13725" xr:uid="{72899E5C-5FE9-4310-8D87-436B21C05CAC}"/>
    <cellStyle name="Normal 8 3 2 2 3 4" xfId="26389" xr:uid="{09F1C8ED-B6DC-43E0-85F6-10B08310C96D}"/>
    <cellStyle name="Normal 8 3 2 2 3 5" xfId="17948" xr:uid="{0D65A49A-C8C5-4D69-9A24-75A701702E78}"/>
    <cellStyle name="Normal 8 3 2 2 3 6" xfId="9507" xr:uid="{076C1B83-EF13-4B15-AF09-EC813EE28B66}"/>
    <cellStyle name="Normal 8 3 2 2 4" xfId="1381" xr:uid="{00000000-0005-0000-0000-00004B1D0000}"/>
    <cellStyle name="Normal 8 3 2 2 4 2" xfId="3611" xr:uid="{00000000-0005-0000-0000-00004C1D0000}"/>
    <cellStyle name="Normal 8 3 2 2 4 2 2" xfId="7833" xr:uid="{00000000-0005-0000-0000-00004D1D0000}"/>
    <cellStyle name="Normal 8 3 2 2 4 2 2 2" xfId="33165" xr:uid="{E45248A8-3E67-4B51-8A7F-476175504C59}"/>
    <cellStyle name="Normal 8 3 2 2 4 2 2 3" xfId="24724" xr:uid="{575FE615-1A1B-4A70-9B9C-F32D4FF2F4F7}"/>
    <cellStyle name="Normal 8 3 2 2 4 2 2 4" xfId="16283" xr:uid="{55F785EA-DA11-48C4-8934-108098632298}"/>
    <cellStyle name="Normal 8 3 2 2 4 2 3" xfId="28947" xr:uid="{3B12B512-D8C5-4868-9099-673676A573AD}"/>
    <cellStyle name="Normal 8 3 2 2 4 2 4" xfId="20506" xr:uid="{C6F04A27-71A5-4155-8AC7-21ED83A19581}"/>
    <cellStyle name="Normal 8 3 2 2 4 2 5" xfId="12065" xr:uid="{E182DC8E-99A8-48C5-9BDB-6CBF64DED261}"/>
    <cellStyle name="Normal 8 3 2 2 4 3" xfId="5688" xr:uid="{00000000-0005-0000-0000-00004E1D0000}"/>
    <cellStyle name="Normal 8 3 2 2 4 3 2" xfId="31020" xr:uid="{D0386528-EA27-4DEC-962A-4ED04DD2C869}"/>
    <cellStyle name="Normal 8 3 2 2 4 3 3" xfId="22579" xr:uid="{ABDC96C1-0E64-41A1-BCF1-01328EB3727B}"/>
    <cellStyle name="Normal 8 3 2 2 4 3 4" xfId="14138" xr:uid="{0D740B66-E63D-4E9E-9BC4-89AC92B33571}"/>
    <cellStyle name="Normal 8 3 2 2 4 4" xfId="26802" xr:uid="{8537DBD3-7DAE-4305-85C6-1EB0E11B1504}"/>
    <cellStyle name="Normal 8 3 2 2 4 5" xfId="18361" xr:uid="{2BBC1D32-8B92-4ACE-B994-0FCDA361D534}"/>
    <cellStyle name="Normal 8 3 2 2 4 6" xfId="9920" xr:uid="{9D06AD3C-B2F0-4D23-ACB8-17C531CE560A}"/>
    <cellStyle name="Normal 8 3 2 2 5" xfId="1794" xr:uid="{00000000-0005-0000-0000-00004F1D0000}"/>
    <cellStyle name="Normal 8 3 2 2 5 2" xfId="4024" xr:uid="{00000000-0005-0000-0000-0000501D0000}"/>
    <cellStyle name="Normal 8 3 2 2 5 2 2" xfId="8246" xr:uid="{00000000-0005-0000-0000-0000511D0000}"/>
    <cellStyle name="Normal 8 3 2 2 5 2 2 2" xfId="33578" xr:uid="{D466EFD7-5FAA-4783-91E6-7DE665B60F3B}"/>
    <cellStyle name="Normal 8 3 2 2 5 2 2 3" xfId="25137" xr:uid="{482686FB-33EE-443F-9DE7-E4B298A6EB5D}"/>
    <cellStyle name="Normal 8 3 2 2 5 2 2 4" xfId="16696" xr:uid="{B016337C-F79C-4ECA-9923-7F2FF66CAD84}"/>
    <cellStyle name="Normal 8 3 2 2 5 2 3" xfId="29360" xr:uid="{89B85726-7D9F-4F38-8D07-24DC28713367}"/>
    <cellStyle name="Normal 8 3 2 2 5 2 4" xfId="20919" xr:uid="{D316588A-DB17-4ADA-A899-D0BFAEBE0C33}"/>
    <cellStyle name="Normal 8 3 2 2 5 2 5" xfId="12478" xr:uid="{5C03BB48-BFA3-47F2-9C74-F334538DA6FE}"/>
    <cellStyle name="Normal 8 3 2 2 5 3" xfId="6101" xr:uid="{00000000-0005-0000-0000-0000521D0000}"/>
    <cellStyle name="Normal 8 3 2 2 5 3 2" xfId="31433" xr:uid="{ABA08259-F3A5-4E20-9147-059734B2AD50}"/>
    <cellStyle name="Normal 8 3 2 2 5 3 3" xfId="22992" xr:uid="{636582F7-0034-449E-B2CC-4E474FED1470}"/>
    <cellStyle name="Normal 8 3 2 2 5 3 4" xfId="14551" xr:uid="{3736F230-FA8F-4E16-B10A-142FFCB30BD2}"/>
    <cellStyle name="Normal 8 3 2 2 5 4" xfId="27215" xr:uid="{DE54C183-82B6-471A-8AFE-A3EF2FEB1A53}"/>
    <cellStyle name="Normal 8 3 2 2 5 5" xfId="18774" xr:uid="{15185276-BC4D-49E8-9CB4-BAA12C4DC6DB}"/>
    <cellStyle name="Normal 8 3 2 2 5 6" xfId="10333" xr:uid="{9E549A47-9B19-4380-9215-85B92534DE67}"/>
    <cellStyle name="Normal 8 3 2 2 6" xfId="2208" xr:uid="{00000000-0005-0000-0000-0000531D0000}"/>
    <cellStyle name="Normal 8 3 2 2 6 2" xfId="4437" xr:uid="{00000000-0005-0000-0000-0000541D0000}"/>
    <cellStyle name="Normal 8 3 2 2 6 2 2" xfId="8659" xr:uid="{00000000-0005-0000-0000-0000551D0000}"/>
    <cellStyle name="Normal 8 3 2 2 6 2 2 2" xfId="33991" xr:uid="{44DF5686-0197-4DC0-A23C-8ACB6C6B1D3B}"/>
    <cellStyle name="Normal 8 3 2 2 6 2 2 3" xfId="25550" xr:uid="{4F0DB487-1A61-4920-B14E-12972B828905}"/>
    <cellStyle name="Normal 8 3 2 2 6 2 2 4" xfId="17109" xr:uid="{E1320EE0-B5E1-45C2-9C7B-909E109F260D}"/>
    <cellStyle name="Normal 8 3 2 2 6 2 3" xfId="29773" xr:uid="{A863C28F-72AB-47AF-B9E5-EEF6BB111D7B}"/>
    <cellStyle name="Normal 8 3 2 2 6 2 4" xfId="21332" xr:uid="{4742D3B8-2C36-48B8-B87E-27953B7D3796}"/>
    <cellStyle name="Normal 8 3 2 2 6 2 5" xfId="12891" xr:uid="{F033A5AF-CC0B-4FC2-A49D-653C5BBA0BFF}"/>
    <cellStyle name="Normal 8 3 2 2 6 3" xfId="6514" xr:uid="{00000000-0005-0000-0000-0000561D0000}"/>
    <cellStyle name="Normal 8 3 2 2 6 3 2" xfId="31846" xr:uid="{8D4EC2F3-A4F1-489D-85AF-AABA5591F67F}"/>
    <cellStyle name="Normal 8 3 2 2 6 3 3" xfId="23405" xr:uid="{409C1C5C-DABB-4E2F-88D3-11F856E51507}"/>
    <cellStyle name="Normal 8 3 2 2 6 3 4" xfId="14964" xr:uid="{07AB0CA6-C3EF-4E39-95A5-3057DC09392E}"/>
    <cellStyle name="Normal 8 3 2 2 6 4" xfId="27628" xr:uid="{B9859B7F-5FF7-4198-ADCE-4065D99888A7}"/>
    <cellStyle name="Normal 8 3 2 2 6 5" xfId="19187" xr:uid="{F890BDF1-237B-40D0-8A7C-AC866E8C774F}"/>
    <cellStyle name="Normal 8 3 2 2 6 6" xfId="10746" xr:uid="{13618C35-358A-48E7-8D16-AC217B2EC559}"/>
    <cellStyle name="Normal 8 3 2 2 7" xfId="2644" xr:uid="{00000000-0005-0000-0000-0000571D0000}"/>
    <cellStyle name="Normal 8 3 2 2 7 2" xfId="6927" xr:uid="{00000000-0005-0000-0000-0000581D0000}"/>
    <cellStyle name="Normal 8 3 2 2 7 2 2" xfId="32259" xr:uid="{9D7633E4-1D66-45FB-854E-58D657B8ADAF}"/>
    <cellStyle name="Normal 8 3 2 2 7 2 3" xfId="23818" xr:uid="{1F2CC456-4B2E-4118-9834-97FFDCA5F266}"/>
    <cellStyle name="Normal 8 3 2 2 7 2 4" xfId="15377" xr:uid="{7D99BCCD-D10E-4B6B-860E-FC1E0467EC66}"/>
    <cellStyle name="Normal 8 3 2 2 7 3" xfId="28041" xr:uid="{6532427F-2BC5-4615-8EB1-50E457C7A554}"/>
    <cellStyle name="Normal 8 3 2 2 7 4" xfId="19600" xr:uid="{E98815F8-082B-41BE-9D7A-07A49C601148}"/>
    <cellStyle name="Normal 8 3 2 2 7 5" xfId="11159" xr:uid="{0E4C8F59-DA4B-44E7-8DD6-262B84C6EEB8}"/>
    <cellStyle name="Normal 8 3 2 2 8" xfId="4862" xr:uid="{00000000-0005-0000-0000-0000591D0000}"/>
    <cellStyle name="Normal 8 3 2 2 8 2" xfId="30194" xr:uid="{C712E35F-26D1-47A5-A1C1-FDCC6E30EFCC}"/>
    <cellStyle name="Normal 8 3 2 2 8 3" xfId="21753" xr:uid="{B8F31353-9DAE-469D-A578-17F968F6B663}"/>
    <cellStyle name="Normal 8 3 2 2 8 4" xfId="13312" xr:uid="{81FED0A3-77F3-47DC-884D-F221D439C7C9}"/>
    <cellStyle name="Normal 8 3 2 2 9" xfId="25976" xr:uid="{57BA4DB1-B500-457F-8AE4-004AD143C996}"/>
    <cellStyle name="Normal 8 3 2 3" xfId="499" xr:uid="{00000000-0005-0000-0000-00005A1D0000}"/>
    <cellStyle name="Normal 8 3 2 3 10" xfId="9096" xr:uid="{869F6FB3-E637-4AF9-BA2A-F2A1F61D83B9}"/>
    <cellStyle name="Normal 8 3 2 3 2" xfId="966" xr:uid="{00000000-0005-0000-0000-00005B1D0000}"/>
    <cellStyle name="Normal 8 3 2 3 2 2" xfId="3200" xr:uid="{00000000-0005-0000-0000-00005C1D0000}"/>
    <cellStyle name="Normal 8 3 2 3 2 2 2" xfId="7422" xr:uid="{00000000-0005-0000-0000-00005D1D0000}"/>
    <cellStyle name="Normal 8 3 2 3 2 2 2 2" xfId="32754" xr:uid="{E17401FF-BE40-4716-B286-EBECF6E11038}"/>
    <cellStyle name="Normal 8 3 2 3 2 2 2 3" xfId="24313" xr:uid="{317CD010-F18C-4EBC-9742-47490DF29DCB}"/>
    <cellStyle name="Normal 8 3 2 3 2 2 2 4" xfId="15872" xr:uid="{B414C1C4-83EA-4A49-B2C8-EDC6CB531885}"/>
    <cellStyle name="Normal 8 3 2 3 2 2 3" xfId="28536" xr:uid="{6E414618-1013-444F-8A18-C145C09C2F66}"/>
    <cellStyle name="Normal 8 3 2 3 2 2 4" xfId="20095" xr:uid="{EC7FD414-27E0-4EB0-B88B-06E436459813}"/>
    <cellStyle name="Normal 8 3 2 3 2 2 5" xfId="11654" xr:uid="{7789FB71-E492-4295-940F-705725886829}"/>
    <cellStyle name="Normal 8 3 2 3 2 3" xfId="5277" xr:uid="{00000000-0005-0000-0000-00005E1D0000}"/>
    <cellStyle name="Normal 8 3 2 3 2 3 2" xfId="30609" xr:uid="{E67BE140-3AE9-40CA-A0E0-005C7DA86D24}"/>
    <cellStyle name="Normal 8 3 2 3 2 3 3" xfId="22168" xr:uid="{88C843C4-C585-4C01-9D66-64275C0F569E}"/>
    <cellStyle name="Normal 8 3 2 3 2 3 4" xfId="13727" xr:uid="{BC2CCCA7-B140-4BD2-8701-DF6B8837EA7E}"/>
    <cellStyle name="Normal 8 3 2 3 2 4" xfId="26391" xr:uid="{2D999ADD-59F1-47D6-9D93-5D6267CD535D}"/>
    <cellStyle name="Normal 8 3 2 3 2 5" xfId="17950" xr:uid="{C649D08A-C8F5-49F7-8168-25174A08C1E5}"/>
    <cellStyle name="Normal 8 3 2 3 2 6" xfId="9509" xr:uid="{9EC61F6F-90AE-4EE7-88D3-12209BB67B10}"/>
    <cellStyle name="Normal 8 3 2 3 3" xfId="1383" xr:uid="{00000000-0005-0000-0000-00005F1D0000}"/>
    <cellStyle name="Normal 8 3 2 3 3 2" xfId="3613" xr:uid="{00000000-0005-0000-0000-0000601D0000}"/>
    <cellStyle name="Normal 8 3 2 3 3 2 2" xfId="7835" xr:uid="{00000000-0005-0000-0000-0000611D0000}"/>
    <cellStyle name="Normal 8 3 2 3 3 2 2 2" xfId="33167" xr:uid="{EF973DB9-AF06-4512-9CCE-D304D23962BF}"/>
    <cellStyle name="Normal 8 3 2 3 3 2 2 3" xfId="24726" xr:uid="{0BD5D2B9-1CDC-4A1D-84B0-40CE420E0302}"/>
    <cellStyle name="Normal 8 3 2 3 3 2 2 4" xfId="16285" xr:uid="{D49ACEE0-E39A-4DC7-B9A9-FC1EACD3F8C0}"/>
    <cellStyle name="Normal 8 3 2 3 3 2 3" xfId="28949" xr:uid="{476866E5-E229-4B64-860C-00A42CBF6216}"/>
    <cellStyle name="Normal 8 3 2 3 3 2 4" xfId="20508" xr:uid="{50503D7D-22F3-4609-873E-FD4AEE6C6ACA}"/>
    <cellStyle name="Normal 8 3 2 3 3 2 5" xfId="12067" xr:uid="{2C99AEDE-EB10-410B-B2DE-3F5C28EBE201}"/>
    <cellStyle name="Normal 8 3 2 3 3 3" xfId="5690" xr:uid="{00000000-0005-0000-0000-0000621D0000}"/>
    <cellStyle name="Normal 8 3 2 3 3 3 2" xfId="31022" xr:uid="{EC938AB0-8DC7-44EB-8F7A-6002E1E5DD5C}"/>
    <cellStyle name="Normal 8 3 2 3 3 3 3" xfId="22581" xr:uid="{388913C8-3F0D-434E-9814-68508575C1E0}"/>
    <cellStyle name="Normal 8 3 2 3 3 3 4" xfId="14140" xr:uid="{10D85A29-A373-4A5F-A50D-F021A9C59EAF}"/>
    <cellStyle name="Normal 8 3 2 3 3 4" xfId="26804" xr:uid="{4F466F2B-4701-4033-8767-320168BC10C5}"/>
    <cellStyle name="Normal 8 3 2 3 3 5" xfId="18363" xr:uid="{2ED4D2C4-9B19-4EBB-BDD3-5C201E9300DE}"/>
    <cellStyle name="Normal 8 3 2 3 3 6" xfId="9922" xr:uid="{1BA00FED-77C5-43CA-A276-025167109E6A}"/>
    <cellStyle name="Normal 8 3 2 3 4" xfId="1796" xr:uid="{00000000-0005-0000-0000-0000631D0000}"/>
    <cellStyle name="Normal 8 3 2 3 4 2" xfId="4026" xr:uid="{00000000-0005-0000-0000-0000641D0000}"/>
    <cellStyle name="Normal 8 3 2 3 4 2 2" xfId="8248" xr:uid="{00000000-0005-0000-0000-0000651D0000}"/>
    <cellStyle name="Normal 8 3 2 3 4 2 2 2" xfId="33580" xr:uid="{770E08ED-7FFF-4638-9233-CC099B9876EC}"/>
    <cellStyle name="Normal 8 3 2 3 4 2 2 3" xfId="25139" xr:uid="{7C5F15E6-0AA5-498D-A917-CA7DFEFEEC12}"/>
    <cellStyle name="Normal 8 3 2 3 4 2 2 4" xfId="16698" xr:uid="{771FDF4A-AA7B-448D-84D8-B1B68BA7FE74}"/>
    <cellStyle name="Normal 8 3 2 3 4 2 3" xfId="29362" xr:uid="{32101018-83A7-4399-8D8E-0F125AB78F14}"/>
    <cellStyle name="Normal 8 3 2 3 4 2 4" xfId="20921" xr:uid="{7464DA74-919F-45E1-94C9-0D7479EBA2FC}"/>
    <cellStyle name="Normal 8 3 2 3 4 2 5" xfId="12480" xr:uid="{4BF83082-DF44-4A2C-9AF5-EFFE4508CC7F}"/>
    <cellStyle name="Normal 8 3 2 3 4 3" xfId="6103" xr:uid="{00000000-0005-0000-0000-0000661D0000}"/>
    <cellStyle name="Normal 8 3 2 3 4 3 2" xfId="31435" xr:uid="{85E4BB30-0A32-4B55-ABF5-72BF0E928DE0}"/>
    <cellStyle name="Normal 8 3 2 3 4 3 3" xfId="22994" xr:uid="{C8D23B57-0AE1-4C70-9C7C-09ACBC07B2EC}"/>
    <cellStyle name="Normal 8 3 2 3 4 3 4" xfId="14553" xr:uid="{453A22DA-C8E8-4597-8670-64FCF3B2C6FC}"/>
    <cellStyle name="Normal 8 3 2 3 4 4" xfId="27217" xr:uid="{3847486C-1EFE-4B09-A75A-D6FDC3241879}"/>
    <cellStyle name="Normal 8 3 2 3 4 5" xfId="18776" xr:uid="{829C7DEE-E2B8-4FA7-816B-6E88480DC932}"/>
    <cellStyle name="Normal 8 3 2 3 4 6" xfId="10335" xr:uid="{207D0FE4-2A0F-4521-896D-A74531038716}"/>
    <cellStyle name="Normal 8 3 2 3 5" xfId="2210" xr:uid="{00000000-0005-0000-0000-0000671D0000}"/>
    <cellStyle name="Normal 8 3 2 3 5 2" xfId="4439" xr:uid="{00000000-0005-0000-0000-0000681D0000}"/>
    <cellStyle name="Normal 8 3 2 3 5 2 2" xfId="8661" xr:uid="{00000000-0005-0000-0000-0000691D0000}"/>
    <cellStyle name="Normal 8 3 2 3 5 2 2 2" xfId="33993" xr:uid="{B4CA6EFD-325F-4D5E-9547-5704F24BE58E}"/>
    <cellStyle name="Normal 8 3 2 3 5 2 2 3" xfId="25552" xr:uid="{AAB89CDF-9C7D-4FB7-A00E-14827CA0BAB4}"/>
    <cellStyle name="Normal 8 3 2 3 5 2 2 4" xfId="17111" xr:uid="{67932A31-8BD5-47AC-89A1-9A893C789C8A}"/>
    <cellStyle name="Normal 8 3 2 3 5 2 3" xfId="29775" xr:uid="{C976531B-47CB-43D3-B286-22693F5D3996}"/>
    <cellStyle name="Normal 8 3 2 3 5 2 4" xfId="21334" xr:uid="{24F1B662-A275-4CE5-994F-29F7550451A4}"/>
    <cellStyle name="Normal 8 3 2 3 5 2 5" xfId="12893" xr:uid="{2DCC429F-1FDE-4D43-B29A-A17E5875497A}"/>
    <cellStyle name="Normal 8 3 2 3 5 3" xfId="6516" xr:uid="{00000000-0005-0000-0000-00006A1D0000}"/>
    <cellStyle name="Normal 8 3 2 3 5 3 2" xfId="31848" xr:uid="{422701A3-638A-4119-AE2D-509959AB4ED8}"/>
    <cellStyle name="Normal 8 3 2 3 5 3 3" xfId="23407" xr:uid="{26F8843E-D7CA-4165-A4F2-54E3529077D5}"/>
    <cellStyle name="Normal 8 3 2 3 5 3 4" xfId="14966" xr:uid="{DFFCD7E3-147A-4896-B048-B3CBA23FE2A3}"/>
    <cellStyle name="Normal 8 3 2 3 5 4" xfId="27630" xr:uid="{EC1254AF-DC44-4443-965F-8CAE5A788897}"/>
    <cellStyle name="Normal 8 3 2 3 5 5" xfId="19189" xr:uid="{F2C1708A-8107-4F9B-BDD5-E0BC0EBE6FDD}"/>
    <cellStyle name="Normal 8 3 2 3 5 6" xfId="10748" xr:uid="{C12536D9-A4AB-4192-91D1-652475889882}"/>
    <cellStyle name="Normal 8 3 2 3 6" xfId="2646" xr:uid="{00000000-0005-0000-0000-00006B1D0000}"/>
    <cellStyle name="Normal 8 3 2 3 6 2" xfId="6929" xr:uid="{00000000-0005-0000-0000-00006C1D0000}"/>
    <cellStyle name="Normal 8 3 2 3 6 2 2" xfId="32261" xr:uid="{0D6700A5-4EEB-4DD6-B209-E9D1305E408C}"/>
    <cellStyle name="Normal 8 3 2 3 6 2 3" xfId="23820" xr:uid="{C61CFFE7-03A9-4AE4-A4D7-0237A44431EC}"/>
    <cellStyle name="Normal 8 3 2 3 6 2 4" xfId="15379" xr:uid="{562D30FE-2954-45B7-8761-A18F89DB9EC5}"/>
    <cellStyle name="Normal 8 3 2 3 6 3" xfId="28043" xr:uid="{7C27C752-FA6B-4278-85F2-ACD9FC4B31DA}"/>
    <cellStyle name="Normal 8 3 2 3 6 4" xfId="19602" xr:uid="{733567A6-F02D-4EB4-90C1-1B9CF9738DB1}"/>
    <cellStyle name="Normal 8 3 2 3 6 5" xfId="11161" xr:uid="{3EA441DC-2CA7-4C77-AD18-31AE549EE079}"/>
    <cellStyle name="Normal 8 3 2 3 7" xfId="4864" xr:uid="{00000000-0005-0000-0000-00006D1D0000}"/>
    <cellStyle name="Normal 8 3 2 3 7 2" xfId="30196" xr:uid="{B845EF39-E21E-4D6A-BF3B-D6AE214FBD81}"/>
    <cellStyle name="Normal 8 3 2 3 7 3" xfId="21755" xr:uid="{91454B12-BBE1-4681-98D1-D18BEB6D7986}"/>
    <cellStyle name="Normal 8 3 2 3 7 4" xfId="13314" xr:uid="{A73FEA5F-D9F3-4D0C-A89A-9335C1741B5F}"/>
    <cellStyle name="Normal 8 3 2 3 8" xfId="25978" xr:uid="{3FFE12F6-D138-4083-9D1A-68D7280ED235}"/>
    <cellStyle name="Normal 8 3 2 3 9" xfId="17537" xr:uid="{56437454-D9A9-4CAF-B3E3-C15B67D76E51}"/>
    <cellStyle name="Normal 8 3 2 4" xfId="963" xr:uid="{00000000-0005-0000-0000-00006E1D0000}"/>
    <cellStyle name="Normal 8 3 2 4 2" xfId="3197" xr:uid="{00000000-0005-0000-0000-00006F1D0000}"/>
    <cellStyle name="Normal 8 3 2 4 2 2" xfId="7419" xr:uid="{00000000-0005-0000-0000-0000701D0000}"/>
    <cellStyle name="Normal 8 3 2 4 2 2 2" xfId="32751" xr:uid="{6A42CD75-505D-479B-916B-E8448F2BBB8D}"/>
    <cellStyle name="Normal 8 3 2 4 2 2 3" xfId="24310" xr:uid="{43E0B818-1ABE-44BA-94CD-97FA4EBBECD1}"/>
    <cellStyle name="Normal 8 3 2 4 2 2 4" xfId="15869" xr:uid="{6B886F3F-C102-41CA-95A8-3BBDE7C6C71E}"/>
    <cellStyle name="Normal 8 3 2 4 2 3" xfId="28533" xr:uid="{9500B07C-7EEE-4A58-B6B0-16F5FC169E4D}"/>
    <cellStyle name="Normal 8 3 2 4 2 4" xfId="20092" xr:uid="{51106F0F-9711-42DE-AD0F-94DE6DF23AC9}"/>
    <cellStyle name="Normal 8 3 2 4 2 5" xfId="11651" xr:uid="{375C7C50-1841-4D3D-B3C3-0AE77758B8A0}"/>
    <cellStyle name="Normal 8 3 2 4 3" xfId="5274" xr:uid="{00000000-0005-0000-0000-0000711D0000}"/>
    <cellStyle name="Normal 8 3 2 4 3 2" xfId="30606" xr:uid="{2D224D6E-D3E9-4102-BF4E-91D9F2E2C733}"/>
    <cellStyle name="Normal 8 3 2 4 3 3" xfId="22165" xr:uid="{F4B81D31-E522-4BC3-8646-FCFB2E726A43}"/>
    <cellStyle name="Normal 8 3 2 4 3 4" xfId="13724" xr:uid="{B8E1CA38-8D04-41B4-B27F-913897E7D735}"/>
    <cellStyle name="Normal 8 3 2 4 4" xfId="26388" xr:uid="{AA3E9856-AB16-413A-89F7-DD612F569F1C}"/>
    <cellStyle name="Normal 8 3 2 4 5" xfId="17947" xr:uid="{3CBB5F4E-AC50-4E3C-B7C5-B4E01FCCB637}"/>
    <cellStyle name="Normal 8 3 2 4 6" xfId="9506" xr:uid="{7CE2348A-FC7D-4659-848D-DD0DA3DD7894}"/>
    <cellStyle name="Normal 8 3 2 5" xfId="1380" xr:uid="{00000000-0005-0000-0000-0000721D0000}"/>
    <cellStyle name="Normal 8 3 2 5 2" xfId="3610" xr:uid="{00000000-0005-0000-0000-0000731D0000}"/>
    <cellStyle name="Normal 8 3 2 5 2 2" xfId="7832" xr:uid="{00000000-0005-0000-0000-0000741D0000}"/>
    <cellStyle name="Normal 8 3 2 5 2 2 2" xfId="33164" xr:uid="{73FAAA85-1824-41E4-83E8-9B1BEB3A353E}"/>
    <cellStyle name="Normal 8 3 2 5 2 2 3" xfId="24723" xr:uid="{7498A3D1-3ABF-4A8C-A292-53CCBB97AB71}"/>
    <cellStyle name="Normal 8 3 2 5 2 2 4" xfId="16282" xr:uid="{67CF6691-68A9-4000-AA63-26D1A07C49CB}"/>
    <cellStyle name="Normal 8 3 2 5 2 3" xfId="28946" xr:uid="{3604653A-EEDB-415F-8682-F317BCEB49E9}"/>
    <cellStyle name="Normal 8 3 2 5 2 4" xfId="20505" xr:uid="{D4768259-77F2-4164-B888-0B59DC6316E9}"/>
    <cellStyle name="Normal 8 3 2 5 2 5" xfId="12064" xr:uid="{2FF2884E-880C-4122-B604-CEC70B26F739}"/>
    <cellStyle name="Normal 8 3 2 5 3" xfId="5687" xr:uid="{00000000-0005-0000-0000-0000751D0000}"/>
    <cellStyle name="Normal 8 3 2 5 3 2" xfId="31019" xr:uid="{0BF2CF0A-5B5B-4F47-9FC1-B6BB95D11FC3}"/>
    <cellStyle name="Normal 8 3 2 5 3 3" xfId="22578" xr:uid="{30DB64E6-435B-415B-9E20-4031A4FEFF6B}"/>
    <cellStyle name="Normal 8 3 2 5 3 4" xfId="14137" xr:uid="{3255CCD0-3AB8-4834-9A88-3FC64CF0AFBE}"/>
    <cellStyle name="Normal 8 3 2 5 4" xfId="26801" xr:uid="{0F540BD0-F7C3-438E-AFF9-204B2B31BED7}"/>
    <cellStyle name="Normal 8 3 2 5 5" xfId="18360" xr:uid="{02D20DDE-2588-49F3-B5A0-882B9123CC2E}"/>
    <cellStyle name="Normal 8 3 2 5 6" xfId="9919" xr:uid="{179DDC3E-C9B4-4097-87CF-FD705A47AAF7}"/>
    <cellStyle name="Normal 8 3 2 6" xfId="1793" xr:uid="{00000000-0005-0000-0000-0000761D0000}"/>
    <cellStyle name="Normal 8 3 2 6 2" xfId="4023" xr:uid="{00000000-0005-0000-0000-0000771D0000}"/>
    <cellStyle name="Normal 8 3 2 6 2 2" xfId="8245" xr:uid="{00000000-0005-0000-0000-0000781D0000}"/>
    <cellStyle name="Normal 8 3 2 6 2 2 2" xfId="33577" xr:uid="{C399FF62-7081-4A1A-9BDD-412910B09199}"/>
    <cellStyle name="Normal 8 3 2 6 2 2 3" xfId="25136" xr:uid="{F3A01D82-5952-4A0B-A4D2-1352793EBAAA}"/>
    <cellStyle name="Normal 8 3 2 6 2 2 4" xfId="16695" xr:uid="{B50CE4B9-0A68-4B18-B2C5-F031B59CEECC}"/>
    <cellStyle name="Normal 8 3 2 6 2 3" xfId="29359" xr:uid="{5F2F798F-A8D0-4906-A639-AE23733D74BE}"/>
    <cellStyle name="Normal 8 3 2 6 2 4" xfId="20918" xr:uid="{27847E66-AF84-4672-8433-1504F7954497}"/>
    <cellStyle name="Normal 8 3 2 6 2 5" xfId="12477" xr:uid="{432D920B-588B-4DFB-99CC-F811B7749177}"/>
    <cellStyle name="Normal 8 3 2 6 3" xfId="6100" xr:uid="{00000000-0005-0000-0000-0000791D0000}"/>
    <cellStyle name="Normal 8 3 2 6 3 2" xfId="31432" xr:uid="{03A70586-248A-448D-814D-D0814255B527}"/>
    <cellStyle name="Normal 8 3 2 6 3 3" xfId="22991" xr:uid="{A979A8F8-A11E-4C23-A0CD-717A720378A2}"/>
    <cellStyle name="Normal 8 3 2 6 3 4" xfId="14550" xr:uid="{E93B2DE2-FF75-4C22-8A61-E3056FDC1A46}"/>
    <cellStyle name="Normal 8 3 2 6 4" xfId="27214" xr:uid="{CDED3243-0C23-4A70-940F-AE00B571FF5B}"/>
    <cellStyle name="Normal 8 3 2 6 5" xfId="18773" xr:uid="{03F499A9-324A-4CCA-8F7E-46AA01B74861}"/>
    <cellStyle name="Normal 8 3 2 6 6" xfId="10332" xr:uid="{2FC63ECD-1AC0-45AE-8A7D-59D8E7973D10}"/>
    <cellStyle name="Normal 8 3 2 7" xfId="2207" xr:uid="{00000000-0005-0000-0000-00007A1D0000}"/>
    <cellStyle name="Normal 8 3 2 7 2" xfId="4436" xr:uid="{00000000-0005-0000-0000-00007B1D0000}"/>
    <cellStyle name="Normal 8 3 2 7 2 2" xfId="8658" xr:uid="{00000000-0005-0000-0000-00007C1D0000}"/>
    <cellStyle name="Normal 8 3 2 7 2 2 2" xfId="33990" xr:uid="{36F6927C-C683-4EDD-ABE6-1933D3B2C1E9}"/>
    <cellStyle name="Normal 8 3 2 7 2 2 3" xfId="25549" xr:uid="{C6F8DCDD-376D-4B22-A5EC-13E43E4B3ED1}"/>
    <cellStyle name="Normal 8 3 2 7 2 2 4" xfId="17108" xr:uid="{E0F5C8DE-4AEE-49E6-8B9A-159708CD851C}"/>
    <cellStyle name="Normal 8 3 2 7 2 3" xfId="29772" xr:uid="{5AB8F008-CBDF-423E-839B-C6395F2C08AB}"/>
    <cellStyle name="Normal 8 3 2 7 2 4" xfId="21331" xr:uid="{C787E47D-C75A-4114-8396-2A159C73EA17}"/>
    <cellStyle name="Normal 8 3 2 7 2 5" xfId="12890" xr:uid="{A4DFA929-7FC0-4B69-8C74-AAAF8C36DEA4}"/>
    <cellStyle name="Normal 8 3 2 7 3" xfId="6513" xr:uid="{00000000-0005-0000-0000-00007D1D0000}"/>
    <cellStyle name="Normal 8 3 2 7 3 2" xfId="31845" xr:uid="{D0224E4B-59BD-48F9-82C1-E773101FD2DF}"/>
    <cellStyle name="Normal 8 3 2 7 3 3" xfId="23404" xr:uid="{438973DE-B2B5-4BFB-91D0-3FC66D2D0F93}"/>
    <cellStyle name="Normal 8 3 2 7 3 4" xfId="14963" xr:uid="{62B85C35-9FB4-4A5B-A8C9-E9B6C3973F55}"/>
    <cellStyle name="Normal 8 3 2 7 4" xfId="27627" xr:uid="{BECCF2DF-B450-4BDA-AC97-140FA3D172B2}"/>
    <cellStyle name="Normal 8 3 2 7 5" xfId="19186" xr:uid="{BB5809AB-908B-4542-AC67-701740D44DA5}"/>
    <cellStyle name="Normal 8 3 2 7 6" xfId="10745" xr:uid="{0BCE60A0-8546-429A-950B-8EFC01C4B0CE}"/>
    <cellStyle name="Normal 8 3 2 8" xfId="2643" xr:uid="{00000000-0005-0000-0000-00007E1D0000}"/>
    <cellStyle name="Normal 8 3 2 8 2" xfId="6926" xr:uid="{00000000-0005-0000-0000-00007F1D0000}"/>
    <cellStyle name="Normal 8 3 2 8 2 2" xfId="32258" xr:uid="{63CB7936-C1ED-4DC7-BEFB-95358B6AFDC8}"/>
    <cellStyle name="Normal 8 3 2 8 2 3" xfId="23817" xr:uid="{3BB901F9-52CD-4C86-8D14-7342AED0DD8E}"/>
    <cellStyle name="Normal 8 3 2 8 2 4" xfId="15376" xr:uid="{3AD95BE3-AA9F-4B55-BC93-67A6EFC2EBFE}"/>
    <cellStyle name="Normal 8 3 2 8 3" xfId="28040" xr:uid="{9CBF4C34-A21B-4636-9A77-FACE275C1278}"/>
    <cellStyle name="Normal 8 3 2 8 4" xfId="19599" xr:uid="{94023EAD-91C4-4E4B-BDCB-688DCCFC00A8}"/>
    <cellStyle name="Normal 8 3 2 8 5" xfId="11158" xr:uid="{50AF7EED-5E6C-444C-93BD-8FF62030F4D6}"/>
    <cellStyle name="Normal 8 3 2 9" xfId="4861" xr:uid="{00000000-0005-0000-0000-0000801D0000}"/>
    <cellStyle name="Normal 8 3 2 9 2" xfId="30193" xr:uid="{01A21C52-774D-40F8-8E51-1B02E1E7DBD9}"/>
    <cellStyle name="Normal 8 3 2 9 3" xfId="21752" xr:uid="{5A254B96-7631-415D-8ABB-0828D818FDD2}"/>
    <cellStyle name="Normal 8 3 2 9 4" xfId="13311" xr:uid="{4CB2206E-350F-4459-9568-3302BBD97F27}"/>
    <cellStyle name="Normal 8 3 3" xfId="500" xr:uid="{00000000-0005-0000-0000-0000811D0000}"/>
    <cellStyle name="Normal 8 3 3 10" xfId="17538" xr:uid="{CB222660-3ADE-4AA7-942F-C03E77B5C672}"/>
    <cellStyle name="Normal 8 3 3 11" xfId="9097" xr:uid="{CC8D35F1-5B57-4F37-AF5D-0EF7944292A0}"/>
    <cellStyle name="Normal 8 3 3 2" xfId="501" xr:uid="{00000000-0005-0000-0000-0000821D0000}"/>
    <cellStyle name="Normal 8 3 3 2 10" xfId="9098" xr:uid="{0A5DBA34-A2F3-4E9B-BC69-FC94F25BE822}"/>
    <cellStyle name="Normal 8 3 3 2 2" xfId="968" xr:uid="{00000000-0005-0000-0000-0000831D0000}"/>
    <cellStyle name="Normal 8 3 3 2 2 2" xfId="3202" xr:uid="{00000000-0005-0000-0000-0000841D0000}"/>
    <cellStyle name="Normal 8 3 3 2 2 2 2" xfId="7424" xr:uid="{00000000-0005-0000-0000-0000851D0000}"/>
    <cellStyle name="Normal 8 3 3 2 2 2 2 2" xfId="32756" xr:uid="{97C6E71E-7C35-48C5-9E14-5B5DA2726130}"/>
    <cellStyle name="Normal 8 3 3 2 2 2 2 3" xfId="24315" xr:uid="{520F0187-E496-4BE4-95DA-47507ABE4D4A}"/>
    <cellStyle name="Normal 8 3 3 2 2 2 2 4" xfId="15874" xr:uid="{51900163-8852-44F3-B37F-2A5193FD4CDE}"/>
    <cellStyle name="Normal 8 3 3 2 2 2 3" xfId="28538" xr:uid="{ED637C07-C012-4EB0-A21B-3BE8C5E84105}"/>
    <cellStyle name="Normal 8 3 3 2 2 2 4" xfId="20097" xr:uid="{447348E8-E6AC-4A53-88EC-99BC4933E899}"/>
    <cellStyle name="Normal 8 3 3 2 2 2 5" xfId="11656" xr:uid="{6E0AE53E-8774-42AE-85F8-94926E264756}"/>
    <cellStyle name="Normal 8 3 3 2 2 3" xfId="5279" xr:uid="{00000000-0005-0000-0000-0000861D0000}"/>
    <cellStyle name="Normal 8 3 3 2 2 3 2" xfId="30611" xr:uid="{D58CB796-EBAA-4AFF-B79F-1AA20EEE40E2}"/>
    <cellStyle name="Normal 8 3 3 2 2 3 3" xfId="22170" xr:uid="{29C0E569-3F1C-4531-89BE-44E295B9CB13}"/>
    <cellStyle name="Normal 8 3 3 2 2 3 4" xfId="13729" xr:uid="{6CCE4220-14B8-4470-98F1-057EEB7ACAEF}"/>
    <cellStyle name="Normal 8 3 3 2 2 4" xfId="26393" xr:uid="{016099D9-68B3-4A03-90AC-DAF62FBA073C}"/>
    <cellStyle name="Normal 8 3 3 2 2 5" xfId="17952" xr:uid="{DA01BD27-193B-4D0B-B958-80A74CF51E85}"/>
    <cellStyle name="Normal 8 3 3 2 2 6" xfId="9511" xr:uid="{8DA638B1-A075-4DB0-B0CA-2ACB16755F25}"/>
    <cellStyle name="Normal 8 3 3 2 3" xfId="1385" xr:uid="{00000000-0005-0000-0000-0000871D0000}"/>
    <cellStyle name="Normal 8 3 3 2 3 2" xfId="3615" xr:uid="{00000000-0005-0000-0000-0000881D0000}"/>
    <cellStyle name="Normal 8 3 3 2 3 2 2" xfId="7837" xr:uid="{00000000-0005-0000-0000-0000891D0000}"/>
    <cellStyle name="Normal 8 3 3 2 3 2 2 2" xfId="33169" xr:uid="{E117E2BC-E367-49E8-89C5-30B049BAE9FE}"/>
    <cellStyle name="Normal 8 3 3 2 3 2 2 3" xfId="24728" xr:uid="{84E89C42-33A8-4E32-AB22-9AC997B29C1E}"/>
    <cellStyle name="Normal 8 3 3 2 3 2 2 4" xfId="16287" xr:uid="{4B0A2CC3-E114-4178-97AE-9EA78A8BD9BF}"/>
    <cellStyle name="Normal 8 3 3 2 3 2 3" xfId="28951" xr:uid="{D8F10DD5-6CE5-42A3-AA29-ACA226758F3A}"/>
    <cellStyle name="Normal 8 3 3 2 3 2 4" xfId="20510" xr:uid="{FEDA5F8D-D941-4ED9-8A28-C609B3B3A056}"/>
    <cellStyle name="Normal 8 3 3 2 3 2 5" xfId="12069" xr:uid="{741294BB-E67A-44DB-8045-A91114C4BF61}"/>
    <cellStyle name="Normal 8 3 3 2 3 3" xfId="5692" xr:uid="{00000000-0005-0000-0000-00008A1D0000}"/>
    <cellStyle name="Normal 8 3 3 2 3 3 2" xfId="31024" xr:uid="{9C38D394-4234-4762-8443-3EEB4C7FD328}"/>
    <cellStyle name="Normal 8 3 3 2 3 3 3" xfId="22583" xr:uid="{2B03E01A-EB20-4D5F-91FB-C47233FACF68}"/>
    <cellStyle name="Normal 8 3 3 2 3 3 4" xfId="14142" xr:uid="{1AF89BB7-D5FF-402E-9BAB-03A8B55E6022}"/>
    <cellStyle name="Normal 8 3 3 2 3 4" xfId="26806" xr:uid="{B849E0B5-B0A5-4F63-B211-0D901D0135B3}"/>
    <cellStyle name="Normal 8 3 3 2 3 5" xfId="18365" xr:uid="{C1EC2039-194E-4AE4-922A-DC8E3828B5EA}"/>
    <cellStyle name="Normal 8 3 3 2 3 6" xfId="9924" xr:uid="{DB596F0D-1B29-40B5-8A67-8786122B5606}"/>
    <cellStyle name="Normal 8 3 3 2 4" xfId="1798" xr:uid="{00000000-0005-0000-0000-00008B1D0000}"/>
    <cellStyle name="Normal 8 3 3 2 4 2" xfId="4028" xr:uid="{00000000-0005-0000-0000-00008C1D0000}"/>
    <cellStyle name="Normal 8 3 3 2 4 2 2" xfId="8250" xr:uid="{00000000-0005-0000-0000-00008D1D0000}"/>
    <cellStyle name="Normal 8 3 3 2 4 2 2 2" xfId="33582" xr:uid="{EDB12FAA-06A5-4831-8222-3E768A45B090}"/>
    <cellStyle name="Normal 8 3 3 2 4 2 2 3" xfId="25141" xr:uid="{1A1ABC92-94F0-444F-9E95-87D36B68EE43}"/>
    <cellStyle name="Normal 8 3 3 2 4 2 2 4" xfId="16700" xr:uid="{924373E1-AC61-4A51-996F-05BCDDEDC3D7}"/>
    <cellStyle name="Normal 8 3 3 2 4 2 3" xfId="29364" xr:uid="{AD1E78A3-967C-4FC4-B7F7-C000934A31F6}"/>
    <cellStyle name="Normal 8 3 3 2 4 2 4" xfId="20923" xr:uid="{2C956717-7773-407E-8084-18E85803407D}"/>
    <cellStyle name="Normal 8 3 3 2 4 2 5" xfId="12482" xr:uid="{DF2B35E6-FCA9-4C76-A195-AD32483F5207}"/>
    <cellStyle name="Normal 8 3 3 2 4 3" xfId="6105" xr:uid="{00000000-0005-0000-0000-00008E1D0000}"/>
    <cellStyle name="Normal 8 3 3 2 4 3 2" xfId="31437" xr:uid="{C197DC39-643F-4DD7-9384-8D708F04DE5D}"/>
    <cellStyle name="Normal 8 3 3 2 4 3 3" xfId="22996" xr:uid="{A9595BB7-CD54-4DD5-9CFB-F40EF86F0FB9}"/>
    <cellStyle name="Normal 8 3 3 2 4 3 4" xfId="14555" xr:uid="{0D1F2DB9-C786-47F8-ADD7-337F1C81323E}"/>
    <cellStyle name="Normal 8 3 3 2 4 4" xfId="27219" xr:uid="{77AB8A38-CA2B-4F25-AA5C-65D95A1DEA8D}"/>
    <cellStyle name="Normal 8 3 3 2 4 5" xfId="18778" xr:uid="{217C228C-C990-46DC-B48F-AE9C6FE3889C}"/>
    <cellStyle name="Normal 8 3 3 2 4 6" xfId="10337" xr:uid="{D3D0645E-9C90-4554-898C-3F3C16E1DEDC}"/>
    <cellStyle name="Normal 8 3 3 2 5" xfId="2212" xr:uid="{00000000-0005-0000-0000-00008F1D0000}"/>
    <cellStyle name="Normal 8 3 3 2 5 2" xfId="4441" xr:uid="{00000000-0005-0000-0000-0000901D0000}"/>
    <cellStyle name="Normal 8 3 3 2 5 2 2" xfId="8663" xr:uid="{00000000-0005-0000-0000-0000911D0000}"/>
    <cellStyle name="Normal 8 3 3 2 5 2 2 2" xfId="33995" xr:uid="{26BEA57F-72A7-4C17-A9B4-13BAEB92C356}"/>
    <cellStyle name="Normal 8 3 3 2 5 2 2 3" xfId="25554" xr:uid="{2438803A-A2D0-4D35-85D9-4CDDA9D76268}"/>
    <cellStyle name="Normal 8 3 3 2 5 2 2 4" xfId="17113" xr:uid="{41BDA4D8-8458-48FC-B5A0-268576D1659D}"/>
    <cellStyle name="Normal 8 3 3 2 5 2 3" xfId="29777" xr:uid="{A15E6D8F-B4F9-4EB8-ACCB-4948674BC73E}"/>
    <cellStyle name="Normal 8 3 3 2 5 2 4" xfId="21336" xr:uid="{E2274E7B-47FB-4740-9C66-C68447E76BE9}"/>
    <cellStyle name="Normal 8 3 3 2 5 2 5" xfId="12895" xr:uid="{336DCDE6-4703-400E-8D1C-68AD87051176}"/>
    <cellStyle name="Normal 8 3 3 2 5 3" xfId="6518" xr:uid="{00000000-0005-0000-0000-0000921D0000}"/>
    <cellStyle name="Normal 8 3 3 2 5 3 2" xfId="31850" xr:uid="{D0185335-AAD2-4BB6-BB30-0345434E5DD1}"/>
    <cellStyle name="Normal 8 3 3 2 5 3 3" xfId="23409" xr:uid="{B092E5F4-99CC-496A-9C0B-F5DF76105888}"/>
    <cellStyle name="Normal 8 3 3 2 5 3 4" xfId="14968" xr:uid="{953B0595-7F43-4AA9-85DA-DC33F38AE38D}"/>
    <cellStyle name="Normal 8 3 3 2 5 4" xfId="27632" xr:uid="{C875E409-B320-4E48-8F41-2639BC741504}"/>
    <cellStyle name="Normal 8 3 3 2 5 5" xfId="19191" xr:uid="{8ED11D82-A069-4575-9DD0-ABA6196A9B61}"/>
    <cellStyle name="Normal 8 3 3 2 5 6" xfId="10750" xr:uid="{33AC81AA-4C00-42D7-B68B-1FCD264BA1B2}"/>
    <cellStyle name="Normal 8 3 3 2 6" xfId="2648" xr:uid="{00000000-0005-0000-0000-0000931D0000}"/>
    <cellStyle name="Normal 8 3 3 2 6 2" xfId="6931" xr:uid="{00000000-0005-0000-0000-0000941D0000}"/>
    <cellStyle name="Normal 8 3 3 2 6 2 2" xfId="32263" xr:uid="{A21C25DE-FC36-4420-9E67-20739035E8C9}"/>
    <cellStyle name="Normal 8 3 3 2 6 2 3" xfId="23822" xr:uid="{21477C76-4EF3-44EA-B902-6513C163B9C0}"/>
    <cellStyle name="Normal 8 3 3 2 6 2 4" xfId="15381" xr:uid="{17432F85-AD12-41AD-9938-E374FAD63D66}"/>
    <cellStyle name="Normal 8 3 3 2 6 3" xfId="28045" xr:uid="{3BF430D3-BF16-492D-9B8E-7B58FF855A61}"/>
    <cellStyle name="Normal 8 3 3 2 6 4" xfId="19604" xr:uid="{A2B356DF-358E-423D-9E73-7EC68375BEF2}"/>
    <cellStyle name="Normal 8 3 3 2 6 5" xfId="11163" xr:uid="{1B1D4AB0-9E65-4FA3-8B55-D5AFF6027CF1}"/>
    <cellStyle name="Normal 8 3 3 2 7" xfId="4866" xr:uid="{00000000-0005-0000-0000-0000951D0000}"/>
    <cellStyle name="Normal 8 3 3 2 7 2" xfId="30198" xr:uid="{1377FBCD-D5D0-4A7D-8794-27F7347A06AE}"/>
    <cellStyle name="Normal 8 3 3 2 7 3" xfId="21757" xr:uid="{EF758B51-BFA9-4930-886D-D496EE2071BC}"/>
    <cellStyle name="Normal 8 3 3 2 7 4" xfId="13316" xr:uid="{9A354DB8-A79E-416D-80E9-9C1FF6F9D45A}"/>
    <cellStyle name="Normal 8 3 3 2 8" xfId="25980" xr:uid="{F9D32FC8-A171-4C03-B8D9-E88B2B1B1D38}"/>
    <cellStyle name="Normal 8 3 3 2 9" xfId="17539" xr:uid="{633EFE50-6463-41D6-8DAF-8B3E3798A423}"/>
    <cellStyle name="Normal 8 3 3 3" xfId="967" xr:uid="{00000000-0005-0000-0000-0000961D0000}"/>
    <cellStyle name="Normal 8 3 3 3 2" xfId="3201" xr:uid="{00000000-0005-0000-0000-0000971D0000}"/>
    <cellStyle name="Normal 8 3 3 3 2 2" xfId="7423" xr:uid="{00000000-0005-0000-0000-0000981D0000}"/>
    <cellStyle name="Normal 8 3 3 3 2 2 2" xfId="32755" xr:uid="{78C126BD-1323-4BE9-AD7B-EFF3013AA62C}"/>
    <cellStyle name="Normal 8 3 3 3 2 2 3" xfId="24314" xr:uid="{946D663E-DB71-42F8-A2A7-73A92347C2AF}"/>
    <cellStyle name="Normal 8 3 3 3 2 2 4" xfId="15873" xr:uid="{0641783B-99BA-4114-B5EB-E2AE18573A10}"/>
    <cellStyle name="Normal 8 3 3 3 2 3" xfId="28537" xr:uid="{8121210C-18FD-4002-886A-55D3962DFD9F}"/>
    <cellStyle name="Normal 8 3 3 3 2 4" xfId="20096" xr:uid="{C9FBD4E2-DC0A-4F87-9EE9-10FE1D5AE6B4}"/>
    <cellStyle name="Normal 8 3 3 3 2 5" xfId="11655" xr:uid="{3EB0562B-DA3F-46B9-9104-66C27F30585F}"/>
    <cellStyle name="Normal 8 3 3 3 3" xfId="5278" xr:uid="{00000000-0005-0000-0000-0000991D0000}"/>
    <cellStyle name="Normal 8 3 3 3 3 2" xfId="30610" xr:uid="{5387F130-2822-4FB3-AAEE-93FAA32B62C4}"/>
    <cellStyle name="Normal 8 3 3 3 3 3" xfId="22169" xr:uid="{648B3A50-A426-4979-8BCB-D891827283AE}"/>
    <cellStyle name="Normal 8 3 3 3 3 4" xfId="13728" xr:uid="{9206F87E-DB33-45C1-AFE2-E0E3D3CEEABC}"/>
    <cellStyle name="Normal 8 3 3 3 4" xfId="26392" xr:uid="{1818A1E8-4A1F-45F4-B0D1-737EAEB4D9D4}"/>
    <cellStyle name="Normal 8 3 3 3 5" xfId="17951" xr:uid="{6E2B5974-81D2-4048-8FD4-0D2D2AF316E1}"/>
    <cellStyle name="Normal 8 3 3 3 6" xfId="9510" xr:uid="{7E5BC0EB-D559-49DB-B4D4-90714065EB32}"/>
    <cellStyle name="Normal 8 3 3 4" xfId="1384" xr:uid="{00000000-0005-0000-0000-00009A1D0000}"/>
    <cellStyle name="Normal 8 3 3 4 2" xfId="3614" xr:uid="{00000000-0005-0000-0000-00009B1D0000}"/>
    <cellStyle name="Normal 8 3 3 4 2 2" xfId="7836" xr:uid="{00000000-0005-0000-0000-00009C1D0000}"/>
    <cellStyle name="Normal 8 3 3 4 2 2 2" xfId="33168" xr:uid="{B7A7FF2B-EA87-4152-B555-9318316CC2E8}"/>
    <cellStyle name="Normal 8 3 3 4 2 2 3" xfId="24727" xr:uid="{C41D4805-FD46-4620-A8DC-561193158075}"/>
    <cellStyle name="Normal 8 3 3 4 2 2 4" xfId="16286" xr:uid="{F489AF7F-426F-4750-B28A-07B4B9948F09}"/>
    <cellStyle name="Normal 8 3 3 4 2 3" xfId="28950" xr:uid="{2E85784B-EC67-4D41-BACF-90CC8AB24399}"/>
    <cellStyle name="Normal 8 3 3 4 2 4" xfId="20509" xr:uid="{94095555-0C23-4C0F-90EB-B32BA6337E93}"/>
    <cellStyle name="Normal 8 3 3 4 2 5" xfId="12068" xr:uid="{1D7B722E-6D3C-479C-A510-9BDD57B75B36}"/>
    <cellStyle name="Normal 8 3 3 4 3" xfId="5691" xr:uid="{00000000-0005-0000-0000-00009D1D0000}"/>
    <cellStyle name="Normal 8 3 3 4 3 2" xfId="31023" xr:uid="{40A57F21-977E-449F-BB58-25B2CCC34E92}"/>
    <cellStyle name="Normal 8 3 3 4 3 3" xfId="22582" xr:uid="{9839E90A-4A1F-4A33-8489-DC91655E6D73}"/>
    <cellStyle name="Normal 8 3 3 4 3 4" xfId="14141" xr:uid="{7441ACD6-1979-487A-AAD4-A475F8E4B66E}"/>
    <cellStyle name="Normal 8 3 3 4 4" xfId="26805" xr:uid="{4E7DB9A4-7D95-4E3B-88F0-582DE7BC0F91}"/>
    <cellStyle name="Normal 8 3 3 4 5" xfId="18364" xr:uid="{293E5627-DF31-4D26-B8C6-E99110D0C788}"/>
    <cellStyle name="Normal 8 3 3 4 6" xfId="9923" xr:uid="{6D690615-C6C9-44DC-8DDF-8B04D38EF22F}"/>
    <cellStyle name="Normal 8 3 3 5" xfId="1797" xr:uid="{00000000-0005-0000-0000-00009E1D0000}"/>
    <cellStyle name="Normal 8 3 3 5 2" xfId="4027" xr:uid="{00000000-0005-0000-0000-00009F1D0000}"/>
    <cellStyle name="Normal 8 3 3 5 2 2" xfId="8249" xr:uid="{00000000-0005-0000-0000-0000A01D0000}"/>
    <cellStyle name="Normal 8 3 3 5 2 2 2" xfId="33581" xr:uid="{E2341E98-506A-45FE-A37D-45B6486935C3}"/>
    <cellStyle name="Normal 8 3 3 5 2 2 3" xfId="25140" xr:uid="{B60EB4DF-1B21-4C9B-AFCE-19B3CEFB031F}"/>
    <cellStyle name="Normal 8 3 3 5 2 2 4" xfId="16699" xr:uid="{5A44728A-C5B3-439D-8F64-9D7EE2235936}"/>
    <cellStyle name="Normal 8 3 3 5 2 3" xfId="29363" xr:uid="{AF95EA1C-9E38-4F57-B510-CBDADC461727}"/>
    <cellStyle name="Normal 8 3 3 5 2 4" xfId="20922" xr:uid="{C828DF1E-154E-4C5E-AC5B-70B742ED0985}"/>
    <cellStyle name="Normal 8 3 3 5 2 5" xfId="12481" xr:uid="{91BE8AE4-7B4D-4F22-A70A-68836F7AACE4}"/>
    <cellStyle name="Normal 8 3 3 5 3" xfId="6104" xr:uid="{00000000-0005-0000-0000-0000A11D0000}"/>
    <cellStyle name="Normal 8 3 3 5 3 2" xfId="31436" xr:uid="{9579A39C-0F8E-45B1-B224-A3A402ECD4AC}"/>
    <cellStyle name="Normal 8 3 3 5 3 3" xfId="22995" xr:uid="{B904F1DF-B6B6-4418-9E62-1E39544943B7}"/>
    <cellStyle name="Normal 8 3 3 5 3 4" xfId="14554" xr:uid="{D560E07B-737E-4CD7-9186-172EE3532477}"/>
    <cellStyle name="Normal 8 3 3 5 4" xfId="27218" xr:uid="{E036148A-2372-43D4-9562-C06A17E53F8D}"/>
    <cellStyle name="Normal 8 3 3 5 5" xfId="18777" xr:uid="{30112883-6280-466D-BA50-ACC4A32B8F28}"/>
    <cellStyle name="Normal 8 3 3 5 6" xfId="10336" xr:uid="{44F5231B-A964-4441-BF64-C43951FC66A6}"/>
    <cellStyle name="Normal 8 3 3 6" xfId="2211" xr:uid="{00000000-0005-0000-0000-0000A21D0000}"/>
    <cellStyle name="Normal 8 3 3 6 2" xfId="4440" xr:uid="{00000000-0005-0000-0000-0000A31D0000}"/>
    <cellStyle name="Normal 8 3 3 6 2 2" xfId="8662" xr:uid="{00000000-0005-0000-0000-0000A41D0000}"/>
    <cellStyle name="Normal 8 3 3 6 2 2 2" xfId="33994" xr:uid="{21C61749-0E1B-4022-B1F5-C4B23B7779BA}"/>
    <cellStyle name="Normal 8 3 3 6 2 2 3" xfId="25553" xr:uid="{B03B7839-F739-4420-8F9B-5756B14DF78A}"/>
    <cellStyle name="Normal 8 3 3 6 2 2 4" xfId="17112" xr:uid="{BF8F404E-3337-4E11-B161-1C20EB69149B}"/>
    <cellStyle name="Normal 8 3 3 6 2 3" xfId="29776" xr:uid="{FEE6DE96-6E98-479D-ABAE-E2C5D4680D58}"/>
    <cellStyle name="Normal 8 3 3 6 2 4" xfId="21335" xr:uid="{3F34F57B-B0F3-4F5E-B6E6-B96C4702421D}"/>
    <cellStyle name="Normal 8 3 3 6 2 5" xfId="12894" xr:uid="{852682B5-6A8D-410A-B9AC-1451581A9171}"/>
    <cellStyle name="Normal 8 3 3 6 3" xfId="6517" xr:uid="{00000000-0005-0000-0000-0000A51D0000}"/>
    <cellStyle name="Normal 8 3 3 6 3 2" xfId="31849" xr:uid="{712B8D6B-EEF2-41CE-9BF5-30341A3235C7}"/>
    <cellStyle name="Normal 8 3 3 6 3 3" xfId="23408" xr:uid="{B9101169-92B7-408A-850E-74CFA2A173E7}"/>
    <cellStyle name="Normal 8 3 3 6 3 4" xfId="14967" xr:uid="{FD94F595-DB96-42EA-B787-B6BF32234287}"/>
    <cellStyle name="Normal 8 3 3 6 4" xfId="27631" xr:uid="{5D7E91A9-BAF4-4C19-853C-F82970E81B9D}"/>
    <cellStyle name="Normal 8 3 3 6 5" xfId="19190" xr:uid="{E4ABC7BC-D2E5-4DEF-9542-B4F482BDF37A}"/>
    <cellStyle name="Normal 8 3 3 6 6" xfId="10749" xr:uid="{6520BCD5-85DE-4200-8D04-A09E92A2FA1E}"/>
    <cellStyle name="Normal 8 3 3 7" xfId="2647" xr:uid="{00000000-0005-0000-0000-0000A61D0000}"/>
    <cellStyle name="Normal 8 3 3 7 2" xfId="6930" xr:uid="{00000000-0005-0000-0000-0000A71D0000}"/>
    <cellStyle name="Normal 8 3 3 7 2 2" xfId="32262" xr:uid="{06C09850-A490-4881-9A60-74BCA045BA7E}"/>
    <cellStyle name="Normal 8 3 3 7 2 3" xfId="23821" xr:uid="{F68B7395-D1DB-4CC2-9181-A4FF7BF120C6}"/>
    <cellStyle name="Normal 8 3 3 7 2 4" xfId="15380" xr:uid="{E9A3011D-892C-4CB4-B64D-AA82BC4718FC}"/>
    <cellStyle name="Normal 8 3 3 7 3" xfId="28044" xr:uid="{74B5BCF2-4CAB-4EA2-AD2E-B8E177C901D5}"/>
    <cellStyle name="Normal 8 3 3 7 4" xfId="19603" xr:uid="{9A8A3D8C-8C04-4076-8E7F-3E3807DF15B1}"/>
    <cellStyle name="Normal 8 3 3 7 5" xfId="11162" xr:uid="{7E73C224-557A-403B-B199-2C6CD19DE0ED}"/>
    <cellStyle name="Normal 8 3 3 8" xfId="4865" xr:uid="{00000000-0005-0000-0000-0000A81D0000}"/>
    <cellStyle name="Normal 8 3 3 8 2" xfId="30197" xr:uid="{B9BD404F-820F-4EC3-A27D-C350FF1C47CB}"/>
    <cellStyle name="Normal 8 3 3 8 3" xfId="21756" xr:uid="{CF43C028-F842-44BF-A657-5B4DF737E897}"/>
    <cellStyle name="Normal 8 3 3 8 4" xfId="13315" xr:uid="{723D4BF8-4516-4B37-AECC-FB2A6082C61C}"/>
    <cellStyle name="Normal 8 3 3 9" xfId="25979" xr:uid="{F4B197C9-BBDB-4B34-9C37-052ECC778C05}"/>
    <cellStyle name="Normal 8 3 4" xfId="502" xr:uid="{00000000-0005-0000-0000-0000A91D0000}"/>
    <cellStyle name="Normal 8 3 4 10" xfId="9099" xr:uid="{2B646598-8087-4BD4-B9D5-BE1CCE1774FD}"/>
    <cellStyle name="Normal 8 3 4 2" xfId="969" xr:uid="{00000000-0005-0000-0000-0000AA1D0000}"/>
    <cellStyle name="Normal 8 3 4 2 2" xfId="3203" xr:uid="{00000000-0005-0000-0000-0000AB1D0000}"/>
    <cellStyle name="Normal 8 3 4 2 2 2" xfId="7425" xr:uid="{00000000-0005-0000-0000-0000AC1D0000}"/>
    <cellStyle name="Normal 8 3 4 2 2 2 2" xfId="32757" xr:uid="{0C9A1406-D087-473B-AD9F-3275B735105F}"/>
    <cellStyle name="Normal 8 3 4 2 2 2 3" xfId="24316" xr:uid="{B7F47085-79FC-4748-8288-E570392463D8}"/>
    <cellStyle name="Normal 8 3 4 2 2 2 4" xfId="15875" xr:uid="{9699AF9E-B4F3-4DA3-B251-B334C003B157}"/>
    <cellStyle name="Normal 8 3 4 2 2 3" xfId="28539" xr:uid="{C5022F97-3331-42DF-916B-AEBA3A4681F9}"/>
    <cellStyle name="Normal 8 3 4 2 2 4" xfId="20098" xr:uid="{3C724970-77E5-4DF3-81B5-0F8D002B1242}"/>
    <cellStyle name="Normal 8 3 4 2 2 5" xfId="11657" xr:uid="{2923F937-9EB6-47F7-A72B-FA3902E66C99}"/>
    <cellStyle name="Normal 8 3 4 2 3" xfId="5280" xr:uid="{00000000-0005-0000-0000-0000AD1D0000}"/>
    <cellStyle name="Normal 8 3 4 2 3 2" xfId="30612" xr:uid="{D3C69E3A-1FC1-4EAA-A9F5-AE40885D6F22}"/>
    <cellStyle name="Normal 8 3 4 2 3 3" xfId="22171" xr:uid="{F61E67D7-0721-41EA-B625-B54D2D4EF2DE}"/>
    <cellStyle name="Normal 8 3 4 2 3 4" xfId="13730" xr:uid="{4324B07E-DD17-4CE3-8D6A-33A4889A5EA1}"/>
    <cellStyle name="Normal 8 3 4 2 4" xfId="26394" xr:uid="{CAC00530-452D-4FCF-8226-6B62EF2C1AF4}"/>
    <cellStyle name="Normal 8 3 4 2 5" xfId="17953" xr:uid="{BE59A64D-55E5-4DF5-B896-CDC87B9D63D6}"/>
    <cellStyle name="Normal 8 3 4 2 6" xfId="9512" xr:uid="{D7208C63-3B19-461B-8F60-08034F3D0BDE}"/>
    <cellStyle name="Normal 8 3 4 3" xfId="1386" xr:uid="{00000000-0005-0000-0000-0000AE1D0000}"/>
    <cellStyle name="Normal 8 3 4 3 2" xfId="3616" xr:uid="{00000000-0005-0000-0000-0000AF1D0000}"/>
    <cellStyle name="Normal 8 3 4 3 2 2" xfId="7838" xr:uid="{00000000-0005-0000-0000-0000B01D0000}"/>
    <cellStyle name="Normal 8 3 4 3 2 2 2" xfId="33170" xr:uid="{9FB826C3-D4BD-4C0B-A4EA-FCB22698E602}"/>
    <cellStyle name="Normal 8 3 4 3 2 2 3" xfId="24729" xr:uid="{D02E5863-9502-4744-8375-225778DE5DC5}"/>
    <cellStyle name="Normal 8 3 4 3 2 2 4" xfId="16288" xr:uid="{1E5A62E6-F6CB-4322-8A47-66A09875D927}"/>
    <cellStyle name="Normal 8 3 4 3 2 3" xfId="28952" xr:uid="{D59493CC-A69A-4E56-BF78-91EDFA0F4501}"/>
    <cellStyle name="Normal 8 3 4 3 2 4" xfId="20511" xr:uid="{5CC3016A-FE83-4AA1-AE73-82E3556AB532}"/>
    <cellStyle name="Normal 8 3 4 3 2 5" xfId="12070" xr:uid="{9C1F1DCE-31E4-41B5-94EA-C7C215746E3B}"/>
    <cellStyle name="Normal 8 3 4 3 3" xfId="5693" xr:uid="{00000000-0005-0000-0000-0000B11D0000}"/>
    <cellStyle name="Normal 8 3 4 3 3 2" xfId="31025" xr:uid="{B0C10C7A-0768-4948-9C92-FBAFCA40EF86}"/>
    <cellStyle name="Normal 8 3 4 3 3 3" xfId="22584" xr:uid="{7F876631-E4EF-401C-8FBD-618113E6D9D6}"/>
    <cellStyle name="Normal 8 3 4 3 3 4" xfId="14143" xr:uid="{D6CA4128-F022-402E-ABAB-73BFE1356F5E}"/>
    <cellStyle name="Normal 8 3 4 3 4" xfId="26807" xr:uid="{03376602-7716-41AC-8218-67397BB4050A}"/>
    <cellStyle name="Normal 8 3 4 3 5" xfId="18366" xr:uid="{00A1B79D-EBB6-4AC4-8AF0-C7B547E00FAC}"/>
    <cellStyle name="Normal 8 3 4 3 6" xfId="9925" xr:uid="{4F632707-7386-45A5-A7F2-FB92F00952C2}"/>
    <cellStyle name="Normal 8 3 4 4" xfId="1799" xr:uid="{00000000-0005-0000-0000-0000B21D0000}"/>
    <cellStyle name="Normal 8 3 4 4 2" xfId="4029" xr:uid="{00000000-0005-0000-0000-0000B31D0000}"/>
    <cellStyle name="Normal 8 3 4 4 2 2" xfId="8251" xr:uid="{00000000-0005-0000-0000-0000B41D0000}"/>
    <cellStyle name="Normal 8 3 4 4 2 2 2" xfId="33583" xr:uid="{964ED0B8-AF32-49F3-A3AE-9E48FF85DB79}"/>
    <cellStyle name="Normal 8 3 4 4 2 2 3" xfId="25142" xr:uid="{828A6C01-8C1A-4A1C-890B-3409AC2C32E9}"/>
    <cellStyle name="Normal 8 3 4 4 2 2 4" xfId="16701" xr:uid="{43744553-4FBA-4240-975F-60B03E5371FC}"/>
    <cellStyle name="Normal 8 3 4 4 2 3" xfId="29365" xr:uid="{1C9BACA7-944E-46E8-A769-CF5FA566553C}"/>
    <cellStyle name="Normal 8 3 4 4 2 4" xfId="20924" xr:uid="{B705E7C0-3B92-453F-9585-6A068E4989E0}"/>
    <cellStyle name="Normal 8 3 4 4 2 5" xfId="12483" xr:uid="{9FA4E3FD-0EB2-42F3-B0EF-552620D10C23}"/>
    <cellStyle name="Normal 8 3 4 4 3" xfId="6106" xr:uid="{00000000-0005-0000-0000-0000B51D0000}"/>
    <cellStyle name="Normal 8 3 4 4 3 2" xfId="31438" xr:uid="{F6FD7B30-AE37-4D72-9DC8-8A2FDC121C13}"/>
    <cellStyle name="Normal 8 3 4 4 3 3" xfId="22997" xr:uid="{20942C30-BC80-4062-B4F4-DC1545FC096F}"/>
    <cellStyle name="Normal 8 3 4 4 3 4" xfId="14556" xr:uid="{E5A91CAA-3FAE-434E-9B07-E68D539B21A2}"/>
    <cellStyle name="Normal 8 3 4 4 4" xfId="27220" xr:uid="{ED40EC54-56AE-4F2A-B0A9-DD753C07835A}"/>
    <cellStyle name="Normal 8 3 4 4 5" xfId="18779" xr:uid="{88BF53CC-1D14-4131-B885-0052FA816329}"/>
    <cellStyle name="Normal 8 3 4 4 6" xfId="10338" xr:uid="{F6F474C5-576D-4C88-BBC4-EA1B0CDE9E16}"/>
    <cellStyle name="Normal 8 3 4 5" xfId="2213" xr:uid="{00000000-0005-0000-0000-0000B61D0000}"/>
    <cellStyle name="Normal 8 3 4 5 2" xfId="4442" xr:uid="{00000000-0005-0000-0000-0000B71D0000}"/>
    <cellStyle name="Normal 8 3 4 5 2 2" xfId="8664" xr:uid="{00000000-0005-0000-0000-0000B81D0000}"/>
    <cellStyle name="Normal 8 3 4 5 2 2 2" xfId="33996" xr:uid="{82AAC357-65B5-4978-B2D7-EEFBCE244C88}"/>
    <cellStyle name="Normal 8 3 4 5 2 2 3" xfId="25555" xr:uid="{BCBD98F6-51CC-4DF3-85FD-7D7188532B28}"/>
    <cellStyle name="Normal 8 3 4 5 2 2 4" xfId="17114" xr:uid="{C9EF9F4E-8842-4F80-BB73-AD949B44505B}"/>
    <cellStyle name="Normal 8 3 4 5 2 3" xfId="29778" xr:uid="{DA9D363D-CCAF-4C4C-873A-83AC66C4B504}"/>
    <cellStyle name="Normal 8 3 4 5 2 4" xfId="21337" xr:uid="{A3175F63-05DC-4AC7-80E1-FEC04031F60A}"/>
    <cellStyle name="Normal 8 3 4 5 2 5" xfId="12896" xr:uid="{CEC9BA5B-5F9A-495A-9E2D-92BEE6C9C3D7}"/>
    <cellStyle name="Normal 8 3 4 5 3" xfId="6519" xr:uid="{00000000-0005-0000-0000-0000B91D0000}"/>
    <cellStyle name="Normal 8 3 4 5 3 2" xfId="31851" xr:uid="{9936889D-81CB-47E0-BFE8-D1D23A1B9147}"/>
    <cellStyle name="Normal 8 3 4 5 3 3" xfId="23410" xr:uid="{AA1EDDA8-30B8-4148-93AE-948C6D15C76C}"/>
    <cellStyle name="Normal 8 3 4 5 3 4" xfId="14969" xr:uid="{59442369-FBFB-4022-9DAE-811EF4B64C51}"/>
    <cellStyle name="Normal 8 3 4 5 4" xfId="27633" xr:uid="{F8C265FB-3253-4416-A32F-9AF5F357690F}"/>
    <cellStyle name="Normal 8 3 4 5 5" xfId="19192" xr:uid="{D69D81A1-EA5C-4C85-B0A0-E7AE6B402731}"/>
    <cellStyle name="Normal 8 3 4 5 6" xfId="10751" xr:uid="{BC7AB2AE-A0B2-4378-AE8D-D562476AC7BF}"/>
    <cellStyle name="Normal 8 3 4 6" xfId="2649" xr:uid="{00000000-0005-0000-0000-0000BA1D0000}"/>
    <cellStyle name="Normal 8 3 4 6 2" xfId="6932" xr:uid="{00000000-0005-0000-0000-0000BB1D0000}"/>
    <cellStyle name="Normal 8 3 4 6 2 2" xfId="32264" xr:uid="{55C5A514-F135-46CA-9EC3-598291B79383}"/>
    <cellStyle name="Normal 8 3 4 6 2 3" xfId="23823" xr:uid="{AEC20BEA-FB2A-4C03-9415-1B90EF5778CD}"/>
    <cellStyle name="Normal 8 3 4 6 2 4" xfId="15382" xr:uid="{16570F9F-1266-47CB-99BC-6AAD8B5535A8}"/>
    <cellStyle name="Normal 8 3 4 6 3" xfId="28046" xr:uid="{C0FCA7E5-5491-4EE3-9165-277363BDEEE9}"/>
    <cellStyle name="Normal 8 3 4 6 4" xfId="19605" xr:uid="{8ED14C8C-0FB9-4F36-8657-1E8D90102DF1}"/>
    <cellStyle name="Normal 8 3 4 6 5" xfId="11164" xr:uid="{4A4A5FED-BC32-49B4-A0BE-5147F9A53743}"/>
    <cellStyle name="Normal 8 3 4 7" xfId="4867" xr:uid="{00000000-0005-0000-0000-0000BC1D0000}"/>
    <cellStyle name="Normal 8 3 4 7 2" xfId="30199" xr:uid="{5FA28D74-D15D-4C8D-A3DB-F6D378F6780A}"/>
    <cellStyle name="Normal 8 3 4 7 3" xfId="21758" xr:uid="{7D5815B5-9BA9-4B30-ABF0-44560AA2B5FD}"/>
    <cellStyle name="Normal 8 3 4 7 4" xfId="13317" xr:uid="{B88B0F2E-0069-4F00-A88F-6F7ECE6D4FFE}"/>
    <cellStyle name="Normal 8 3 4 8" xfId="25981" xr:uid="{B8F3EA1C-B791-4D49-9CD3-EFA6EE7E336C}"/>
    <cellStyle name="Normal 8 3 4 9" xfId="17540" xr:uid="{A8EE32C2-C009-49E8-9C3A-8F713B2FADBE}"/>
    <cellStyle name="Normal 8 3 5" xfId="962" xr:uid="{00000000-0005-0000-0000-0000BD1D0000}"/>
    <cellStyle name="Normal 8 3 5 2" xfId="3196" xr:uid="{00000000-0005-0000-0000-0000BE1D0000}"/>
    <cellStyle name="Normal 8 3 5 2 2" xfId="7418" xr:uid="{00000000-0005-0000-0000-0000BF1D0000}"/>
    <cellStyle name="Normal 8 3 5 2 2 2" xfId="32750" xr:uid="{D672B1FF-B9C8-4CFA-B4C5-50505A0FA013}"/>
    <cellStyle name="Normal 8 3 5 2 2 3" xfId="24309" xr:uid="{84086E41-47EC-4D26-B610-6103528A6EB7}"/>
    <cellStyle name="Normal 8 3 5 2 2 4" xfId="15868" xr:uid="{0FC4EB6F-0EE3-42D8-8D42-1A67A679BA62}"/>
    <cellStyle name="Normal 8 3 5 2 3" xfId="28532" xr:uid="{06D8EAAB-8FBA-4C7F-B0E0-FFDD365C95ED}"/>
    <cellStyle name="Normal 8 3 5 2 4" xfId="20091" xr:uid="{EA7E5FBC-A3B9-4E2E-A57A-398BF0DA42E9}"/>
    <cellStyle name="Normal 8 3 5 2 5" xfId="11650" xr:uid="{B467D11E-136A-4F6A-B78C-18FD841295F1}"/>
    <cellStyle name="Normal 8 3 5 3" xfId="5273" xr:uid="{00000000-0005-0000-0000-0000C01D0000}"/>
    <cellStyle name="Normal 8 3 5 3 2" xfId="30605" xr:uid="{914EBA3F-3961-4885-B888-D808C2BFE964}"/>
    <cellStyle name="Normal 8 3 5 3 3" xfId="22164" xr:uid="{04272B1F-F3F2-4F6F-83C9-F3D2A3529FAF}"/>
    <cellStyle name="Normal 8 3 5 3 4" xfId="13723" xr:uid="{EB14CCD2-4E31-452D-AA1C-AC44B528893C}"/>
    <cellStyle name="Normal 8 3 5 4" xfId="26387" xr:uid="{FB128B8D-1C32-4B30-BAA5-E903658E7486}"/>
    <cellStyle name="Normal 8 3 5 5" xfId="17946" xr:uid="{92C05DF1-398D-4001-9336-5165C7E69D9B}"/>
    <cellStyle name="Normal 8 3 5 6" xfId="9505" xr:uid="{38E88AB0-0048-4094-8AEE-D5F535B52EFC}"/>
    <cellStyle name="Normal 8 3 6" xfId="1379" xr:uid="{00000000-0005-0000-0000-0000C11D0000}"/>
    <cellStyle name="Normal 8 3 6 2" xfId="3609" xr:uid="{00000000-0005-0000-0000-0000C21D0000}"/>
    <cellStyle name="Normal 8 3 6 2 2" xfId="7831" xr:uid="{00000000-0005-0000-0000-0000C31D0000}"/>
    <cellStyle name="Normal 8 3 6 2 2 2" xfId="33163" xr:uid="{74E2A374-2912-421E-93C7-BF8E68FFB3B9}"/>
    <cellStyle name="Normal 8 3 6 2 2 3" xfId="24722" xr:uid="{434A53EB-75A5-4FE0-B48F-FF497E1171C4}"/>
    <cellStyle name="Normal 8 3 6 2 2 4" xfId="16281" xr:uid="{88402778-AE66-4446-B9FD-7319B1E66895}"/>
    <cellStyle name="Normal 8 3 6 2 3" xfId="28945" xr:uid="{58420AF8-375D-4B0E-95FA-C48B270FEC2C}"/>
    <cellStyle name="Normal 8 3 6 2 4" xfId="20504" xr:uid="{BC1E493B-A49C-4092-AB02-E993FF51639F}"/>
    <cellStyle name="Normal 8 3 6 2 5" xfId="12063" xr:uid="{38B3F02D-7AA3-48DE-9BFE-3509983486C0}"/>
    <cellStyle name="Normal 8 3 6 3" xfId="5686" xr:uid="{00000000-0005-0000-0000-0000C41D0000}"/>
    <cellStyle name="Normal 8 3 6 3 2" xfId="31018" xr:uid="{BD2CFB30-8091-4326-BBAA-02EC2DEF761C}"/>
    <cellStyle name="Normal 8 3 6 3 3" xfId="22577" xr:uid="{C0077D42-1A2A-412B-9AB9-502E52A6D747}"/>
    <cellStyle name="Normal 8 3 6 3 4" xfId="14136" xr:uid="{49839D8D-4FC7-4E17-944A-B2FF7DFC34E5}"/>
    <cellStyle name="Normal 8 3 6 4" xfId="26800" xr:uid="{5AD27064-3731-44A5-B04A-0721E0422A0C}"/>
    <cellStyle name="Normal 8 3 6 5" xfId="18359" xr:uid="{F0D75847-C910-4644-ACAE-ADF58028A31F}"/>
    <cellStyle name="Normal 8 3 6 6" xfId="9918" xr:uid="{40D2E860-3228-4066-8F95-A92F3B888DE3}"/>
    <cellStyle name="Normal 8 3 7" xfId="1792" xr:uid="{00000000-0005-0000-0000-0000C51D0000}"/>
    <cellStyle name="Normal 8 3 7 2" xfId="4022" xr:uid="{00000000-0005-0000-0000-0000C61D0000}"/>
    <cellStyle name="Normal 8 3 7 2 2" xfId="8244" xr:uid="{00000000-0005-0000-0000-0000C71D0000}"/>
    <cellStyle name="Normal 8 3 7 2 2 2" xfId="33576" xr:uid="{3775C1FD-F669-4CE5-ADE2-9211E646D363}"/>
    <cellStyle name="Normal 8 3 7 2 2 3" xfId="25135" xr:uid="{78F613AA-B333-42A5-AE8F-81AFB1772478}"/>
    <cellStyle name="Normal 8 3 7 2 2 4" xfId="16694" xr:uid="{EB3334B7-E008-48DE-9D7E-928D726F927D}"/>
    <cellStyle name="Normal 8 3 7 2 3" xfId="29358" xr:uid="{83F70138-B41E-4C5A-9513-21C98A5B51C8}"/>
    <cellStyle name="Normal 8 3 7 2 4" xfId="20917" xr:uid="{7F5B809B-47B8-4740-ACBF-12A3E8F8C09C}"/>
    <cellStyle name="Normal 8 3 7 2 5" xfId="12476" xr:uid="{0117AB7E-DE9C-4EB2-838F-73A7B9CD5A1E}"/>
    <cellStyle name="Normal 8 3 7 3" xfId="6099" xr:uid="{00000000-0005-0000-0000-0000C81D0000}"/>
    <cellStyle name="Normal 8 3 7 3 2" xfId="31431" xr:uid="{ED87E053-B2DE-40B0-BFFE-FAE940BDDA2A}"/>
    <cellStyle name="Normal 8 3 7 3 3" xfId="22990" xr:uid="{4B810479-2A42-4A5A-94E9-4C0DD2EF4D38}"/>
    <cellStyle name="Normal 8 3 7 3 4" xfId="14549" xr:uid="{999E9619-158A-45F2-BE3B-9E66E7132593}"/>
    <cellStyle name="Normal 8 3 7 4" xfId="27213" xr:uid="{BD177D17-EFA0-43CB-93C3-E75693556F1F}"/>
    <cellStyle name="Normal 8 3 7 5" xfId="18772" xr:uid="{F273583D-41EC-4D0C-BAF5-0EDD6A09B311}"/>
    <cellStyle name="Normal 8 3 7 6" xfId="10331" xr:uid="{636593EF-57C9-4A01-BFA6-C0C2866E81E9}"/>
    <cellStyle name="Normal 8 3 8" xfId="2206" xr:uid="{00000000-0005-0000-0000-0000C91D0000}"/>
    <cellStyle name="Normal 8 3 8 2" xfId="4435" xr:uid="{00000000-0005-0000-0000-0000CA1D0000}"/>
    <cellStyle name="Normal 8 3 8 2 2" xfId="8657" xr:uid="{00000000-0005-0000-0000-0000CB1D0000}"/>
    <cellStyle name="Normal 8 3 8 2 2 2" xfId="33989" xr:uid="{D17303F1-C478-4025-892C-C0C0A2994045}"/>
    <cellStyle name="Normal 8 3 8 2 2 3" xfId="25548" xr:uid="{9FCA57D6-157A-4236-AA83-7E4D1626DFC1}"/>
    <cellStyle name="Normal 8 3 8 2 2 4" xfId="17107" xr:uid="{6DDE6B1D-A23A-407C-BD5B-E8EA040F87AA}"/>
    <cellStyle name="Normal 8 3 8 2 3" xfId="29771" xr:uid="{353A4F30-2644-4E5B-AA7D-1FA343D9ADBB}"/>
    <cellStyle name="Normal 8 3 8 2 4" xfId="21330" xr:uid="{4B482E64-54E5-4A7D-B703-D5C1781AAD91}"/>
    <cellStyle name="Normal 8 3 8 2 5" xfId="12889" xr:uid="{6B4E206E-D5AD-4686-8CDA-16747E490AA4}"/>
    <cellStyle name="Normal 8 3 8 3" xfId="6512" xr:uid="{00000000-0005-0000-0000-0000CC1D0000}"/>
    <cellStyle name="Normal 8 3 8 3 2" xfId="31844" xr:uid="{7CC0B514-5979-4FD0-ABE7-3E4B85579CF7}"/>
    <cellStyle name="Normal 8 3 8 3 3" xfId="23403" xr:uid="{C17F88A1-AA4F-4602-94F1-4002EB531D69}"/>
    <cellStyle name="Normal 8 3 8 3 4" xfId="14962" xr:uid="{F7A03A4B-E2D6-41AE-A937-80FD2BF2AE58}"/>
    <cellStyle name="Normal 8 3 8 4" xfId="27626" xr:uid="{945561C3-9FB4-4DA8-834C-BB146C0CFF37}"/>
    <cellStyle name="Normal 8 3 8 5" xfId="19185" xr:uid="{5CA8DF3D-8963-43DB-BA7C-76BA99B8E2FD}"/>
    <cellStyle name="Normal 8 3 8 6" xfId="10744" xr:uid="{21DCF29D-F0AA-4BD9-8EED-DD082B8B766D}"/>
    <cellStyle name="Normal 8 3 9" xfId="2642" xr:uid="{00000000-0005-0000-0000-0000CD1D0000}"/>
    <cellStyle name="Normal 8 3 9 2" xfId="6925" xr:uid="{00000000-0005-0000-0000-0000CE1D0000}"/>
    <cellStyle name="Normal 8 3 9 2 2" xfId="32257" xr:uid="{307FEABB-8C99-4FB2-944E-9F9652A5A024}"/>
    <cellStyle name="Normal 8 3 9 2 3" xfId="23816" xr:uid="{3CECDDC9-BFF1-4467-BB5B-0201D904DCEB}"/>
    <cellStyle name="Normal 8 3 9 2 4" xfId="15375" xr:uid="{0A80F4B1-0EB5-4F55-B74F-E992EBFFC181}"/>
    <cellStyle name="Normal 8 3 9 3" xfId="28039" xr:uid="{946812B8-D6FE-4DC7-BB94-18279A644FB8}"/>
    <cellStyle name="Normal 8 3 9 4" xfId="19598" xr:uid="{FF16BDAC-6B75-4716-B2B1-784991F18EEE}"/>
    <cellStyle name="Normal 8 3 9 5" xfId="11157" xr:uid="{20AE405A-8C88-44AC-B7F4-DB786162FF86}"/>
    <cellStyle name="Normal 8 4" xfId="503" xr:uid="{00000000-0005-0000-0000-0000CF1D0000}"/>
    <cellStyle name="Normal 8 4 10" xfId="25982" xr:uid="{435E4F8C-93E2-4666-B0CF-28EDE70B1A2C}"/>
    <cellStyle name="Normal 8 4 11" xfId="17541" xr:uid="{08574664-CA73-4F32-B6B6-7E2F649F2B5D}"/>
    <cellStyle name="Normal 8 4 12" xfId="9100" xr:uid="{1565EAEC-3CDD-49A7-B109-42EAF3480610}"/>
    <cellStyle name="Normal 8 4 2" xfId="504" xr:uid="{00000000-0005-0000-0000-0000D01D0000}"/>
    <cellStyle name="Normal 8 4 2 10" xfId="17542" xr:uid="{01605363-12EB-4EEA-ABCC-031D20DDB04F}"/>
    <cellStyle name="Normal 8 4 2 11" xfId="9101" xr:uid="{8362ED83-ED84-4E83-AE7C-E891595056A3}"/>
    <cellStyle name="Normal 8 4 2 2" xfId="505" xr:uid="{00000000-0005-0000-0000-0000D11D0000}"/>
    <cellStyle name="Normal 8 4 2 2 10" xfId="9102" xr:uid="{05548A02-8A35-4A58-8FE3-93AE0E93FBB9}"/>
    <cellStyle name="Normal 8 4 2 2 2" xfId="972" xr:uid="{00000000-0005-0000-0000-0000D21D0000}"/>
    <cellStyle name="Normal 8 4 2 2 2 2" xfId="3206" xr:uid="{00000000-0005-0000-0000-0000D31D0000}"/>
    <cellStyle name="Normal 8 4 2 2 2 2 2" xfId="7428" xr:uid="{00000000-0005-0000-0000-0000D41D0000}"/>
    <cellStyle name="Normal 8 4 2 2 2 2 2 2" xfId="32760" xr:uid="{76794FF8-824B-4324-92A5-C3AC69D99916}"/>
    <cellStyle name="Normal 8 4 2 2 2 2 2 3" xfId="24319" xr:uid="{B345D487-5288-4C71-984D-EE7F01A91C86}"/>
    <cellStyle name="Normal 8 4 2 2 2 2 2 4" xfId="15878" xr:uid="{D74EB49C-5B34-4093-AFD4-153FE7A0C7C3}"/>
    <cellStyle name="Normal 8 4 2 2 2 2 3" xfId="28542" xr:uid="{A9FB737C-5563-4025-A810-1C523BE2E422}"/>
    <cellStyle name="Normal 8 4 2 2 2 2 4" xfId="20101" xr:uid="{D902AE3D-5BD0-4F7A-AA0E-0B1639C49C34}"/>
    <cellStyle name="Normal 8 4 2 2 2 2 5" xfId="11660" xr:uid="{C747E53D-B2F2-4884-AEDA-68D07918D516}"/>
    <cellStyle name="Normal 8 4 2 2 2 3" xfId="5283" xr:uid="{00000000-0005-0000-0000-0000D51D0000}"/>
    <cellStyle name="Normal 8 4 2 2 2 3 2" xfId="30615" xr:uid="{EA0429F8-7529-49D0-8221-55EB7E01F6EA}"/>
    <cellStyle name="Normal 8 4 2 2 2 3 3" xfId="22174" xr:uid="{3503C74F-A0FC-41EF-9846-5418A0894062}"/>
    <cellStyle name="Normal 8 4 2 2 2 3 4" xfId="13733" xr:uid="{BD91204E-F624-43D3-AF98-4BF485A0033B}"/>
    <cellStyle name="Normal 8 4 2 2 2 4" xfId="26397" xr:uid="{67926C12-F666-4660-8677-BA11FC058123}"/>
    <cellStyle name="Normal 8 4 2 2 2 5" xfId="17956" xr:uid="{4C659FE5-83C4-4386-BC33-05205E8424B7}"/>
    <cellStyle name="Normal 8 4 2 2 2 6" xfId="9515" xr:uid="{6D1B2F06-A1D2-4881-A32C-EB42EA721AAE}"/>
    <cellStyle name="Normal 8 4 2 2 3" xfId="1389" xr:uid="{00000000-0005-0000-0000-0000D61D0000}"/>
    <cellStyle name="Normal 8 4 2 2 3 2" xfId="3619" xr:uid="{00000000-0005-0000-0000-0000D71D0000}"/>
    <cellStyle name="Normal 8 4 2 2 3 2 2" xfId="7841" xr:uid="{00000000-0005-0000-0000-0000D81D0000}"/>
    <cellStyle name="Normal 8 4 2 2 3 2 2 2" xfId="33173" xr:uid="{24D2934A-21A9-4BF0-98F7-6DA6329E91CF}"/>
    <cellStyle name="Normal 8 4 2 2 3 2 2 3" xfId="24732" xr:uid="{0E6C181F-BE6B-4B0F-8727-AB2B3F711EED}"/>
    <cellStyle name="Normal 8 4 2 2 3 2 2 4" xfId="16291" xr:uid="{6161CD61-B903-43D3-A530-7932E00DAA2C}"/>
    <cellStyle name="Normal 8 4 2 2 3 2 3" xfId="28955" xr:uid="{82034BBE-F247-4CEF-9F4E-9C27618E4685}"/>
    <cellStyle name="Normal 8 4 2 2 3 2 4" xfId="20514" xr:uid="{A90D4AB1-4F16-493B-B584-1A169120419D}"/>
    <cellStyle name="Normal 8 4 2 2 3 2 5" xfId="12073" xr:uid="{63D64FAF-E63C-40E2-960A-892BC17B8204}"/>
    <cellStyle name="Normal 8 4 2 2 3 3" xfId="5696" xr:uid="{00000000-0005-0000-0000-0000D91D0000}"/>
    <cellStyle name="Normal 8 4 2 2 3 3 2" xfId="31028" xr:uid="{F19B589E-45DE-467E-9983-3A01CC7D0050}"/>
    <cellStyle name="Normal 8 4 2 2 3 3 3" xfId="22587" xr:uid="{D24272F7-7B92-4B68-A394-83725570D05E}"/>
    <cellStyle name="Normal 8 4 2 2 3 3 4" xfId="14146" xr:uid="{ABB209CB-5709-4362-B74C-566896404E3C}"/>
    <cellStyle name="Normal 8 4 2 2 3 4" xfId="26810" xr:uid="{9E4A3C99-490F-4190-A5B1-8FA31BECC949}"/>
    <cellStyle name="Normal 8 4 2 2 3 5" xfId="18369" xr:uid="{63F0158F-AC95-487D-BA64-B0B41A18E477}"/>
    <cellStyle name="Normal 8 4 2 2 3 6" xfId="9928" xr:uid="{3C231847-D93C-4DBC-8A06-26CB5A74D7D9}"/>
    <cellStyle name="Normal 8 4 2 2 4" xfId="1802" xr:uid="{00000000-0005-0000-0000-0000DA1D0000}"/>
    <cellStyle name="Normal 8 4 2 2 4 2" xfId="4032" xr:uid="{00000000-0005-0000-0000-0000DB1D0000}"/>
    <cellStyle name="Normal 8 4 2 2 4 2 2" xfId="8254" xr:uid="{00000000-0005-0000-0000-0000DC1D0000}"/>
    <cellStyle name="Normal 8 4 2 2 4 2 2 2" xfId="33586" xr:uid="{D820641B-A141-45B0-9FE1-3092748216FF}"/>
    <cellStyle name="Normal 8 4 2 2 4 2 2 3" xfId="25145" xr:uid="{42706C8B-FCDC-4955-90C8-87D4C2F1044A}"/>
    <cellStyle name="Normal 8 4 2 2 4 2 2 4" xfId="16704" xr:uid="{56B7F071-A371-4109-B86C-3BA0B7866C26}"/>
    <cellStyle name="Normal 8 4 2 2 4 2 3" xfId="29368" xr:uid="{BF7EA9B8-FDBE-4B78-959E-2A9F8A86EAED}"/>
    <cellStyle name="Normal 8 4 2 2 4 2 4" xfId="20927" xr:uid="{41BB1ECD-EE3C-4298-8B18-39249B367242}"/>
    <cellStyle name="Normal 8 4 2 2 4 2 5" xfId="12486" xr:uid="{C542CB40-F618-4518-9D9B-C03870E6F49C}"/>
    <cellStyle name="Normal 8 4 2 2 4 3" xfId="6109" xr:uid="{00000000-0005-0000-0000-0000DD1D0000}"/>
    <cellStyle name="Normal 8 4 2 2 4 3 2" xfId="31441" xr:uid="{250FCD19-8028-4ED5-8B8F-D00DE74CE63F}"/>
    <cellStyle name="Normal 8 4 2 2 4 3 3" xfId="23000" xr:uid="{00DA2D17-420F-4CD0-814C-9C04CFC7AC60}"/>
    <cellStyle name="Normal 8 4 2 2 4 3 4" xfId="14559" xr:uid="{EF899B5A-B7D0-4E7F-BB83-BB017FC9301C}"/>
    <cellStyle name="Normal 8 4 2 2 4 4" xfId="27223" xr:uid="{7813DC31-6702-4C2B-B1C9-17DB74DAEDDA}"/>
    <cellStyle name="Normal 8 4 2 2 4 5" xfId="18782" xr:uid="{D2C2A310-4F31-48B7-A721-BCFA5430CEE0}"/>
    <cellStyle name="Normal 8 4 2 2 4 6" xfId="10341" xr:uid="{450EAFE6-F6E8-4239-BBC4-C430AE2CC025}"/>
    <cellStyle name="Normal 8 4 2 2 5" xfId="2216" xr:uid="{00000000-0005-0000-0000-0000DE1D0000}"/>
    <cellStyle name="Normal 8 4 2 2 5 2" xfId="4445" xr:uid="{00000000-0005-0000-0000-0000DF1D0000}"/>
    <cellStyle name="Normal 8 4 2 2 5 2 2" xfId="8667" xr:uid="{00000000-0005-0000-0000-0000E01D0000}"/>
    <cellStyle name="Normal 8 4 2 2 5 2 2 2" xfId="33999" xr:uid="{4BACCAD5-7E59-4BB2-8AAB-D8673B7B53F2}"/>
    <cellStyle name="Normal 8 4 2 2 5 2 2 3" xfId="25558" xr:uid="{780E37E4-23FD-43DB-BB82-6D4D160BC4D9}"/>
    <cellStyle name="Normal 8 4 2 2 5 2 2 4" xfId="17117" xr:uid="{982935A6-36B9-405D-8AEB-D4E1B3751DEB}"/>
    <cellStyle name="Normal 8 4 2 2 5 2 3" xfId="29781" xr:uid="{B4DA3F54-86C8-445C-B2EC-F85ED06F409F}"/>
    <cellStyle name="Normal 8 4 2 2 5 2 4" xfId="21340" xr:uid="{F48E61E9-FF57-4AFB-9BFF-B00101D37075}"/>
    <cellStyle name="Normal 8 4 2 2 5 2 5" xfId="12899" xr:uid="{FDEF679C-FA22-49E9-AF8E-3CA89056AFCA}"/>
    <cellStyle name="Normal 8 4 2 2 5 3" xfId="6522" xr:uid="{00000000-0005-0000-0000-0000E11D0000}"/>
    <cellStyle name="Normal 8 4 2 2 5 3 2" xfId="31854" xr:uid="{2FE24DA0-095E-4F12-81EE-85B72125FEA2}"/>
    <cellStyle name="Normal 8 4 2 2 5 3 3" xfId="23413" xr:uid="{267EA4D1-3A52-461D-B1A9-3E05D2D51918}"/>
    <cellStyle name="Normal 8 4 2 2 5 3 4" xfId="14972" xr:uid="{1A0FE6D8-4722-4E70-8106-722523EB3D73}"/>
    <cellStyle name="Normal 8 4 2 2 5 4" xfId="27636" xr:uid="{F50936DF-B03B-46D1-945C-566EE9CC02BC}"/>
    <cellStyle name="Normal 8 4 2 2 5 5" xfId="19195" xr:uid="{0CD0EF3F-D259-4CA2-9B82-BCBA1E7306C6}"/>
    <cellStyle name="Normal 8 4 2 2 5 6" xfId="10754" xr:uid="{2BD178AA-5663-417D-AE32-D406B355267E}"/>
    <cellStyle name="Normal 8 4 2 2 6" xfId="2652" xr:uid="{00000000-0005-0000-0000-0000E21D0000}"/>
    <cellStyle name="Normal 8 4 2 2 6 2" xfId="6935" xr:uid="{00000000-0005-0000-0000-0000E31D0000}"/>
    <cellStyle name="Normal 8 4 2 2 6 2 2" xfId="32267" xr:uid="{AC4A1653-F48D-40B0-8B88-2DD87EEBB333}"/>
    <cellStyle name="Normal 8 4 2 2 6 2 3" xfId="23826" xr:uid="{2DF860C6-AEF5-4968-816A-CD6C381B7C62}"/>
    <cellStyle name="Normal 8 4 2 2 6 2 4" xfId="15385" xr:uid="{7237F436-0C92-4DEC-96CE-07A6E46ED1F8}"/>
    <cellStyle name="Normal 8 4 2 2 6 3" xfId="28049" xr:uid="{8E928D89-EAF8-44A5-BE65-F0B3ED258E4F}"/>
    <cellStyle name="Normal 8 4 2 2 6 4" xfId="19608" xr:uid="{47E28A86-2C7C-45F9-8A06-75D671323036}"/>
    <cellStyle name="Normal 8 4 2 2 6 5" xfId="11167" xr:uid="{D9C88872-0BA7-4E16-AB7C-6F101271FA21}"/>
    <cellStyle name="Normal 8 4 2 2 7" xfId="4870" xr:uid="{00000000-0005-0000-0000-0000E41D0000}"/>
    <cellStyle name="Normal 8 4 2 2 7 2" xfId="30202" xr:uid="{9A1729B9-28A0-44D8-96C7-C838E70854CF}"/>
    <cellStyle name="Normal 8 4 2 2 7 3" xfId="21761" xr:uid="{D2EEEF8E-98EB-453B-A9B5-7F49210D5A00}"/>
    <cellStyle name="Normal 8 4 2 2 7 4" xfId="13320" xr:uid="{02D10E10-9AF4-495D-A26F-A6DFB270A6CA}"/>
    <cellStyle name="Normal 8 4 2 2 8" xfId="25984" xr:uid="{0758507D-9862-4744-B8DE-097601F3D75F}"/>
    <cellStyle name="Normal 8 4 2 2 9" xfId="17543" xr:uid="{62E5E21A-31B3-4BE6-82A8-5C1AC59BAED5}"/>
    <cellStyle name="Normal 8 4 2 3" xfId="971" xr:uid="{00000000-0005-0000-0000-0000E51D0000}"/>
    <cellStyle name="Normal 8 4 2 3 2" xfId="3205" xr:uid="{00000000-0005-0000-0000-0000E61D0000}"/>
    <cellStyle name="Normal 8 4 2 3 2 2" xfId="7427" xr:uid="{00000000-0005-0000-0000-0000E71D0000}"/>
    <cellStyle name="Normal 8 4 2 3 2 2 2" xfId="32759" xr:uid="{CFD4C0DD-038E-4B70-83F1-D2DB61D4E938}"/>
    <cellStyle name="Normal 8 4 2 3 2 2 3" xfId="24318" xr:uid="{BA1FA63D-5FC8-4E5B-8299-FF454EF1491E}"/>
    <cellStyle name="Normal 8 4 2 3 2 2 4" xfId="15877" xr:uid="{8F9BD8D3-1EFB-4D87-A23B-D1B2D8BF4887}"/>
    <cellStyle name="Normal 8 4 2 3 2 3" xfId="28541" xr:uid="{8825C4F9-BC0D-47D8-A020-DB5D02D03C92}"/>
    <cellStyle name="Normal 8 4 2 3 2 4" xfId="20100" xr:uid="{FCCDFFA0-1C7F-43F0-8F78-930A66CFC0D7}"/>
    <cellStyle name="Normal 8 4 2 3 2 5" xfId="11659" xr:uid="{EE81FC62-3023-419D-868E-2514C265C0A9}"/>
    <cellStyle name="Normal 8 4 2 3 3" xfId="5282" xr:uid="{00000000-0005-0000-0000-0000E81D0000}"/>
    <cellStyle name="Normal 8 4 2 3 3 2" xfId="30614" xr:uid="{FF8CF1ED-F9EC-4680-B3BE-C14EEED21353}"/>
    <cellStyle name="Normal 8 4 2 3 3 3" xfId="22173" xr:uid="{EED9BCD2-2E64-4CFF-BAFE-FE635DE064B8}"/>
    <cellStyle name="Normal 8 4 2 3 3 4" xfId="13732" xr:uid="{F731CADF-9AE6-47D6-B435-63D90D28D173}"/>
    <cellStyle name="Normal 8 4 2 3 4" xfId="26396" xr:uid="{190B1738-478E-4925-B308-7F3C58716228}"/>
    <cellStyle name="Normal 8 4 2 3 5" xfId="17955" xr:uid="{1370ED9D-8D82-4F94-8C88-CB8A9B7A17AA}"/>
    <cellStyle name="Normal 8 4 2 3 6" xfId="9514" xr:uid="{96C35808-C716-4710-B4C8-0248308CD6B3}"/>
    <cellStyle name="Normal 8 4 2 4" xfId="1388" xr:uid="{00000000-0005-0000-0000-0000E91D0000}"/>
    <cellStyle name="Normal 8 4 2 4 2" xfId="3618" xr:uid="{00000000-0005-0000-0000-0000EA1D0000}"/>
    <cellStyle name="Normal 8 4 2 4 2 2" xfId="7840" xr:uid="{00000000-0005-0000-0000-0000EB1D0000}"/>
    <cellStyle name="Normal 8 4 2 4 2 2 2" xfId="33172" xr:uid="{1C11FFB1-8404-4732-9824-688CEACE9AB3}"/>
    <cellStyle name="Normal 8 4 2 4 2 2 3" xfId="24731" xr:uid="{53CF084E-1FE6-4AEF-B1B5-CF8336B759E4}"/>
    <cellStyle name="Normal 8 4 2 4 2 2 4" xfId="16290" xr:uid="{778E1881-49A9-4120-AF0F-EF918C064445}"/>
    <cellStyle name="Normal 8 4 2 4 2 3" xfId="28954" xr:uid="{80A1CA13-7FF5-411F-A419-B69BEAA9B765}"/>
    <cellStyle name="Normal 8 4 2 4 2 4" xfId="20513" xr:uid="{946E8B83-8703-44FA-8CEA-05F297B34290}"/>
    <cellStyle name="Normal 8 4 2 4 2 5" xfId="12072" xr:uid="{B3A7C274-6D2E-4372-BBC2-DF519616767A}"/>
    <cellStyle name="Normal 8 4 2 4 3" xfId="5695" xr:uid="{00000000-0005-0000-0000-0000EC1D0000}"/>
    <cellStyle name="Normal 8 4 2 4 3 2" xfId="31027" xr:uid="{BA055B7C-5848-45F8-82F8-1EC13FD991E2}"/>
    <cellStyle name="Normal 8 4 2 4 3 3" xfId="22586" xr:uid="{EC158B15-9E1F-49DF-AA4F-C82C51E1F23A}"/>
    <cellStyle name="Normal 8 4 2 4 3 4" xfId="14145" xr:uid="{DA0F222B-25FF-462B-BAB3-707CCE89C8BD}"/>
    <cellStyle name="Normal 8 4 2 4 4" xfId="26809" xr:uid="{60E3435F-506A-40AD-A35C-0DD2C9DE4FB5}"/>
    <cellStyle name="Normal 8 4 2 4 5" xfId="18368" xr:uid="{344CCFBA-D6FD-4180-BF6F-EEB4A5C50E66}"/>
    <cellStyle name="Normal 8 4 2 4 6" xfId="9927" xr:uid="{3A6B1DAA-04AC-4FFF-9120-0A5CC171E427}"/>
    <cellStyle name="Normal 8 4 2 5" xfId="1801" xr:uid="{00000000-0005-0000-0000-0000ED1D0000}"/>
    <cellStyle name="Normal 8 4 2 5 2" xfId="4031" xr:uid="{00000000-0005-0000-0000-0000EE1D0000}"/>
    <cellStyle name="Normal 8 4 2 5 2 2" xfId="8253" xr:uid="{00000000-0005-0000-0000-0000EF1D0000}"/>
    <cellStyle name="Normal 8 4 2 5 2 2 2" xfId="33585" xr:uid="{CE4BD31F-F3D1-4A29-80B6-F2F725269AE1}"/>
    <cellStyle name="Normal 8 4 2 5 2 2 3" xfId="25144" xr:uid="{3D345663-932D-4150-A19C-C1BC409D3B73}"/>
    <cellStyle name="Normal 8 4 2 5 2 2 4" xfId="16703" xr:uid="{D07827C2-FCE3-4F08-B941-00D38489CB17}"/>
    <cellStyle name="Normal 8 4 2 5 2 3" xfId="29367" xr:uid="{B86A609E-12D2-451C-BE42-9AED8FFD9A4D}"/>
    <cellStyle name="Normal 8 4 2 5 2 4" xfId="20926" xr:uid="{A6E7193B-5E18-44A4-B0D7-DF4F2F474306}"/>
    <cellStyle name="Normal 8 4 2 5 2 5" xfId="12485" xr:uid="{06CA3699-6FF7-4CCB-BF3A-E11270B52050}"/>
    <cellStyle name="Normal 8 4 2 5 3" xfId="6108" xr:uid="{00000000-0005-0000-0000-0000F01D0000}"/>
    <cellStyle name="Normal 8 4 2 5 3 2" xfId="31440" xr:uid="{EF55E6CE-C208-426F-9E96-496F57023AFF}"/>
    <cellStyle name="Normal 8 4 2 5 3 3" xfId="22999" xr:uid="{A78EF39B-4F61-424F-9AFF-F8724C245A72}"/>
    <cellStyle name="Normal 8 4 2 5 3 4" xfId="14558" xr:uid="{5F8E2408-1E5D-4B05-8970-2C509643DB0E}"/>
    <cellStyle name="Normal 8 4 2 5 4" xfId="27222" xr:uid="{6AF8FA5E-1B16-4BDA-9C2D-BE17AD6257CB}"/>
    <cellStyle name="Normal 8 4 2 5 5" xfId="18781" xr:uid="{3A6772D1-3F92-4C94-9893-CF13F947C629}"/>
    <cellStyle name="Normal 8 4 2 5 6" xfId="10340" xr:uid="{214577BC-8E46-4E35-B1FD-4BFA6C3C77D5}"/>
    <cellStyle name="Normal 8 4 2 6" xfId="2215" xr:uid="{00000000-0005-0000-0000-0000F11D0000}"/>
    <cellStyle name="Normal 8 4 2 6 2" xfId="4444" xr:uid="{00000000-0005-0000-0000-0000F21D0000}"/>
    <cellStyle name="Normal 8 4 2 6 2 2" xfId="8666" xr:uid="{00000000-0005-0000-0000-0000F31D0000}"/>
    <cellStyle name="Normal 8 4 2 6 2 2 2" xfId="33998" xr:uid="{38EDFED1-B9DC-4238-8CB9-D7E79C6FB7D0}"/>
    <cellStyle name="Normal 8 4 2 6 2 2 3" xfId="25557" xr:uid="{0622A3F3-91CA-4B2E-9E43-D5A03DE2938E}"/>
    <cellStyle name="Normal 8 4 2 6 2 2 4" xfId="17116" xr:uid="{697BCD9C-46AA-4477-9D6B-43AD2872B245}"/>
    <cellStyle name="Normal 8 4 2 6 2 3" xfId="29780" xr:uid="{7FA8F251-EBFC-43DC-A12A-129BD93B271C}"/>
    <cellStyle name="Normal 8 4 2 6 2 4" xfId="21339" xr:uid="{F9BDC919-E18B-4AFB-BEB5-674871475328}"/>
    <cellStyle name="Normal 8 4 2 6 2 5" xfId="12898" xr:uid="{7436E2E1-E5CB-4FB7-90B5-BFD7F9DBD0DE}"/>
    <cellStyle name="Normal 8 4 2 6 3" xfId="6521" xr:uid="{00000000-0005-0000-0000-0000F41D0000}"/>
    <cellStyle name="Normal 8 4 2 6 3 2" xfId="31853" xr:uid="{0124DBAD-1E52-4D75-96BB-E7681593061F}"/>
    <cellStyle name="Normal 8 4 2 6 3 3" xfId="23412" xr:uid="{FB39BC50-753E-4044-90F4-04109225665F}"/>
    <cellStyle name="Normal 8 4 2 6 3 4" xfId="14971" xr:uid="{B653B063-3537-49E8-8317-8AF5815FAA4D}"/>
    <cellStyle name="Normal 8 4 2 6 4" xfId="27635" xr:uid="{6F564A3A-B2E7-414B-B2DA-9FB4872A180C}"/>
    <cellStyle name="Normal 8 4 2 6 5" xfId="19194" xr:uid="{C4E32366-EF0E-4CEF-A2DA-A19CB1ABD43A}"/>
    <cellStyle name="Normal 8 4 2 6 6" xfId="10753" xr:uid="{4FB2AEE7-B724-447B-A516-3E986A30CD5E}"/>
    <cellStyle name="Normal 8 4 2 7" xfId="2651" xr:uid="{00000000-0005-0000-0000-0000F51D0000}"/>
    <cellStyle name="Normal 8 4 2 7 2" xfId="6934" xr:uid="{00000000-0005-0000-0000-0000F61D0000}"/>
    <cellStyle name="Normal 8 4 2 7 2 2" xfId="32266" xr:uid="{252FC5F4-F9B5-467D-B2EA-D44E3A74AA2D}"/>
    <cellStyle name="Normal 8 4 2 7 2 3" xfId="23825" xr:uid="{C3EB6A0B-F371-495E-88BD-80F91B3BF60D}"/>
    <cellStyle name="Normal 8 4 2 7 2 4" xfId="15384" xr:uid="{D828B7A1-802D-4CE1-90F3-4094BF1B4A71}"/>
    <cellStyle name="Normal 8 4 2 7 3" xfId="28048" xr:uid="{45472E9D-D506-4115-9102-9CABE43F0C66}"/>
    <cellStyle name="Normal 8 4 2 7 4" xfId="19607" xr:uid="{A47899EF-8FA1-45A9-A2D4-E46C5147D581}"/>
    <cellStyle name="Normal 8 4 2 7 5" xfId="11166" xr:uid="{97C1A6B6-9CC7-4C4A-9F7C-A151F5004CD4}"/>
    <cellStyle name="Normal 8 4 2 8" xfId="4869" xr:uid="{00000000-0005-0000-0000-0000F71D0000}"/>
    <cellStyle name="Normal 8 4 2 8 2" xfId="30201" xr:uid="{5E40F41F-3164-40D4-B02E-C9A4EFF5176C}"/>
    <cellStyle name="Normal 8 4 2 8 3" xfId="21760" xr:uid="{CCBBA700-106F-44D0-A820-079B18F44429}"/>
    <cellStyle name="Normal 8 4 2 8 4" xfId="13319" xr:uid="{D8B197AC-25A8-4428-9362-25755AF1EB3E}"/>
    <cellStyle name="Normal 8 4 2 9" xfId="25983" xr:uid="{0EA7290B-3858-4B79-93F4-A6EC465F4CCC}"/>
    <cellStyle name="Normal 8 4 3" xfId="506" xr:uid="{00000000-0005-0000-0000-0000F81D0000}"/>
    <cellStyle name="Normal 8 4 3 10" xfId="9103" xr:uid="{0DCA20E8-3F1E-40B9-9800-523D9ACEA477}"/>
    <cellStyle name="Normal 8 4 3 2" xfId="973" xr:uid="{00000000-0005-0000-0000-0000F91D0000}"/>
    <cellStyle name="Normal 8 4 3 2 2" xfId="3207" xr:uid="{00000000-0005-0000-0000-0000FA1D0000}"/>
    <cellStyle name="Normal 8 4 3 2 2 2" xfId="7429" xr:uid="{00000000-0005-0000-0000-0000FB1D0000}"/>
    <cellStyle name="Normal 8 4 3 2 2 2 2" xfId="32761" xr:uid="{477F37AA-B3EA-4959-90DF-DFD7A51EEAFE}"/>
    <cellStyle name="Normal 8 4 3 2 2 2 3" xfId="24320" xr:uid="{524FEF0A-C6DC-4B76-BF50-D10CDBD767BE}"/>
    <cellStyle name="Normal 8 4 3 2 2 2 4" xfId="15879" xr:uid="{5A142493-1EEB-432A-8DE0-02845E992BDA}"/>
    <cellStyle name="Normal 8 4 3 2 2 3" xfId="28543" xr:uid="{1F97A474-95C8-42FA-AAB2-99B6BB83EEEB}"/>
    <cellStyle name="Normal 8 4 3 2 2 4" xfId="20102" xr:uid="{E2697317-5327-47F3-8D5A-45EA9F4A6E4C}"/>
    <cellStyle name="Normal 8 4 3 2 2 5" xfId="11661" xr:uid="{0083AEAC-EE94-44B6-AD81-78226FF990D4}"/>
    <cellStyle name="Normal 8 4 3 2 3" xfId="5284" xr:uid="{00000000-0005-0000-0000-0000FC1D0000}"/>
    <cellStyle name="Normal 8 4 3 2 3 2" xfId="30616" xr:uid="{811C2DD2-9B4A-47EB-A891-9ABB1F402C96}"/>
    <cellStyle name="Normal 8 4 3 2 3 3" xfId="22175" xr:uid="{4177666E-1484-41A3-8799-C5039AE29DF7}"/>
    <cellStyle name="Normal 8 4 3 2 3 4" xfId="13734" xr:uid="{C4CD0BBE-D387-4E1F-9507-9D5E9D7B945B}"/>
    <cellStyle name="Normal 8 4 3 2 4" xfId="26398" xr:uid="{794FA19D-EA19-457C-A6FE-B95810A25BEC}"/>
    <cellStyle name="Normal 8 4 3 2 5" xfId="17957" xr:uid="{AA5E46AA-468F-4802-837E-B8105C7F95DE}"/>
    <cellStyle name="Normal 8 4 3 2 6" xfId="9516" xr:uid="{59933E89-A60F-40B7-A42A-3FDE289A4095}"/>
    <cellStyle name="Normal 8 4 3 3" xfId="1390" xr:uid="{00000000-0005-0000-0000-0000FD1D0000}"/>
    <cellStyle name="Normal 8 4 3 3 2" xfId="3620" xr:uid="{00000000-0005-0000-0000-0000FE1D0000}"/>
    <cellStyle name="Normal 8 4 3 3 2 2" xfId="7842" xr:uid="{00000000-0005-0000-0000-0000FF1D0000}"/>
    <cellStyle name="Normal 8 4 3 3 2 2 2" xfId="33174" xr:uid="{17D1A676-4B82-4DF3-A622-B3EF9B2BA10A}"/>
    <cellStyle name="Normal 8 4 3 3 2 2 3" xfId="24733" xr:uid="{DD04A855-013C-4F4D-928F-73D5DEFC7231}"/>
    <cellStyle name="Normal 8 4 3 3 2 2 4" xfId="16292" xr:uid="{14C9D2BF-EBEF-459D-9FDD-4EFD753AEEB8}"/>
    <cellStyle name="Normal 8 4 3 3 2 3" xfId="28956" xr:uid="{29F0A068-D5BF-4305-BA2A-4E513389ECD4}"/>
    <cellStyle name="Normal 8 4 3 3 2 4" xfId="20515" xr:uid="{C1DA41B8-3050-4072-8A11-F4B46254738C}"/>
    <cellStyle name="Normal 8 4 3 3 2 5" xfId="12074" xr:uid="{3FCF3863-71B1-4087-807F-03310000227B}"/>
    <cellStyle name="Normal 8 4 3 3 3" xfId="5697" xr:uid="{00000000-0005-0000-0000-0000001E0000}"/>
    <cellStyle name="Normal 8 4 3 3 3 2" xfId="31029" xr:uid="{FFE4C626-67EA-46CD-AB19-37394DF993BB}"/>
    <cellStyle name="Normal 8 4 3 3 3 3" xfId="22588" xr:uid="{4908E973-33E7-457B-8845-DDECDDA9D14B}"/>
    <cellStyle name="Normal 8 4 3 3 3 4" xfId="14147" xr:uid="{576FC46A-471E-4302-98A4-39732C42F2E7}"/>
    <cellStyle name="Normal 8 4 3 3 4" xfId="26811" xr:uid="{5224D580-C102-41D4-9A8D-8256ADA8F73A}"/>
    <cellStyle name="Normal 8 4 3 3 5" xfId="18370" xr:uid="{0D6FA7C0-AC02-4CB6-9489-24E7E8A870EA}"/>
    <cellStyle name="Normal 8 4 3 3 6" xfId="9929" xr:uid="{F9ABED44-18D8-4A34-92AE-ADC8DA2C86DF}"/>
    <cellStyle name="Normal 8 4 3 4" xfId="1803" xr:uid="{00000000-0005-0000-0000-0000011E0000}"/>
    <cellStyle name="Normal 8 4 3 4 2" xfId="4033" xr:uid="{00000000-0005-0000-0000-0000021E0000}"/>
    <cellStyle name="Normal 8 4 3 4 2 2" xfId="8255" xr:uid="{00000000-0005-0000-0000-0000031E0000}"/>
    <cellStyle name="Normal 8 4 3 4 2 2 2" xfId="33587" xr:uid="{2408B025-D7B4-42C9-97CC-C3DADE79D8DE}"/>
    <cellStyle name="Normal 8 4 3 4 2 2 3" xfId="25146" xr:uid="{03194248-4377-4A1E-B0D6-5843D7E9D8F9}"/>
    <cellStyle name="Normal 8 4 3 4 2 2 4" xfId="16705" xr:uid="{0D6F1499-6191-4C02-AB4F-6D64C23B746C}"/>
    <cellStyle name="Normal 8 4 3 4 2 3" xfId="29369" xr:uid="{AD5160F2-72B8-4AF1-A633-2F2F18280D99}"/>
    <cellStyle name="Normal 8 4 3 4 2 4" xfId="20928" xr:uid="{E29B5C2E-9ADA-4EFC-B63A-910CBE2B34FB}"/>
    <cellStyle name="Normal 8 4 3 4 2 5" xfId="12487" xr:uid="{CD24D859-8D65-4767-B08D-960BCE3A3C86}"/>
    <cellStyle name="Normal 8 4 3 4 3" xfId="6110" xr:uid="{00000000-0005-0000-0000-0000041E0000}"/>
    <cellStyle name="Normal 8 4 3 4 3 2" xfId="31442" xr:uid="{A3F52338-DBD3-4163-BE67-4BF65AEAB770}"/>
    <cellStyle name="Normal 8 4 3 4 3 3" xfId="23001" xr:uid="{B7EC2FBF-C288-4308-B5EC-FB5CB756D00C}"/>
    <cellStyle name="Normal 8 4 3 4 3 4" xfId="14560" xr:uid="{CD434E30-62D4-4754-BD25-2814F495A975}"/>
    <cellStyle name="Normal 8 4 3 4 4" xfId="27224" xr:uid="{0FF641AC-62CF-4847-8A26-84CEAAE7DA82}"/>
    <cellStyle name="Normal 8 4 3 4 5" xfId="18783" xr:uid="{9A75423A-027F-4327-978C-9F13F226560D}"/>
    <cellStyle name="Normal 8 4 3 4 6" xfId="10342" xr:uid="{F06A375E-1033-40C7-BC00-B6F936906EF5}"/>
    <cellStyle name="Normal 8 4 3 5" xfId="2217" xr:uid="{00000000-0005-0000-0000-0000051E0000}"/>
    <cellStyle name="Normal 8 4 3 5 2" xfId="4446" xr:uid="{00000000-0005-0000-0000-0000061E0000}"/>
    <cellStyle name="Normal 8 4 3 5 2 2" xfId="8668" xr:uid="{00000000-0005-0000-0000-0000071E0000}"/>
    <cellStyle name="Normal 8 4 3 5 2 2 2" xfId="34000" xr:uid="{20F14CFF-E62E-4AD7-BE23-4B212D21B1AD}"/>
    <cellStyle name="Normal 8 4 3 5 2 2 3" xfId="25559" xr:uid="{4554B82D-E2FE-4454-8241-63CA0AE584AF}"/>
    <cellStyle name="Normal 8 4 3 5 2 2 4" xfId="17118" xr:uid="{D54931DC-9FFC-4095-9EC4-11154548C31C}"/>
    <cellStyle name="Normal 8 4 3 5 2 3" xfId="29782" xr:uid="{125F7C68-4AB6-488B-AA24-DB8AFEBEA1B7}"/>
    <cellStyle name="Normal 8 4 3 5 2 4" xfId="21341" xr:uid="{B049CB52-6625-4199-B319-FC6AF2405F73}"/>
    <cellStyle name="Normal 8 4 3 5 2 5" xfId="12900" xr:uid="{3DB5835E-090E-4CEE-9577-4661470BB394}"/>
    <cellStyle name="Normal 8 4 3 5 3" xfId="6523" xr:uid="{00000000-0005-0000-0000-0000081E0000}"/>
    <cellStyle name="Normal 8 4 3 5 3 2" xfId="31855" xr:uid="{76C4DFEC-C785-4AD8-A3A0-002AF15E80C2}"/>
    <cellStyle name="Normal 8 4 3 5 3 3" xfId="23414" xr:uid="{EAD8CF34-D0F9-4EDF-8144-41B38F0D4C59}"/>
    <cellStyle name="Normal 8 4 3 5 3 4" xfId="14973" xr:uid="{33681BE8-3A79-4CEF-B7F5-E481B2B6A92B}"/>
    <cellStyle name="Normal 8 4 3 5 4" xfId="27637" xr:uid="{3F0C5CD1-6101-4D06-9EFA-D55E0F31CF26}"/>
    <cellStyle name="Normal 8 4 3 5 5" xfId="19196" xr:uid="{E520C5D0-A5D0-4392-8EBB-B06EF49D727C}"/>
    <cellStyle name="Normal 8 4 3 5 6" xfId="10755" xr:uid="{43998C89-B1FB-4819-9099-BAFAB99BEA18}"/>
    <cellStyle name="Normal 8 4 3 6" xfId="2653" xr:uid="{00000000-0005-0000-0000-0000091E0000}"/>
    <cellStyle name="Normal 8 4 3 6 2" xfId="6936" xr:uid="{00000000-0005-0000-0000-00000A1E0000}"/>
    <cellStyle name="Normal 8 4 3 6 2 2" xfId="32268" xr:uid="{F1DB7459-9764-42B1-8700-A36ADFCE78B0}"/>
    <cellStyle name="Normal 8 4 3 6 2 3" xfId="23827" xr:uid="{9B397717-DC4D-4744-957D-CAD179AB878D}"/>
    <cellStyle name="Normal 8 4 3 6 2 4" xfId="15386" xr:uid="{E6EB6431-7E68-4DB3-8FF1-BAEC0A866172}"/>
    <cellStyle name="Normal 8 4 3 6 3" xfId="28050" xr:uid="{F54A0984-BA7D-46CD-AB34-93FCC3D1EA00}"/>
    <cellStyle name="Normal 8 4 3 6 4" xfId="19609" xr:uid="{DC866F43-D8F2-4E8E-B81C-C1FAA182A0D0}"/>
    <cellStyle name="Normal 8 4 3 6 5" xfId="11168" xr:uid="{4E68F31C-B1B8-45B0-946A-6ACD49C55732}"/>
    <cellStyle name="Normal 8 4 3 7" xfId="4871" xr:uid="{00000000-0005-0000-0000-00000B1E0000}"/>
    <cellStyle name="Normal 8 4 3 7 2" xfId="30203" xr:uid="{1B2B549C-0EC3-4FD1-A01D-ED90941B57E4}"/>
    <cellStyle name="Normal 8 4 3 7 3" xfId="21762" xr:uid="{6DE071C2-7288-4156-92DF-C6E02EC4764A}"/>
    <cellStyle name="Normal 8 4 3 7 4" xfId="13321" xr:uid="{31C0B26D-B1E0-4128-A041-D92DF56ABE48}"/>
    <cellStyle name="Normal 8 4 3 8" xfId="25985" xr:uid="{2EB37FA0-997B-4851-8A92-5A6B81332DA1}"/>
    <cellStyle name="Normal 8 4 3 9" xfId="17544" xr:uid="{652A031E-1DDD-4FC2-97F3-9EC1D078968A}"/>
    <cellStyle name="Normal 8 4 4" xfId="970" xr:uid="{00000000-0005-0000-0000-00000C1E0000}"/>
    <cellStyle name="Normal 8 4 4 2" xfId="3204" xr:uid="{00000000-0005-0000-0000-00000D1E0000}"/>
    <cellStyle name="Normal 8 4 4 2 2" xfId="7426" xr:uid="{00000000-0005-0000-0000-00000E1E0000}"/>
    <cellStyle name="Normal 8 4 4 2 2 2" xfId="32758" xr:uid="{E20E3BE5-D4C2-4031-9706-F2A107D2F8D0}"/>
    <cellStyle name="Normal 8 4 4 2 2 3" xfId="24317" xr:uid="{8A1017BA-CFFC-4930-9608-FAD6226F9AC4}"/>
    <cellStyle name="Normal 8 4 4 2 2 4" xfId="15876" xr:uid="{93C27EB9-8E62-4B23-867B-1A858EA70BA5}"/>
    <cellStyle name="Normal 8 4 4 2 3" xfId="28540" xr:uid="{67E81925-D435-4C36-BF0C-965515FD9300}"/>
    <cellStyle name="Normal 8 4 4 2 4" xfId="20099" xr:uid="{EBE8E5EB-BC49-4F2B-81D7-03781B0E88F1}"/>
    <cellStyle name="Normal 8 4 4 2 5" xfId="11658" xr:uid="{BAA84A00-A0C4-43B3-983E-4E0030D96C2A}"/>
    <cellStyle name="Normal 8 4 4 3" xfId="5281" xr:uid="{00000000-0005-0000-0000-00000F1E0000}"/>
    <cellStyle name="Normal 8 4 4 3 2" xfId="30613" xr:uid="{A67CCDFF-E535-4658-A22C-124B013A9D63}"/>
    <cellStyle name="Normal 8 4 4 3 3" xfId="22172" xr:uid="{F00E95B6-E209-47DD-A64B-950D7F092B39}"/>
    <cellStyle name="Normal 8 4 4 3 4" xfId="13731" xr:uid="{CCA133A3-DECE-4D24-895D-D9AB8A943427}"/>
    <cellStyle name="Normal 8 4 4 4" xfId="26395" xr:uid="{515BFA77-5BBB-43B0-BC03-28F08243128E}"/>
    <cellStyle name="Normal 8 4 4 5" xfId="17954" xr:uid="{0D61261D-A656-4469-AA15-22F7B3085BF3}"/>
    <cellStyle name="Normal 8 4 4 6" xfId="9513" xr:uid="{23C21BD4-BCD9-41E7-8FC9-4564F3DC5FAE}"/>
    <cellStyle name="Normal 8 4 5" xfId="1387" xr:uid="{00000000-0005-0000-0000-0000101E0000}"/>
    <cellStyle name="Normal 8 4 5 2" xfId="3617" xr:uid="{00000000-0005-0000-0000-0000111E0000}"/>
    <cellStyle name="Normal 8 4 5 2 2" xfId="7839" xr:uid="{00000000-0005-0000-0000-0000121E0000}"/>
    <cellStyle name="Normal 8 4 5 2 2 2" xfId="33171" xr:uid="{4C7BF1A6-EA89-4785-803E-C68185045D56}"/>
    <cellStyle name="Normal 8 4 5 2 2 3" xfId="24730" xr:uid="{D89772D5-B7B4-4B7C-BB8F-8878DFDF3A3D}"/>
    <cellStyle name="Normal 8 4 5 2 2 4" xfId="16289" xr:uid="{C79A0086-6025-46D2-8A77-3072B6A9890A}"/>
    <cellStyle name="Normal 8 4 5 2 3" xfId="28953" xr:uid="{CB1B5213-5C42-4EDA-A85E-FF83B00586F0}"/>
    <cellStyle name="Normal 8 4 5 2 4" xfId="20512" xr:uid="{DC3E3B36-F0FC-4C24-896F-D88EA37D99B3}"/>
    <cellStyle name="Normal 8 4 5 2 5" xfId="12071" xr:uid="{4AB7BD47-44D2-4035-8A69-87637E0DE31A}"/>
    <cellStyle name="Normal 8 4 5 3" xfId="5694" xr:uid="{00000000-0005-0000-0000-0000131E0000}"/>
    <cellStyle name="Normal 8 4 5 3 2" xfId="31026" xr:uid="{21859204-6540-4D10-9901-1C6E6FFCD466}"/>
    <cellStyle name="Normal 8 4 5 3 3" xfId="22585" xr:uid="{336F401D-7AC9-4C61-8A27-564846187722}"/>
    <cellStyle name="Normal 8 4 5 3 4" xfId="14144" xr:uid="{F6FA0456-D059-4388-817E-93DE26AA28FC}"/>
    <cellStyle name="Normal 8 4 5 4" xfId="26808" xr:uid="{08A1C436-9810-4EEC-A7D2-E1195319B281}"/>
    <cellStyle name="Normal 8 4 5 5" xfId="18367" xr:uid="{D84367B4-B3CF-4091-A32A-4A5F583B15F7}"/>
    <cellStyle name="Normal 8 4 5 6" xfId="9926" xr:uid="{1D08E369-6CCE-47B9-8B2A-CB52455436D1}"/>
    <cellStyle name="Normal 8 4 6" xfId="1800" xr:uid="{00000000-0005-0000-0000-0000141E0000}"/>
    <cellStyle name="Normal 8 4 6 2" xfId="4030" xr:uid="{00000000-0005-0000-0000-0000151E0000}"/>
    <cellStyle name="Normal 8 4 6 2 2" xfId="8252" xr:uid="{00000000-0005-0000-0000-0000161E0000}"/>
    <cellStyle name="Normal 8 4 6 2 2 2" xfId="33584" xr:uid="{B6FB2F1B-4282-4642-8CF4-97F05779128F}"/>
    <cellStyle name="Normal 8 4 6 2 2 3" xfId="25143" xr:uid="{5258D0D2-888F-4031-8289-78C1CA5495E9}"/>
    <cellStyle name="Normal 8 4 6 2 2 4" xfId="16702" xr:uid="{3B2A8CF4-ACC9-4218-9FBE-44611FA2CDEA}"/>
    <cellStyle name="Normal 8 4 6 2 3" xfId="29366" xr:uid="{2706C28B-5ED8-49DB-9E05-12C6CA83EB3C}"/>
    <cellStyle name="Normal 8 4 6 2 4" xfId="20925" xr:uid="{A960EAF6-41F7-4362-B5AF-FC555FF4CA0B}"/>
    <cellStyle name="Normal 8 4 6 2 5" xfId="12484" xr:uid="{EDFC5361-0B8C-453D-8EB3-4C6FCFF70B18}"/>
    <cellStyle name="Normal 8 4 6 3" xfId="6107" xr:uid="{00000000-0005-0000-0000-0000171E0000}"/>
    <cellStyle name="Normal 8 4 6 3 2" xfId="31439" xr:uid="{E9408875-BFF3-489B-AB9D-ACFB0F4946A8}"/>
    <cellStyle name="Normal 8 4 6 3 3" xfId="22998" xr:uid="{40C469AE-288A-4AD6-9B53-71E4BB04099C}"/>
    <cellStyle name="Normal 8 4 6 3 4" xfId="14557" xr:uid="{4D42048A-F804-4E9D-A268-5996BF868728}"/>
    <cellStyle name="Normal 8 4 6 4" xfId="27221" xr:uid="{31237FFE-353F-4479-A79B-A56EF8DA4293}"/>
    <cellStyle name="Normal 8 4 6 5" xfId="18780" xr:uid="{8F522F2D-3AE5-4E95-9A25-274CAE54ACCD}"/>
    <cellStyle name="Normal 8 4 6 6" xfId="10339" xr:uid="{66F452F4-98B9-443B-A016-F18CDD09EA36}"/>
    <cellStyle name="Normal 8 4 7" xfId="2214" xr:uid="{00000000-0005-0000-0000-0000181E0000}"/>
    <cellStyle name="Normal 8 4 7 2" xfId="4443" xr:uid="{00000000-0005-0000-0000-0000191E0000}"/>
    <cellStyle name="Normal 8 4 7 2 2" xfId="8665" xr:uid="{00000000-0005-0000-0000-00001A1E0000}"/>
    <cellStyle name="Normal 8 4 7 2 2 2" xfId="33997" xr:uid="{5D828DF5-AB7E-48E7-9D11-AC3FDC99E1E4}"/>
    <cellStyle name="Normal 8 4 7 2 2 3" xfId="25556" xr:uid="{12FCCA1D-0B02-4933-83FB-49DBF414BF35}"/>
    <cellStyle name="Normal 8 4 7 2 2 4" xfId="17115" xr:uid="{35B56B80-4145-4B4A-A4F1-FBF0554C380F}"/>
    <cellStyle name="Normal 8 4 7 2 3" xfId="29779" xr:uid="{878D6506-F198-4AAE-B1E0-F97568A8CFC4}"/>
    <cellStyle name="Normal 8 4 7 2 4" xfId="21338" xr:uid="{1412C01B-3CBC-45A5-8B7B-3574D244D02A}"/>
    <cellStyle name="Normal 8 4 7 2 5" xfId="12897" xr:uid="{F4E8E72D-EC3E-4B64-802C-19BE3576541D}"/>
    <cellStyle name="Normal 8 4 7 3" xfId="6520" xr:uid="{00000000-0005-0000-0000-00001B1E0000}"/>
    <cellStyle name="Normal 8 4 7 3 2" xfId="31852" xr:uid="{3A62C32A-F50C-4014-A4C8-F1F501BED716}"/>
    <cellStyle name="Normal 8 4 7 3 3" xfId="23411" xr:uid="{D409DB0E-2945-4668-8C38-E13B5C23E353}"/>
    <cellStyle name="Normal 8 4 7 3 4" xfId="14970" xr:uid="{4FB2A2CC-53B8-4320-A28E-04F6C35688B5}"/>
    <cellStyle name="Normal 8 4 7 4" xfId="27634" xr:uid="{3F715811-C3A7-4A21-B002-2F3E62E8F9CE}"/>
    <cellStyle name="Normal 8 4 7 5" xfId="19193" xr:uid="{3B9EEF4A-A774-4218-A950-CF1D00539A9F}"/>
    <cellStyle name="Normal 8 4 7 6" xfId="10752" xr:uid="{082ABE3B-0B01-4AE6-A9A3-27B083351257}"/>
    <cellStyle name="Normal 8 4 8" xfId="2650" xr:uid="{00000000-0005-0000-0000-00001C1E0000}"/>
    <cellStyle name="Normal 8 4 8 2" xfId="6933" xr:uid="{00000000-0005-0000-0000-00001D1E0000}"/>
    <cellStyle name="Normal 8 4 8 2 2" xfId="32265" xr:uid="{AFB7D6D6-BBF1-477E-8D04-531CE6F1AACE}"/>
    <cellStyle name="Normal 8 4 8 2 3" xfId="23824" xr:uid="{6EB8396C-B7C4-4FD1-A16D-F1DAEB1E3B6C}"/>
    <cellStyle name="Normal 8 4 8 2 4" xfId="15383" xr:uid="{51318CCC-6C15-40B3-B90E-47354301E617}"/>
    <cellStyle name="Normal 8 4 8 3" xfId="28047" xr:uid="{D6038E14-8253-4E40-94E0-898A49D7CF31}"/>
    <cellStyle name="Normal 8 4 8 4" xfId="19606" xr:uid="{55840339-43C6-4A8A-95BD-1CFDEB3224CE}"/>
    <cellStyle name="Normal 8 4 8 5" xfId="11165" xr:uid="{B794ACDB-3BF5-4608-BEF5-A9BF15A1296B}"/>
    <cellStyle name="Normal 8 4 9" xfId="4868" xr:uid="{00000000-0005-0000-0000-00001E1E0000}"/>
    <cellStyle name="Normal 8 4 9 2" xfId="30200" xr:uid="{8EB7BEC3-E2BE-4B30-9E96-A85FE208C860}"/>
    <cellStyle name="Normal 8 4 9 3" xfId="21759" xr:uid="{CC1892DB-EEA1-43A0-8A46-27737D69B021}"/>
    <cellStyle name="Normal 8 4 9 4" xfId="13318" xr:uid="{D85D5FA4-4349-4111-A144-7116D69FC7CE}"/>
    <cellStyle name="Normal 8 5" xfId="507" xr:uid="{00000000-0005-0000-0000-00001F1E0000}"/>
    <cellStyle name="Normal 8 5 10" xfId="17545" xr:uid="{6A0FCEE0-0825-4413-8CBD-FB73A3410943}"/>
    <cellStyle name="Normal 8 5 11" xfId="9104" xr:uid="{59550C47-C2D5-4DDE-A17F-82998A8EDAB3}"/>
    <cellStyle name="Normal 8 5 2" xfId="508" xr:uid="{00000000-0005-0000-0000-0000201E0000}"/>
    <cellStyle name="Normal 8 5 2 10" xfId="9105" xr:uid="{1502C2E7-B491-4396-BD71-BB9525CB3F77}"/>
    <cellStyle name="Normal 8 5 2 2" xfId="975" xr:uid="{00000000-0005-0000-0000-0000211E0000}"/>
    <cellStyle name="Normal 8 5 2 2 2" xfId="3209" xr:uid="{00000000-0005-0000-0000-0000221E0000}"/>
    <cellStyle name="Normal 8 5 2 2 2 2" xfId="7431" xr:uid="{00000000-0005-0000-0000-0000231E0000}"/>
    <cellStyle name="Normal 8 5 2 2 2 2 2" xfId="32763" xr:uid="{71930F02-C11A-4312-9D4D-4461ABF863A4}"/>
    <cellStyle name="Normal 8 5 2 2 2 2 3" xfId="24322" xr:uid="{49115BCB-39AB-4A73-B18F-C4EC65FCFAC7}"/>
    <cellStyle name="Normal 8 5 2 2 2 2 4" xfId="15881" xr:uid="{F4B8BCCA-BEF4-4E28-84A2-5F3E9F5636DF}"/>
    <cellStyle name="Normal 8 5 2 2 2 3" xfId="28545" xr:uid="{85423914-2ED3-4189-926D-24C2333ECC8F}"/>
    <cellStyle name="Normal 8 5 2 2 2 4" xfId="20104" xr:uid="{2D539650-DA15-430C-8E91-FD9851E85FB0}"/>
    <cellStyle name="Normal 8 5 2 2 2 5" xfId="11663" xr:uid="{01A91CCD-D4FF-4A29-A851-B64AC44967B9}"/>
    <cellStyle name="Normal 8 5 2 2 3" xfId="5286" xr:uid="{00000000-0005-0000-0000-0000241E0000}"/>
    <cellStyle name="Normal 8 5 2 2 3 2" xfId="30618" xr:uid="{03F6F50B-EE23-452E-9FAC-92693FAE3B25}"/>
    <cellStyle name="Normal 8 5 2 2 3 3" xfId="22177" xr:uid="{50B338D6-E8AE-434D-920C-851B357E5CF4}"/>
    <cellStyle name="Normal 8 5 2 2 3 4" xfId="13736" xr:uid="{7A6012D8-6808-49C6-BEAA-6E483BF992EF}"/>
    <cellStyle name="Normal 8 5 2 2 4" xfId="26400" xr:uid="{A4D05609-E43F-4C87-815C-384CA5FD0246}"/>
    <cellStyle name="Normal 8 5 2 2 5" xfId="17959" xr:uid="{65D15342-0599-4D79-A4E4-A1C17E1D825C}"/>
    <cellStyle name="Normal 8 5 2 2 6" xfId="9518" xr:uid="{54BB217D-1085-4F1D-9DFA-186473A118A8}"/>
    <cellStyle name="Normal 8 5 2 3" xfId="1392" xr:uid="{00000000-0005-0000-0000-0000251E0000}"/>
    <cellStyle name="Normal 8 5 2 3 2" xfId="3622" xr:uid="{00000000-0005-0000-0000-0000261E0000}"/>
    <cellStyle name="Normal 8 5 2 3 2 2" xfId="7844" xr:uid="{00000000-0005-0000-0000-0000271E0000}"/>
    <cellStyle name="Normal 8 5 2 3 2 2 2" xfId="33176" xr:uid="{B8A3428F-96A8-4C89-B320-16394BAA90CF}"/>
    <cellStyle name="Normal 8 5 2 3 2 2 3" xfId="24735" xr:uid="{252AEC6F-86CD-418B-90E1-A95A9CFABCEA}"/>
    <cellStyle name="Normal 8 5 2 3 2 2 4" xfId="16294" xr:uid="{8CDD67A5-2C18-49AB-9057-02328463E419}"/>
    <cellStyle name="Normal 8 5 2 3 2 3" xfId="28958" xr:uid="{1C2BB179-8ED7-4E78-929E-9BBA9A2D853F}"/>
    <cellStyle name="Normal 8 5 2 3 2 4" xfId="20517" xr:uid="{1E0776BE-6DAB-4941-A798-7C66F2757B5C}"/>
    <cellStyle name="Normal 8 5 2 3 2 5" xfId="12076" xr:uid="{F97FE4CD-CDE9-47A0-B49B-A62F1969AC83}"/>
    <cellStyle name="Normal 8 5 2 3 3" xfId="5699" xr:uid="{00000000-0005-0000-0000-0000281E0000}"/>
    <cellStyle name="Normal 8 5 2 3 3 2" xfId="31031" xr:uid="{4A5C27C6-2C25-48BB-B118-8A8455642BE7}"/>
    <cellStyle name="Normal 8 5 2 3 3 3" xfId="22590" xr:uid="{28B1A2C5-A187-439C-B4C1-F0C090599302}"/>
    <cellStyle name="Normal 8 5 2 3 3 4" xfId="14149" xr:uid="{FBFA5308-F657-4938-9EB2-BBFAEBD52EDA}"/>
    <cellStyle name="Normal 8 5 2 3 4" xfId="26813" xr:uid="{AEA114ED-5829-4AB9-B75A-558F60EA764D}"/>
    <cellStyle name="Normal 8 5 2 3 5" xfId="18372" xr:uid="{BC93EFFC-46E1-4EC6-82A6-777062999C00}"/>
    <cellStyle name="Normal 8 5 2 3 6" xfId="9931" xr:uid="{4EC61107-34FE-4D3F-AF53-365C007F9F4D}"/>
    <cellStyle name="Normal 8 5 2 4" xfId="1805" xr:uid="{00000000-0005-0000-0000-0000291E0000}"/>
    <cellStyle name="Normal 8 5 2 4 2" xfId="4035" xr:uid="{00000000-0005-0000-0000-00002A1E0000}"/>
    <cellStyle name="Normal 8 5 2 4 2 2" xfId="8257" xr:uid="{00000000-0005-0000-0000-00002B1E0000}"/>
    <cellStyle name="Normal 8 5 2 4 2 2 2" xfId="33589" xr:uid="{CABD9599-8AF8-4192-A4BE-7110C9E5A2DC}"/>
    <cellStyle name="Normal 8 5 2 4 2 2 3" xfId="25148" xr:uid="{BEC88C7C-EB7A-4EC0-B205-617D73CF379E}"/>
    <cellStyle name="Normal 8 5 2 4 2 2 4" xfId="16707" xr:uid="{EBDF0502-0202-4431-9526-8957F8F96241}"/>
    <cellStyle name="Normal 8 5 2 4 2 3" xfId="29371" xr:uid="{E681DE77-59D8-475A-A56B-2698D1F826D5}"/>
    <cellStyle name="Normal 8 5 2 4 2 4" xfId="20930" xr:uid="{EA022419-F070-4792-A798-ED716528B7B1}"/>
    <cellStyle name="Normal 8 5 2 4 2 5" xfId="12489" xr:uid="{B4321912-5C7E-4356-9DD7-597DF00881EB}"/>
    <cellStyle name="Normal 8 5 2 4 3" xfId="6112" xr:uid="{00000000-0005-0000-0000-00002C1E0000}"/>
    <cellStyle name="Normal 8 5 2 4 3 2" xfId="31444" xr:uid="{C231D2E1-91F5-4E12-9BF7-BDDE01BE3943}"/>
    <cellStyle name="Normal 8 5 2 4 3 3" xfId="23003" xr:uid="{3A936BDD-FE38-4B9B-B598-B76150132CFE}"/>
    <cellStyle name="Normal 8 5 2 4 3 4" xfId="14562" xr:uid="{5A613464-6F2A-4FBD-9536-DCE2A959BA20}"/>
    <cellStyle name="Normal 8 5 2 4 4" xfId="27226" xr:uid="{765B0C0F-E74D-4612-B5EF-01C89678B8AE}"/>
    <cellStyle name="Normal 8 5 2 4 5" xfId="18785" xr:uid="{90FD0473-251E-4714-89AB-3EC279B6515F}"/>
    <cellStyle name="Normal 8 5 2 4 6" xfId="10344" xr:uid="{CD64CF5F-03CB-44D3-9DD6-D60877E2A681}"/>
    <cellStyle name="Normal 8 5 2 5" xfId="2219" xr:uid="{00000000-0005-0000-0000-00002D1E0000}"/>
    <cellStyle name="Normal 8 5 2 5 2" xfId="4448" xr:uid="{00000000-0005-0000-0000-00002E1E0000}"/>
    <cellStyle name="Normal 8 5 2 5 2 2" xfId="8670" xr:uid="{00000000-0005-0000-0000-00002F1E0000}"/>
    <cellStyle name="Normal 8 5 2 5 2 2 2" xfId="34002" xr:uid="{4B6822FF-9A53-4266-AF08-43D46A535F2B}"/>
    <cellStyle name="Normal 8 5 2 5 2 2 3" xfId="25561" xr:uid="{8AA985FB-AC41-40AE-80BF-F3B303EDDFC2}"/>
    <cellStyle name="Normal 8 5 2 5 2 2 4" xfId="17120" xr:uid="{5937FB1C-E153-47A1-9E5E-3F012684C428}"/>
    <cellStyle name="Normal 8 5 2 5 2 3" xfId="29784" xr:uid="{E2CEACE6-6703-4CC1-9106-6BF562D3278D}"/>
    <cellStyle name="Normal 8 5 2 5 2 4" xfId="21343" xr:uid="{174AF265-5C75-4CCD-B84D-F939917A660D}"/>
    <cellStyle name="Normal 8 5 2 5 2 5" xfId="12902" xr:uid="{F6ED6DB0-D280-42F5-B661-9007800EC231}"/>
    <cellStyle name="Normal 8 5 2 5 3" xfId="6525" xr:uid="{00000000-0005-0000-0000-0000301E0000}"/>
    <cellStyle name="Normal 8 5 2 5 3 2" xfId="31857" xr:uid="{0C1CEAB2-773F-4D7E-991A-3FB033FE72C1}"/>
    <cellStyle name="Normal 8 5 2 5 3 3" xfId="23416" xr:uid="{1E07FD09-F21C-476F-9A9E-D0827C169EB2}"/>
    <cellStyle name="Normal 8 5 2 5 3 4" xfId="14975" xr:uid="{8F82EE57-E5DF-4D1E-AD57-958DF166EAC8}"/>
    <cellStyle name="Normal 8 5 2 5 4" xfId="27639" xr:uid="{DC2AA2EC-1E6D-4B97-BBBA-AE32B3639B97}"/>
    <cellStyle name="Normal 8 5 2 5 5" xfId="19198" xr:uid="{98FBC82B-4D65-4D04-8BB4-E518E7165D61}"/>
    <cellStyle name="Normal 8 5 2 5 6" xfId="10757" xr:uid="{B3015692-3612-408A-B88C-ACFEDDB403E1}"/>
    <cellStyle name="Normal 8 5 2 6" xfId="2655" xr:uid="{00000000-0005-0000-0000-0000311E0000}"/>
    <cellStyle name="Normal 8 5 2 6 2" xfId="6938" xr:uid="{00000000-0005-0000-0000-0000321E0000}"/>
    <cellStyle name="Normal 8 5 2 6 2 2" xfId="32270" xr:uid="{B56179F8-4216-4CDB-8025-1C80513D29FD}"/>
    <cellStyle name="Normal 8 5 2 6 2 3" xfId="23829" xr:uid="{578DD08C-F159-4C2E-904E-F618C2A3FD1E}"/>
    <cellStyle name="Normal 8 5 2 6 2 4" xfId="15388" xr:uid="{356BD4CE-9E4D-4FF7-8586-8715232B1082}"/>
    <cellStyle name="Normal 8 5 2 6 3" xfId="28052" xr:uid="{E30DCEA7-B48E-4D09-A165-4FCC23FFE78A}"/>
    <cellStyle name="Normal 8 5 2 6 4" xfId="19611" xr:uid="{692E105B-454B-43E6-8DFC-6395635A8C28}"/>
    <cellStyle name="Normal 8 5 2 6 5" xfId="11170" xr:uid="{C30EDC2C-D758-4387-84EB-C6A7D5582A9C}"/>
    <cellStyle name="Normal 8 5 2 7" xfId="4873" xr:uid="{00000000-0005-0000-0000-0000331E0000}"/>
    <cellStyle name="Normal 8 5 2 7 2" xfId="30205" xr:uid="{9D9CB581-B41F-44A7-BE56-E40104118C05}"/>
    <cellStyle name="Normal 8 5 2 7 3" xfId="21764" xr:uid="{03DB0050-4378-4154-9D4A-639A2C05B9E1}"/>
    <cellStyle name="Normal 8 5 2 7 4" xfId="13323" xr:uid="{3E8B65F2-30AA-42AF-A1F7-85715F702D05}"/>
    <cellStyle name="Normal 8 5 2 8" xfId="25987" xr:uid="{88FC528C-A21F-4577-ADFD-5E8F0AE40F75}"/>
    <cellStyle name="Normal 8 5 2 9" xfId="17546" xr:uid="{DFB8B06A-FC86-4E41-BB73-F7315AEB3E1C}"/>
    <cellStyle name="Normal 8 5 3" xfId="974" xr:uid="{00000000-0005-0000-0000-0000341E0000}"/>
    <cellStyle name="Normal 8 5 3 2" xfId="3208" xr:uid="{00000000-0005-0000-0000-0000351E0000}"/>
    <cellStyle name="Normal 8 5 3 2 2" xfId="7430" xr:uid="{00000000-0005-0000-0000-0000361E0000}"/>
    <cellStyle name="Normal 8 5 3 2 2 2" xfId="32762" xr:uid="{BA68B0AE-9098-4D20-B2F6-B1BF20C009DC}"/>
    <cellStyle name="Normal 8 5 3 2 2 3" xfId="24321" xr:uid="{8B508510-4B45-4760-B26E-AF30EB0A42A7}"/>
    <cellStyle name="Normal 8 5 3 2 2 4" xfId="15880" xr:uid="{75390BCC-B29D-4C71-A138-0D797D9EB481}"/>
    <cellStyle name="Normal 8 5 3 2 3" xfId="28544" xr:uid="{3832FA0E-461E-4A7D-BBC5-C1DB95AF2527}"/>
    <cellStyle name="Normal 8 5 3 2 4" xfId="20103" xr:uid="{C7278814-36CB-4782-885C-6D5B7362972F}"/>
    <cellStyle name="Normal 8 5 3 2 5" xfId="11662" xr:uid="{5DF953F8-9FF6-4385-B36A-16A339105B2D}"/>
    <cellStyle name="Normal 8 5 3 3" xfId="5285" xr:uid="{00000000-0005-0000-0000-0000371E0000}"/>
    <cellStyle name="Normal 8 5 3 3 2" xfId="30617" xr:uid="{903341CA-1044-4F3F-B5F3-584B530B7093}"/>
    <cellStyle name="Normal 8 5 3 3 3" xfId="22176" xr:uid="{A47F2EEA-6EBA-41AC-844D-0B53CBD22118}"/>
    <cellStyle name="Normal 8 5 3 3 4" xfId="13735" xr:uid="{597A2852-BEE3-4C1A-AF45-9C780783EB63}"/>
    <cellStyle name="Normal 8 5 3 4" xfId="26399" xr:uid="{6AA60597-5EF2-42B6-A7B7-60757ADA037C}"/>
    <cellStyle name="Normal 8 5 3 5" xfId="17958" xr:uid="{18B1BFD3-B47F-4B07-A6A6-09B42268CE53}"/>
    <cellStyle name="Normal 8 5 3 6" xfId="9517" xr:uid="{BDA5A526-EC1C-4DAB-96FB-8097FCC959A8}"/>
    <cellStyle name="Normal 8 5 4" xfId="1391" xr:uid="{00000000-0005-0000-0000-0000381E0000}"/>
    <cellStyle name="Normal 8 5 4 2" xfId="3621" xr:uid="{00000000-0005-0000-0000-0000391E0000}"/>
    <cellStyle name="Normal 8 5 4 2 2" xfId="7843" xr:uid="{00000000-0005-0000-0000-00003A1E0000}"/>
    <cellStyle name="Normal 8 5 4 2 2 2" xfId="33175" xr:uid="{96335C4E-AB46-4548-957F-54E913929B0A}"/>
    <cellStyle name="Normal 8 5 4 2 2 3" xfId="24734" xr:uid="{79B5252F-B30D-4AB2-944E-1563D379E90B}"/>
    <cellStyle name="Normal 8 5 4 2 2 4" xfId="16293" xr:uid="{E02D0546-4595-4CE6-928F-B3B6DC102140}"/>
    <cellStyle name="Normal 8 5 4 2 3" xfId="28957" xr:uid="{E6139240-ABEE-46B2-AE7E-9362B8A14E18}"/>
    <cellStyle name="Normal 8 5 4 2 4" xfId="20516" xr:uid="{BE3420BE-1B6A-4F67-A467-75292A1A88BC}"/>
    <cellStyle name="Normal 8 5 4 2 5" xfId="12075" xr:uid="{A40B4781-F860-48EC-A447-6D7459FE8F42}"/>
    <cellStyle name="Normal 8 5 4 3" xfId="5698" xr:uid="{00000000-0005-0000-0000-00003B1E0000}"/>
    <cellStyle name="Normal 8 5 4 3 2" xfId="31030" xr:uid="{4A55B152-6038-4AD8-B651-516DF5390232}"/>
    <cellStyle name="Normal 8 5 4 3 3" xfId="22589" xr:uid="{A7E5A926-73F0-4DA1-88B2-AE483029C2CF}"/>
    <cellStyle name="Normal 8 5 4 3 4" xfId="14148" xr:uid="{38C44827-857A-452C-BAB0-B5E53FA1513F}"/>
    <cellStyle name="Normal 8 5 4 4" xfId="26812" xr:uid="{E06FC9CC-1D11-416E-9D6A-40E6860B9037}"/>
    <cellStyle name="Normal 8 5 4 5" xfId="18371" xr:uid="{7AB572D5-532C-4E03-A612-70671C6A8F0A}"/>
    <cellStyle name="Normal 8 5 4 6" xfId="9930" xr:uid="{FA0ED3BD-64EF-4985-82B0-736165036152}"/>
    <cellStyle name="Normal 8 5 5" xfId="1804" xr:uid="{00000000-0005-0000-0000-00003C1E0000}"/>
    <cellStyle name="Normal 8 5 5 2" xfId="4034" xr:uid="{00000000-0005-0000-0000-00003D1E0000}"/>
    <cellStyle name="Normal 8 5 5 2 2" xfId="8256" xr:uid="{00000000-0005-0000-0000-00003E1E0000}"/>
    <cellStyle name="Normal 8 5 5 2 2 2" xfId="33588" xr:uid="{564EACD7-60C0-47EE-990A-39ED84D60CAA}"/>
    <cellStyle name="Normal 8 5 5 2 2 3" xfId="25147" xr:uid="{4B03CFF9-532B-4DBC-A26D-8551C3C9A9FC}"/>
    <cellStyle name="Normal 8 5 5 2 2 4" xfId="16706" xr:uid="{3A260076-17DE-46EF-A565-F0B3F96E2105}"/>
    <cellStyle name="Normal 8 5 5 2 3" xfId="29370" xr:uid="{33D29AFC-CAFB-48B7-B2CF-112565F7110C}"/>
    <cellStyle name="Normal 8 5 5 2 4" xfId="20929" xr:uid="{40B20DEE-41F9-4C93-A1F0-4CF3D27A2F29}"/>
    <cellStyle name="Normal 8 5 5 2 5" xfId="12488" xr:uid="{E7A36847-676D-4B0A-B474-0232EFD6EAF1}"/>
    <cellStyle name="Normal 8 5 5 3" xfId="6111" xr:uid="{00000000-0005-0000-0000-00003F1E0000}"/>
    <cellStyle name="Normal 8 5 5 3 2" xfId="31443" xr:uid="{85F517E2-8B62-4151-956F-9365FAC2EB11}"/>
    <cellStyle name="Normal 8 5 5 3 3" xfId="23002" xr:uid="{5A6D6D53-6725-4BA2-8334-8DF3CEB56CFE}"/>
    <cellStyle name="Normal 8 5 5 3 4" xfId="14561" xr:uid="{E6C83C9C-3A7E-4629-84C6-EEAF97F9F595}"/>
    <cellStyle name="Normal 8 5 5 4" xfId="27225" xr:uid="{B3F10B60-3396-4670-BEA5-DB2652175ADA}"/>
    <cellStyle name="Normal 8 5 5 5" xfId="18784" xr:uid="{05AC023E-3510-4EB8-B8C4-D9EBF761E6AB}"/>
    <cellStyle name="Normal 8 5 5 6" xfId="10343" xr:uid="{063F7E5D-33D2-4318-BCA8-F06B24824719}"/>
    <cellStyle name="Normal 8 5 6" xfId="2218" xr:uid="{00000000-0005-0000-0000-0000401E0000}"/>
    <cellStyle name="Normal 8 5 6 2" xfId="4447" xr:uid="{00000000-0005-0000-0000-0000411E0000}"/>
    <cellStyle name="Normal 8 5 6 2 2" xfId="8669" xr:uid="{00000000-0005-0000-0000-0000421E0000}"/>
    <cellStyle name="Normal 8 5 6 2 2 2" xfId="34001" xr:uid="{176E4968-AC3E-4D93-819D-D78E3F329606}"/>
    <cellStyle name="Normal 8 5 6 2 2 3" xfId="25560" xr:uid="{24CE3DF1-B35D-4B0F-B9B0-27DEADD8B4FA}"/>
    <cellStyle name="Normal 8 5 6 2 2 4" xfId="17119" xr:uid="{5AB2DE3F-1B36-477A-8F77-1DD29AA31759}"/>
    <cellStyle name="Normal 8 5 6 2 3" xfId="29783" xr:uid="{64F566FF-96E6-44AE-9690-F3C7DCC5D4A1}"/>
    <cellStyle name="Normal 8 5 6 2 4" xfId="21342" xr:uid="{EA17CEAF-4291-4DBC-9301-51D6AC16285A}"/>
    <cellStyle name="Normal 8 5 6 2 5" xfId="12901" xr:uid="{08A7900E-9008-4B4A-9BCE-E80B7FF1C9E0}"/>
    <cellStyle name="Normal 8 5 6 3" xfId="6524" xr:uid="{00000000-0005-0000-0000-0000431E0000}"/>
    <cellStyle name="Normal 8 5 6 3 2" xfId="31856" xr:uid="{A3BAEB5D-BB69-40A8-BB70-AE90609EFF58}"/>
    <cellStyle name="Normal 8 5 6 3 3" xfId="23415" xr:uid="{22A60174-3F16-49CA-AA6D-B31361915CF7}"/>
    <cellStyle name="Normal 8 5 6 3 4" xfId="14974" xr:uid="{36326D7C-F904-4C94-B51A-B6A70CCF1645}"/>
    <cellStyle name="Normal 8 5 6 4" xfId="27638" xr:uid="{2047E67F-127D-430A-9C96-FF9DB611C34F}"/>
    <cellStyle name="Normal 8 5 6 5" xfId="19197" xr:uid="{34B70C75-44E7-4851-B8BF-BD2F0D72885D}"/>
    <cellStyle name="Normal 8 5 6 6" xfId="10756" xr:uid="{39B5FB41-9577-4A2E-B1C9-CB8A12D3EB73}"/>
    <cellStyle name="Normal 8 5 7" xfId="2654" xr:uid="{00000000-0005-0000-0000-0000441E0000}"/>
    <cellStyle name="Normal 8 5 7 2" xfId="6937" xr:uid="{00000000-0005-0000-0000-0000451E0000}"/>
    <cellStyle name="Normal 8 5 7 2 2" xfId="32269" xr:uid="{E562549A-22B4-4D0F-BD61-E784DEA9430C}"/>
    <cellStyle name="Normal 8 5 7 2 3" xfId="23828" xr:uid="{935678F1-EFD0-4AF4-94ED-CAF4BD589ABE}"/>
    <cellStyle name="Normal 8 5 7 2 4" xfId="15387" xr:uid="{CEDD0BF2-42BF-42DB-92EE-8707E9F900EE}"/>
    <cellStyle name="Normal 8 5 7 3" xfId="28051" xr:uid="{E7830E44-E646-4871-A454-C32D541FD95A}"/>
    <cellStyle name="Normal 8 5 7 4" xfId="19610" xr:uid="{2E1EC6D4-C0AF-4CA4-B708-88B07B257ECD}"/>
    <cellStyle name="Normal 8 5 7 5" xfId="11169" xr:uid="{99C75B2A-3630-4918-B1D2-22757EDC72EC}"/>
    <cellStyle name="Normal 8 5 8" xfId="4872" xr:uid="{00000000-0005-0000-0000-0000461E0000}"/>
    <cellStyle name="Normal 8 5 8 2" xfId="30204" xr:uid="{56EF53D4-4D0F-4D3F-8825-7B50691EB968}"/>
    <cellStyle name="Normal 8 5 8 3" xfId="21763" xr:uid="{B5027BDD-05FA-4200-BC0C-A9C42BFEA46C}"/>
    <cellStyle name="Normal 8 5 8 4" xfId="13322" xr:uid="{C922D307-48A0-47AE-A202-2A504CDDDCCD}"/>
    <cellStyle name="Normal 8 5 9" xfId="25986" xr:uid="{F605B648-AD21-4761-BB42-3F2531BA1430}"/>
    <cellStyle name="Normal 8 6" xfId="509" xr:uid="{00000000-0005-0000-0000-0000471E0000}"/>
    <cellStyle name="Normal 8 6 10" xfId="9106" xr:uid="{32A094D2-7098-4A54-9B11-3DEDEAF5C4B8}"/>
    <cellStyle name="Normal 8 6 2" xfId="976" xr:uid="{00000000-0005-0000-0000-0000481E0000}"/>
    <cellStyle name="Normal 8 6 2 2" xfId="3210" xr:uid="{00000000-0005-0000-0000-0000491E0000}"/>
    <cellStyle name="Normal 8 6 2 2 2" xfId="7432" xr:uid="{00000000-0005-0000-0000-00004A1E0000}"/>
    <cellStyle name="Normal 8 6 2 2 2 2" xfId="32764" xr:uid="{067EF8AB-2883-4050-9856-346E8DC4E630}"/>
    <cellStyle name="Normal 8 6 2 2 2 3" xfId="24323" xr:uid="{94296FCB-3FBB-4295-81D7-E400C4A6BB64}"/>
    <cellStyle name="Normal 8 6 2 2 2 4" xfId="15882" xr:uid="{6EB4B2FA-3AAF-4C37-A018-990DE2E6A6B4}"/>
    <cellStyle name="Normal 8 6 2 2 3" xfId="28546" xr:uid="{E077E838-4E7E-4F84-9BB5-4E15FF2AE750}"/>
    <cellStyle name="Normal 8 6 2 2 4" xfId="20105" xr:uid="{4E0A9F25-75CC-49E9-8AE3-494CBE4A30BE}"/>
    <cellStyle name="Normal 8 6 2 2 5" xfId="11664" xr:uid="{35E63D60-939B-41C7-8000-7C5F4EFD4AD4}"/>
    <cellStyle name="Normal 8 6 2 3" xfId="5287" xr:uid="{00000000-0005-0000-0000-00004B1E0000}"/>
    <cellStyle name="Normal 8 6 2 3 2" xfId="30619" xr:uid="{F387E33C-FDAC-4E11-A1CF-E7D52C6EB904}"/>
    <cellStyle name="Normal 8 6 2 3 3" xfId="22178" xr:uid="{D859AA92-7C87-435D-93A9-A1A7E0D6A103}"/>
    <cellStyle name="Normal 8 6 2 3 4" xfId="13737" xr:uid="{822434F8-8807-4BA9-9CBC-97BE8C23C87F}"/>
    <cellStyle name="Normal 8 6 2 4" xfId="26401" xr:uid="{89D29134-F562-4585-9D5A-A89AA730434E}"/>
    <cellStyle name="Normal 8 6 2 5" xfId="17960" xr:uid="{6BF4E439-0468-41C2-AE19-66FA0A18D0B1}"/>
    <cellStyle name="Normal 8 6 2 6" xfId="9519" xr:uid="{E233E08A-7B32-4277-B32B-3742EE3FB91E}"/>
    <cellStyle name="Normal 8 6 3" xfId="1393" xr:uid="{00000000-0005-0000-0000-00004C1E0000}"/>
    <cellStyle name="Normal 8 6 3 2" xfId="3623" xr:uid="{00000000-0005-0000-0000-00004D1E0000}"/>
    <cellStyle name="Normal 8 6 3 2 2" xfId="7845" xr:uid="{00000000-0005-0000-0000-00004E1E0000}"/>
    <cellStyle name="Normal 8 6 3 2 2 2" xfId="33177" xr:uid="{D0C384AD-0D73-4C68-AF01-FC525D8BDF1A}"/>
    <cellStyle name="Normal 8 6 3 2 2 3" xfId="24736" xr:uid="{5A4DBC1A-DAF4-4F09-819D-AE07B19F9DBF}"/>
    <cellStyle name="Normal 8 6 3 2 2 4" xfId="16295" xr:uid="{D933DAEB-D21C-49D1-AACE-D3A4E6E608A8}"/>
    <cellStyle name="Normal 8 6 3 2 3" xfId="28959" xr:uid="{F8A88BC6-BAAB-44AA-80E4-DFEC5725D2B7}"/>
    <cellStyle name="Normal 8 6 3 2 4" xfId="20518" xr:uid="{0D48D348-D8AD-4C32-B072-FCB6A9EAD277}"/>
    <cellStyle name="Normal 8 6 3 2 5" xfId="12077" xr:uid="{B8BEA394-449B-4AA4-AA8D-3B33AECF2DB4}"/>
    <cellStyle name="Normal 8 6 3 3" xfId="5700" xr:uid="{00000000-0005-0000-0000-00004F1E0000}"/>
    <cellStyle name="Normal 8 6 3 3 2" xfId="31032" xr:uid="{900DC7B2-3AE9-4525-9C68-F34EADA2D740}"/>
    <cellStyle name="Normal 8 6 3 3 3" xfId="22591" xr:uid="{553FC291-C708-4E42-86B4-B419C5016D8E}"/>
    <cellStyle name="Normal 8 6 3 3 4" xfId="14150" xr:uid="{C95D1BAF-FF17-4671-9FA2-2EFE3F229CDA}"/>
    <cellStyle name="Normal 8 6 3 4" xfId="26814" xr:uid="{34852CF0-FAA2-4395-B860-EAE2CA83CF86}"/>
    <cellStyle name="Normal 8 6 3 5" xfId="18373" xr:uid="{2AF133D5-73F0-4B76-8049-34614BE63B10}"/>
    <cellStyle name="Normal 8 6 3 6" xfId="9932" xr:uid="{F52D1501-1435-4BB1-B9BC-77A980A4CEED}"/>
    <cellStyle name="Normal 8 6 4" xfId="1806" xr:uid="{00000000-0005-0000-0000-0000501E0000}"/>
    <cellStyle name="Normal 8 6 4 2" xfId="4036" xr:uid="{00000000-0005-0000-0000-0000511E0000}"/>
    <cellStyle name="Normal 8 6 4 2 2" xfId="8258" xr:uid="{00000000-0005-0000-0000-0000521E0000}"/>
    <cellStyle name="Normal 8 6 4 2 2 2" xfId="33590" xr:uid="{559962F0-A8F6-44F1-9148-BBA87ABDAA7C}"/>
    <cellStyle name="Normal 8 6 4 2 2 3" xfId="25149" xr:uid="{FC967DF5-9EE6-4580-8FA8-27B37F34A03C}"/>
    <cellStyle name="Normal 8 6 4 2 2 4" xfId="16708" xr:uid="{047F7AD8-65C5-4950-9418-702B513A6812}"/>
    <cellStyle name="Normal 8 6 4 2 3" xfId="29372" xr:uid="{306DB069-E7CE-4614-AB54-5F0225682B62}"/>
    <cellStyle name="Normal 8 6 4 2 4" xfId="20931" xr:uid="{76DFC01C-107F-4E85-9E80-3C2439D2BCF7}"/>
    <cellStyle name="Normal 8 6 4 2 5" xfId="12490" xr:uid="{D87DFAB3-E0DE-46B8-8886-2E6521ED70F7}"/>
    <cellStyle name="Normal 8 6 4 3" xfId="6113" xr:uid="{00000000-0005-0000-0000-0000531E0000}"/>
    <cellStyle name="Normal 8 6 4 3 2" xfId="31445" xr:uid="{93BD5E9F-7564-4D86-819C-D1185DDBEB75}"/>
    <cellStyle name="Normal 8 6 4 3 3" xfId="23004" xr:uid="{5B05C598-28C7-4C36-AB0D-20FD50712ADB}"/>
    <cellStyle name="Normal 8 6 4 3 4" xfId="14563" xr:uid="{D1DF3BF7-D671-4802-9A8C-A1F61193F496}"/>
    <cellStyle name="Normal 8 6 4 4" xfId="27227" xr:uid="{E516D4F4-256C-4137-AA18-4F2C966FD7E5}"/>
    <cellStyle name="Normal 8 6 4 5" xfId="18786" xr:uid="{ACC83F8D-056E-420A-B5E0-347224DB3F2E}"/>
    <cellStyle name="Normal 8 6 4 6" xfId="10345" xr:uid="{E5AABAFF-16C6-411B-95D6-F8C8EEFCCE77}"/>
    <cellStyle name="Normal 8 6 5" xfId="2220" xr:uid="{00000000-0005-0000-0000-0000541E0000}"/>
    <cellStyle name="Normal 8 6 5 2" xfId="4449" xr:uid="{00000000-0005-0000-0000-0000551E0000}"/>
    <cellStyle name="Normal 8 6 5 2 2" xfId="8671" xr:uid="{00000000-0005-0000-0000-0000561E0000}"/>
    <cellStyle name="Normal 8 6 5 2 2 2" xfId="34003" xr:uid="{8D4EF2F6-342A-4B5E-BD48-58B79B5C1E56}"/>
    <cellStyle name="Normal 8 6 5 2 2 3" xfId="25562" xr:uid="{FAB98148-A98A-494D-978D-59ABA57E29E4}"/>
    <cellStyle name="Normal 8 6 5 2 2 4" xfId="17121" xr:uid="{1B3BF58F-BB1D-4C02-BFBE-1307BABFE4D1}"/>
    <cellStyle name="Normal 8 6 5 2 3" xfId="29785" xr:uid="{BEAC8119-7860-4DEC-9313-9CCE21C053A1}"/>
    <cellStyle name="Normal 8 6 5 2 4" xfId="21344" xr:uid="{0D9F9575-5E5C-49CE-9442-C715B412519F}"/>
    <cellStyle name="Normal 8 6 5 2 5" xfId="12903" xr:uid="{6E7F7943-2697-4089-B370-5A8D4F0A854B}"/>
    <cellStyle name="Normal 8 6 5 3" xfId="6526" xr:uid="{00000000-0005-0000-0000-0000571E0000}"/>
    <cellStyle name="Normal 8 6 5 3 2" xfId="31858" xr:uid="{8BD9FC04-B730-4C0B-8CD5-D3A0D3B52E31}"/>
    <cellStyle name="Normal 8 6 5 3 3" xfId="23417" xr:uid="{3EBA5E53-705C-4D7D-A393-9CBAAC70C36E}"/>
    <cellStyle name="Normal 8 6 5 3 4" xfId="14976" xr:uid="{E44C1C21-1914-412A-B213-DAC969C8A7D4}"/>
    <cellStyle name="Normal 8 6 5 4" xfId="27640" xr:uid="{113C0AF5-2789-4C98-B7A6-123F260EC2CE}"/>
    <cellStyle name="Normal 8 6 5 5" xfId="19199" xr:uid="{A2C4ECE1-EFD4-4D2E-8F2F-63321EEF2740}"/>
    <cellStyle name="Normal 8 6 5 6" xfId="10758" xr:uid="{3154FC03-9885-46FF-80FC-2685E91D6EAD}"/>
    <cellStyle name="Normal 8 6 6" xfId="2656" xr:uid="{00000000-0005-0000-0000-0000581E0000}"/>
    <cellStyle name="Normal 8 6 6 2" xfId="6939" xr:uid="{00000000-0005-0000-0000-0000591E0000}"/>
    <cellStyle name="Normal 8 6 6 2 2" xfId="32271" xr:uid="{8A3BE64E-5FFA-45E5-9470-30CB4677CD53}"/>
    <cellStyle name="Normal 8 6 6 2 3" xfId="23830" xr:uid="{4AC607D1-36E3-4AC6-B68D-969A9A3A36A2}"/>
    <cellStyle name="Normal 8 6 6 2 4" xfId="15389" xr:uid="{13F267BA-470B-40EE-8E18-1359A3F3ECAB}"/>
    <cellStyle name="Normal 8 6 6 3" xfId="28053" xr:uid="{73564414-896B-492B-8BC3-CFBE43F3A4A5}"/>
    <cellStyle name="Normal 8 6 6 4" xfId="19612" xr:uid="{BF7430FC-5285-4459-9319-8F1830671ACE}"/>
    <cellStyle name="Normal 8 6 6 5" xfId="11171" xr:uid="{C62FBEE7-4F54-442F-A363-6149B8D21FBB}"/>
    <cellStyle name="Normal 8 6 7" xfId="4874" xr:uid="{00000000-0005-0000-0000-00005A1E0000}"/>
    <cellStyle name="Normal 8 6 7 2" xfId="30206" xr:uid="{B975A36D-139C-48A9-A694-2AF0A13981DD}"/>
    <cellStyle name="Normal 8 6 7 3" xfId="21765" xr:uid="{0C4825B8-B93A-4A40-AB8D-2F7D1EE86246}"/>
    <cellStyle name="Normal 8 6 7 4" xfId="13324" xr:uid="{FFE251E6-206D-4678-970B-98566D9FD294}"/>
    <cellStyle name="Normal 8 6 8" xfId="25988" xr:uid="{FFF922FA-7713-439F-BCD0-88293E68E838}"/>
    <cellStyle name="Normal 8 6 9" xfId="17547" xr:uid="{0F3D68BB-57E8-4BB1-8493-B80D718A12B4}"/>
    <cellStyle name="Normal 8 7" xfId="945" xr:uid="{00000000-0005-0000-0000-00005B1E0000}"/>
    <cellStyle name="Normal 8 7 2" xfId="3179" xr:uid="{00000000-0005-0000-0000-00005C1E0000}"/>
    <cellStyle name="Normal 8 7 2 2" xfId="7401" xr:uid="{00000000-0005-0000-0000-00005D1E0000}"/>
    <cellStyle name="Normal 8 7 2 2 2" xfId="32733" xr:uid="{B7867C2B-0BD8-4B78-B9F5-45BDC830E541}"/>
    <cellStyle name="Normal 8 7 2 2 3" xfId="24292" xr:uid="{A57D5D43-7B17-49AC-AB3A-397470B0481F}"/>
    <cellStyle name="Normal 8 7 2 2 4" xfId="15851" xr:uid="{6C755F49-CE49-49ED-9BD0-15887B5A107A}"/>
    <cellStyle name="Normal 8 7 2 3" xfId="28515" xr:uid="{1DBE2267-3468-4BF5-A65F-9E0A1E74D461}"/>
    <cellStyle name="Normal 8 7 2 4" xfId="20074" xr:uid="{2B34F71B-F4C1-45B1-8E64-1832AF12FBC4}"/>
    <cellStyle name="Normal 8 7 2 5" xfId="11633" xr:uid="{7D7E13FB-A2CB-4022-92E8-6FCC7F523775}"/>
    <cellStyle name="Normal 8 7 3" xfId="5256" xr:uid="{00000000-0005-0000-0000-00005E1E0000}"/>
    <cellStyle name="Normal 8 7 3 2" xfId="30588" xr:uid="{876C6BE6-111F-448C-B327-50154A9CA305}"/>
    <cellStyle name="Normal 8 7 3 3" xfId="22147" xr:uid="{78590725-2E2C-4E9C-899B-56BA83B6017C}"/>
    <cellStyle name="Normal 8 7 3 4" xfId="13706" xr:uid="{0096EA54-1FBA-4684-9CB9-58691D2E1CB2}"/>
    <cellStyle name="Normal 8 7 4" xfId="26370" xr:uid="{268D800B-AF71-45E0-BE6F-B8D79EAE4E85}"/>
    <cellStyle name="Normal 8 7 5" xfId="17929" xr:uid="{3E8461CA-B945-4E8C-B04B-0716CB79B5AF}"/>
    <cellStyle name="Normal 8 7 6" xfId="9488" xr:uid="{F4490781-6549-4460-82C9-C2CA98309C27}"/>
    <cellStyle name="Normal 8 8" xfId="1362" xr:uid="{00000000-0005-0000-0000-00005F1E0000}"/>
    <cellStyle name="Normal 8 8 2" xfId="3592" xr:uid="{00000000-0005-0000-0000-0000601E0000}"/>
    <cellStyle name="Normal 8 8 2 2" xfId="7814" xr:uid="{00000000-0005-0000-0000-0000611E0000}"/>
    <cellStyle name="Normal 8 8 2 2 2" xfId="33146" xr:uid="{12A138B1-22BD-41C2-BC1B-A6DA948A0AE8}"/>
    <cellStyle name="Normal 8 8 2 2 3" xfId="24705" xr:uid="{37EBC3F7-8F12-454B-AFCE-553D4A63B38C}"/>
    <cellStyle name="Normal 8 8 2 2 4" xfId="16264" xr:uid="{CA847242-AD0A-47F5-9627-0A0C427AEEBD}"/>
    <cellStyle name="Normal 8 8 2 3" xfId="28928" xr:uid="{9D34E4CC-E85D-4182-B1B0-FCB16F42D2AD}"/>
    <cellStyle name="Normal 8 8 2 4" xfId="20487" xr:uid="{9031B5C3-7E86-49C1-B1E4-081B91DDD937}"/>
    <cellStyle name="Normal 8 8 2 5" xfId="12046" xr:uid="{6F45624D-0860-4434-A2A8-8662FD67B1B2}"/>
    <cellStyle name="Normal 8 8 3" xfId="5669" xr:uid="{00000000-0005-0000-0000-0000621E0000}"/>
    <cellStyle name="Normal 8 8 3 2" xfId="31001" xr:uid="{746DCAAB-7250-4D67-9F4E-70A2050D2EFA}"/>
    <cellStyle name="Normal 8 8 3 3" xfId="22560" xr:uid="{15600396-2AEB-4521-BA60-8E42A126985A}"/>
    <cellStyle name="Normal 8 8 3 4" xfId="14119" xr:uid="{099562D6-EE6D-40A7-9BCC-CE77E724B994}"/>
    <cellStyle name="Normal 8 8 4" xfId="26783" xr:uid="{343FDA60-DDCE-4DD4-BEBD-E61A591D12F6}"/>
    <cellStyle name="Normal 8 8 5" xfId="18342" xr:uid="{B82B60BC-34A1-4FD2-9CBC-49E31E8CA217}"/>
    <cellStyle name="Normal 8 8 6" xfId="9901" xr:uid="{D896FC1D-047F-4C76-9B3F-EBCEA90C64C4}"/>
    <cellStyle name="Normal 8 9" xfId="1775" xr:uid="{00000000-0005-0000-0000-0000631E0000}"/>
    <cellStyle name="Normal 8 9 2" xfId="4005" xr:uid="{00000000-0005-0000-0000-0000641E0000}"/>
    <cellStyle name="Normal 8 9 2 2" xfId="8227" xr:uid="{00000000-0005-0000-0000-0000651E0000}"/>
    <cellStyle name="Normal 8 9 2 2 2" xfId="33559" xr:uid="{E5194BBF-91F6-4FCD-BF14-80958228F879}"/>
    <cellStyle name="Normal 8 9 2 2 3" xfId="25118" xr:uid="{DD84BCF1-4C8E-420A-8AB0-8A0464A70FCD}"/>
    <cellStyle name="Normal 8 9 2 2 4" xfId="16677" xr:uid="{5FF941AA-95B9-4ED7-990D-78D5E84D5AC4}"/>
    <cellStyle name="Normal 8 9 2 3" xfId="29341" xr:uid="{CB34B02C-3695-476F-956F-266074B64984}"/>
    <cellStyle name="Normal 8 9 2 4" xfId="20900" xr:uid="{5F713098-EABD-45A4-BEC3-096362AC1069}"/>
    <cellStyle name="Normal 8 9 2 5" xfId="12459" xr:uid="{8A3C77EB-A438-41BF-9CE0-1B09D29C74DF}"/>
    <cellStyle name="Normal 8 9 3" xfId="6082" xr:uid="{00000000-0005-0000-0000-0000661E0000}"/>
    <cellStyle name="Normal 8 9 3 2" xfId="31414" xr:uid="{075092EE-0D5E-46C6-95AB-0833C7D65FF5}"/>
    <cellStyle name="Normal 8 9 3 3" xfId="22973" xr:uid="{40356B67-E26C-4958-8999-1351A5330652}"/>
    <cellStyle name="Normal 8 9 3 4" xfId="14532" xr:uid="{31D81661-04BC-4698-A9FE-18E08776C030}"/>
    <cellStyle name="Normal 8 9 4" xfId="27196" xr:uid="{1A85966B-ACBA-401D-99B7-447952336CD9}"/>
    <cellStyle name="Normal 8 9 5" xfId="18755" xr:uid="{F0C5127C-0BBB-4156-9C6D-3A222172517C}"/>
    <cellStyle name="Normal 8 9 6" xfId="10314" xr:uid="{8C8EE8A0-5DEC-480C-BB73-D0BA8AEDAB68}"/>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0 2 2" xfId="32272" xr:uid="{8AB3DA1A-DA4F-4930-8F85-B6D8F8A31902}"/>
    <cellStyle name="Normal 9 2 10 2 3" xfId="23831" xr:uid="{0C2C3272-F2C5-4AFB-8FC0-0B43A3E4A394}"/>
    <cellStyle name="Normal 9 2 10 2 4" xfId="15390" xr:uid="{135494FF-87D2-48AE-9A7C-A8306B8E9696}"/>
    <cellStyle name="Normal 9 2 10 3" xfId="28054" xr:uid="{CD9877D6-3145-4DA9-9D48-8FA33C21F1C6}"/>
    <cellStyle name="Normal 9 2 10 4" xfId="19613" xr:uid="{5165495F-7037-4A17-B2FD-C3AA19265F9D}"/>
    <cellStyle name="Normal 9 2 10 5" xfId="11172" xr:uid="{FC76A433-2BFC-42BF-AC80-C92849D23331}"/>
    <cellStyle name="Normal 9 2 11" xfId="4875" xr:uid="{00000000-0005-0000-0000-00006B1E0000}"/>
    <cellStyle name="Normal 9 2 11 2" xfId="30207" xr:uid="{A96CB6A0-1B43-4F1F-99A3-0FF373D85E0D}"/>
    <cellStyle name="Normal 9 2 11 3" xfId="21766" xr:uid="{99F360F8-71CF-408E-9558-FFC694A58119}"/>
    <cellStyle name="Normal 9 2 11 4" xfId="13325" xr:uid="{26CFE7AA-1529-4266-9F90-17A2B598AE93}"/>
    <cellStyle name="Normal 9 2 12" xfId="25989" xr:uid="{4A228F86-C9EF-449E-B05E-84A29D5CF9D0}"/>
    <cellStyle name="Normal 9 2 13" xfId="17548" xr:uid="{7D1B1F38-030C-4E64-999E-46D58C778119}"/>
    <cellStyle name="Normal 9 2 14" xfId="9107" xr:uid="{EC95DF59-0456-4BEC-9F1B-0EA187D68389}"/>
    <cellStyle name="Normal 9 2 2" xfId="512" xr:uid="{00000000-0005-0000-0000-00006C1E0000}"/>
    <cellStyle name="Normal 9 2 2 10" xfId="4876" xr:uid="{00000000-0005-0000-0000-00006D1E0000}"/>
    <cellStyle name="Normal 9 2 2 10 2" xfId="30208" xr:uid="{7BF83769-5C53-4FBC-9B06-5FDB3F72C6EE}"/>
    <cellStyle name="Normal 9 2 2 10 3" xfId="21767" xr:uid="{599D6F4C-94C7-46AC-AA74-E4B357B0CC91}"/>
    <cellStyle name="Normal 9 2 2 10 4" xfId="13326" xr:uid="{45CF91EF-6129-4E79-A8FE-D6120D6D0562}"/>
    <cellStyle name="Normal 9 2 2 11" xfId="25990" xr:uid="{5F7AEBB3-6247-4DA9-A17D-61FFD7C9F3F7}"/>
    <cellStyle name="Normal 9 2 2 12" xfId="17549" xr:uid="{92954358-45C8-4FD2-A68B-B180ECF13E5A}"/>
    <cellStyle name="Normal 9 2 2 13" xfId="9108" xr:uid="{059F395F-11F4-4A2F-8735-F4A2815BD008}"/>
    <cellStyle name="Normal 9 2 2 2" xfId="513" xr:uid="{00000000-0005-0000-0000-00006E1E0000}"/>
    <cellStyle name="Normal 9 2 2 2 10" xfId="25991" xr:uid="{3D836F3B-EA8C-4D01-BB58-F002D82235CF}"/>
    <cellStyle name="Normal 9 2 2 2 11" xfId="17550" xr:uid="{B2249814-14BC-493D-B4FA-1F9D5B05C5C6}"/>
    <cellStyle name="Normal 9 2 2 2 12" xfId="9109" xr:uid="{DF0F1561-7932-4179-944D-A4E497C6ADE1}"/>
    <cellStyle name="Normal 9 2 2 2 2" xfId="514" xr:uid="{00000000-0005-0000-0000-00006F1E0000}"/>
    <cellStyle name="Normal 9 2 2 2 2 10" xfId="17551" xr:uid="{9C36AE7E-2840-4040-9B3A-2F3AAEE6FE44}"/>
    <cellStyle name="Normal 9 2 2 2 2 11" xfId="9110" xr:uid="{8671BC29-FCE4-4F1D-9007-ACB88F25D717}"/>
    <cellStyle name="Normal 9 2 2 2 2 2" xfId="515" xr:uid="{00000000-0005-0000-0000-0000701E0000}"/>
    <cellStyle name="Normal 9 2 2 2 2 2 10" xfId="9111" xr:uid="{15C008C0-1068-4121-9128-2D95766C9BB8}"/>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2 2 2" xfId="32769" xr:uid="{BDF6C184-E345-4AB0-A62C-735B2243B792}"/>
    <cellStyle name="Normal 9 2 2 2 2 2 2 2 2 3" xfId="24328" xr:uid="{894B5EAF-24DD-4DB2-BCB9-8524BC572B1D}"/>
    <cellStyle name="Normal 9 2 2 2 2 2 2 2 2 4" xfId="15887" xr:uid="{24A059ED-6CBE-4D87-858A-706C35763BD1}"/>
    <cellStyle name="Normal 9 2 2 2 2 2 2 2 3" xfId="28551" xr:uid="{90D49A9D-6DA2-4A0A-9577-D9C7D5496101}"/>
    <cellStyle name="Normal 9 2 2 2 2 2 2 2 4" xfId="20110" xr:uid="{0BA80C1E-B43D-4BCF-B976-A10DBF2516FB}"/>
    <cellStyle name="Normal 9 2 2 2 2 2 2 2 5" xfId="11669" xr:uid="{37A09B02-751E-4307-B126-7957DA174FD6}"/>
    <cellStyle name="Normal 9 2 2 2 2 2 2 3" xfId="5292" xr:uid="{00000000-0005-0000-0000-0000741E0000}"/>
    <cellStyle name="Normal 9 2 2 2 2 2 2 3 2" xfId="30624" xr:uid="{A09AF0F1-4622-409F-B51D-C79251691829}"/>
    <cellStyle name="Normal 9 2 2 2 2 2 2 3 3" xfId="22183" xr:uid="{7EFB88C1-2F90-4D9B-9F3B-58DEE70673F3}"/>
    <cellStyle name="Normal 9 2 2 2 2 2 2 3 4" xfId="13742" xr:uid="{85A58C0B-2A1A-45A0-B595-EAC60BA8C91A}"/>
    <cellStyle name="Normal 9 2 2 2 2 2 2 4" xfId="26406" xr:uid="{DCDDEAD3-1A8A-4274-B46B-AE72ADC65D75}"/>
    <cellStyle name="Normal 9 2 2 2 2 2 2 5" xfId="17965" xr:uid="{317D84E2-1DC4-4484-9130-BC6AEFF0ECD0}"/>
    <cellStyle name="Normal 9 2 2 2 2 2 2 6" xfId="9524" xr:uid="{FC21BA90-E866-40FC-B765-6A6AC8FC782D}"/>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2 2 2" xfId="33182" xr:uid="{6B9BA957-2ABB-4EC6-86AB-191C948299E9}"/>
    <cellStyle name="Normal 9 2 2 2 2 2 3 2 2 3" xfId="24741" xr:uid="{91EB32D6-A106-40AB-AD65-D55590EFDBD1}"/>
    <cellStyle name="Normal 9 2 2 2 2 2 3 2 2 4" xfId="16300" xr:uid="{DF9BADEC-70B3-44F2-BEFF-B9C97143CAC0}"/>
    <cellStyle name="Normal 9 2 2 2 2 2 3 2 3" xfId="28964" xr:uid="{EC62AA84-0CED-4838-9394-294A129C159A}"/>
    <cellStyle name="Normal 9 2 2 2 2 2 3 2 4" xfId="20523" xr:uid="{52AB71EA-DF54-4319-80C4-A8DBA9ACA295}"/>
    <cellStyle name="Normal 9 2 2 2 2 2 3 2 5" xfId="12082" xr:uid="{0DD25BA8-2666-4EFB-92C6-7CF2D18C6407}"/>
    <cellStyle name="Normal 9 2 2 2 2 2 3 3" xfId="5705" xr:uid="{00000000-0005-0000-0000-0000781E0000}"/>
    <cellStyle name="Normal 9 2 2 2 2 2 3 3 2" xfId="31037" xr:uid="{5658DDDE-B857-400A-AE2A-A0985AA652DB}"/>
    <cellStyle name="Normal 9 2 2 2 2 2 3 3 3" xfId="22596" xr:uid="{DA140591-0B8A-41B7-B2A0-CB1F457E3987}"/>
    <cellStyle name="Normal 9 2 2 2 2 2 3 3 4" xfId="14155" xr:uid="{EF416EB8-D4A2-48CE-952D-8AF1200CD376}"/>
    <cellStyle name="Normal 9 2 2 2 2 2 3 4" xfId="26819" xr:uid="{2336F156-46BF-479E-A8D8-909C5A8F3180}"/>
    <cellStyle name="Normal 9 2 2 2 2 2 3 5" xfId="18378" xr:uid="{20966AFD-81E3-488F-86A5-B3A987A55B30}"/>
    <cellStyle name="Normal 9 2 2 2 2 2 3 6" xfId="9937" xr:uid="{590CC5B9-8038-4A60-A9F0-040CC990F0FA}"/>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2 2 2" xfId="33595" xr:uid="{07037038-37F2-4D49-97CF-AFAA2FE92200}"/>
    <cellStyle name="Normal 9 2 2 2 2 2 4 2 2 3" xfId="25154" xr:uid="{F1E9F261-A1DA-4AD0-8A8F-E927F9FAE95A}"/>
    <cellStyle name="Normal 9 2 2 2 2 2 4 2 2 4" xfId="16713" xr:uid="{0DD95B8E-4BB4-4018-A565-6ABF0AB87EDF}"/>
    <cellStyle name="Normal 9 2 2 2 2 2 4 2 3" xfId="29377" xr:uid="{73CA51C4-A43D-427A-B8A0-D148E9F2538A}"/>
    <cellStyle name="Normal 9 2 2 2 2 2 4 2 4" xfId="20936" xr:uid="{C344E04E-5EDA-4AC9-BD7A-C9598E2573CD}"/>
    <cellStyle name="Normal 9 2 2 2 2 2 4 2 5" xfId="12495" xr:uid="{B5240595-7E0D-4053-AF50-B5611DCBD538}"/>
    <cellStyle name="Normal 9 2 2 2 2 2 4 3" xfId="6118" xr:uid="{00000000-0005-0000-0000-00007C1E0000}"/>
    <cellStyle name="Normal 9 2 2 2 2 2 4 3 2" xfId="31450" xr:uid="{0C9FC6CB-47B8-4166-9DDE-75D84366989C}"/>
    <cellStyle name="Normal 9 2 2 2 2 2 4 3 3" xfId="23009" xr:uid="{5F8CE100-F8FD-4D2E-95C2-4D40D79A9F8C}"/>
    <cellStyle name="Normal 9 2 2 2 2 2 4 3 4" xfId="14568" xr:uid="{835CCA37-ABD0-4ACF-84B0-BB3A5FCA27BA}"/>
    <cellStyle name="Normal 9 2 2 2 2 2 4 4" xfId="27232" xr:uid="{19AAD34F-0C16-41F8-9581-602BAA04136F}"/>
    <cellStyle name="Normal 9 2 2 2 2 2 4 5" xfId="18791" xr:uid="{3A5F1D17-E6AF-4B3D-AE4C-86D676315109}"/>
    <cellStyle name="Normal 9 2 2 2 2 2 4 6" xfId="10350" xr:uid="{8BD807EF-9127-47C2-BF27-5082B400D1EF}"/>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2 2 2" xfId="34008" xr:uid="{3C022468-A292-4B95-BE1B-B7E6DC733F20}"/>
    <cellStyle name="Normal 9 2 2 2 2 2 5 2 2 3" xfId="25567" xr:uid="{AE717CB8-32D4-453E-B102-AFB606868E7A}"/>
    <cellStyle name="Normal 9 2 2 2 2 2 5 2 2 4" xfId="17126" xr:uid="{B86BBB8F-F22E-489D-953B-EA0AD3E3ABCB}"/>
    <cellStyle name="Normal 9 2 2 2 2 2 5 2 3" xfId="29790" xr:uid="{2093E2FA-773F-433F-93F1-B0DC6ACE006A}"/>
    <cellStyle name="Normal 9 2 2 2 2 2 5 2 4" xfId="21349" xr:uid="{D6EC5BAE-0CCA-4B6A-B691-F03D7F22E769}"/>
    <cellStyle name="Normal 9 2 2 2 2 2 5 2 5" xfId="12908" xr:uid="{E075A449-4EBA-45C6-A800-279540341E63}"/>
    <cellStyle name="Normal 9 2 2 2 2 2 5 3" xfId="6531" xr:uid="{00000000-0005-0000-0000-0000801E0000}"/>
    <cellStyle name="Normal 9 2 2 2 2 2 5 3 2" xfId="31863" xr:uid="{9A75C0F5-8D2F-4A7E-85FB-67A23B4715E1}"/>
    <cellStyle name="Normal 9 2 2 2 2 2 5 3 3" xfId="23422" xr:uid="{B08FD85D-46F2-4286-9350-3EA013F07AA0}"/>
    <cellStyle name="Normal 9 2 2 2 2 2 5 3 4" xfId="14981" xr:uid="{F471B477-50E5-4AF2-94C8-B666929369A3}"/>
    <cellStyle name="Normal 9 2 2 2 2 2 5 4" xfId="27645" xr:uid="{1BE2849C-381B-4F93-B9B0-E1C41AC5151F}"/>
    <cellStyle name="Normal 9 2 2 2 2 2 5 5" xfId="19204" xr:uid="{1E874C57-364D-44AE-A961-240CA0F1A7A3}"/>
    <cellStyle name="Normal 9 2 2 2 2 2 5 6" xfId="10763" xr:uid="{3A94BCAB-9930-4064-9A66-7D47D6F6AA84}"/>
    <cellStyle name="Normal 9 2 2 2 2 2 6" xfId="2661" xr:uid="{00000000-0005-0000-0000-0000811E0000}"/>
    <cellStyle name="Normal 9 2 2 2 2 2 6 2" xfId="6944" xr:uid="{00000000-0005-0000-0000-0000821E0000}"/>
    <cellStyle name="Normal 9 2 2 2 2 2 6 2 2" xfId="32276" xr:uid="{6D35932D-2569-45F9-9517-79762F2A3F62}"/>
    <cellStyle name="Normal 9 2 2 2 2 2 6 2 3" xfId="23835" xr:uid="{242C9A82-AD56-4593-9A9A-9EB3A11F3327}"/>
    <cellStyle name="Normal 9 2 2 2 2 2 6 2 4" xfId="15394" xr:uid="{2DF7FF2E-9353-46CF-8BB6-745CE6789797}"/>
    <cellStyle name="Normal 9 2 2 2 2 2 6 3" xfId="28058" xr:uid="{CCD0462D-FD51-4435-8D31-5EDE1C67C86F}"/>
    <cellStyle name="Normal 9 2 2 2 2 2 6 4" xfId="19617" xr:uid="{EB97B61C-F51E-46C2-8E0D-2B20731136C2}"/>
    <cellStyle name="Normal 9 2 2 2 2 2 6 5" xfId="11176" xr:uid="{E1EE22B7-D26C-4A89-BEFA-A7FFA114DA12}"/>
    <cellStyle name="Normal 9 2 2 2 2 2 7" xfId="4879" xr:uid="{00000000-0005-0000-0000-0000831E0000}"/>
    <cellStyle name="Normal 9 2 2 2 2 2 7 2" xfId="30211" xr:uid="{91FCC1E6-5968-4B8A-BB56-F8420FE77207}"/>
    <cellStyle name="Normal 9 2 2 2 2 2 7 3" xfId="21770" xr:uid="{9D4C2919-1AEE-44CF-8A79-D24EDB118704}"/>
    <cellStyle name="Normal 9 2 2 2 2 2 7 4" xfId="13329" xr:uid="{B78A022D-7DBA-42DD-B785-E423F81F3D2F}"/>
    <cellStyle name="Normal 9 2 2 2 2 2 8" xfId="25993" xr:uid="{A8E69E9D-9201-40DA-8094-3D2D23B0FA22}"/>
    <cellStyle name="Normal 9 2 2 2 2 2 9" xfId="17552" xr:uid="{8BB6A81F-EF58-4488-B604-DCC2673C1E33}"/>
    <cellStyle name="Normal 9 2 2 2 2 3" xfId="981" xr:uid="{00000000-0005-0000-0000-0000841E0000}"/>
    <cellStyle name="Normal 9 2 2 2 2 3 2" xfId="3214" xr:uid="{00000000-0005-0000-0000-0000851E0000}"/>
    <cellStyle name="Normal 9 2 2 2 2 3 2 2" xfId="7436" xr:uid="{00000000-0005-0000-0000-0000861E0000}"/>
    <cellStyle name="Normal 9 2 2 2 2 3 2 2 2" xfId="32768" xr:uid="{1CA59D4F-A208-4B4D-91EF-FC57464EABC3}"/>
    <cellStyle name="Normal 9 2 2 2 2 3 2 2 3" xfId="24327" xr:uid="{40F03C7D-60F7-4D28-8BB8-00E41E903A0D}"/>
    <cellStyle name="Normal 9 2 2 2 2 3 2 2 4" xfId="15886" xr:uid="{5C636D1A-BF5A-4B46-8B56-E32A02DEEB94}"/>
    <cellStyle name="Normal 9 2 2 2 2 3 2 3" xfId="28550" xr:uid="{2012609B-CBF5-4CF0-9634-E92903E24AB1}"/>
    <cellStyle name="Normal 9 2 2 2 2 3 2 4" xfId="20109" xr:uid="{EF0B1F3A-FDD4-46AE-9164-F88AED82EB0C}"/>
    <cellStyle name="Normal 9 2 2 2 2 3 2 5" xfId="11668" xr:uid="{EE5A7C47-65E1-4DF1-A75F-DBFF7314A9ED}"/>
    <cellStyle name="Normal 9 2 2 2 2 3 3" xfId="5291" xr:uid="{00000000-0005-0000-0000-0000871E0000}"/>
    <cellStyle name="Normal 9 2 2 2 2 3 3 2" xfId="30623" xr:uid="{B6B9E669-1B7D-43D3-ADFE-F64BA57FC946}"/>
    <cellStyle name="Normal 9 2 2 2 2 3 3 3" xfId="22182" xr:uid="{4C2F2EC0-C695-432F-BEED-8673B9708790}"/>
    <cellStyle name="Normal 9 2 2 2 2 3 3 4" xfId="13741" xr:uid="{CB7DAE67-0E6F-42A1-A5F5-8F45A33F3B17}"/>
    <cellStyle name="Normal 9 2 2 2 2 3 4" xfId="26405" xr:uid="{FC9F2A00-D3B1-49EC-BDFB-8F37C98C215B}"/>
    <cellStyle name="Normal 9 2 2 2 2 3 5" xfId="17964" xr:uid="{CB484D60-09C0-4DA5-8036-C0144D139F3C}"/>
    <cellStyle name="Normal 9 2 2 2 2 3 6" xfId="9523" xr:uid="{86D26664-14BB-417E-8AE7-F1E74F7DB7FD}"/>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2 2 2" xfId="33181" xr:uid="{4E496D0E-28C1-43E2-A2B0-E0A7CBE99772}"/>
    <cellStyle name="Normal 9 2 2 2 2 4 2 2 3" xfId="24740" xr:uid="{704E4AA2-5CE2-4F5F-B77E-E7D0642A57F1}"/>
    <cellStyle name="Normal 9 2 2 2 2 4 2 2 4" xfId="16299" xr:uid="{DB9453DB-DC52-4114-8C4A-94CFAD4F101B}"/>
    <cellStyle name="Normal 9 2 2 2 2 4 2 3" xfId="28963" xr:uid="{D42C241A-8783-4E24-849D-225FCA4E11A3}"/>
    <cellStyle name="Normal 9 2 2 2 2 4 2 4" xfId="20522" xr:uid="{D1FAB09C-0FD2-4202-9E8C-8197C43DA417}"/>
    <cellStyle name="Normal 9 2 2 2 2 4 2 5" xfId="12081" xr:uid="{7C86A21A-FACE-4493-96E6-DA520E7E1E06}"/>
    <cellStyle name="Normal 9 2 2 2 2 4 3" xfId="5704" xr:uid="{00000000-0005-0000-0000-00008B1E0000}"/>
    <cellStyle name="Normal 9 2 2 2 2 4 3 2" xfId="31036" xr:uid="{46317EAF-1DEB-4149-81F3-9E030D479037}"/>
    <cellStyle name="Normal 9 2 2 2 2 4 3 3" xfId="22595" xr:uid="{F47F5515-8FBF-489B-A22A-66A2DFD17049}"/>
    <cellStyle name="Normal 9 2 2 2 2 4 3 4" xfId="14154" xr:uid="{0A47DFD1-F390-48E4-B0B5-E4AAAF318638}"/>
    <cellStyle name="Normal 9 2 2 2 2 4 4" xfId="26818" xr:uid="{F6486C03-7ECC-4E55-A6A8-D35C6989B3D7}"/>
    <cellStyle name="Normal 9 2 2 2 2 4 5" xfId="18377" xr:uid="{53FE8859-B5A3-446B-BEFC-4991E6F83A34}"/>
    <cellStyle name="Normal 9 2 2 2 2 4 6" xfId="9936" xr:uid="{D71F04BD-0859-487D-9E5C-46B95F21809B}"/>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2 2 2" xfId="33594" xr:uid="{D32296AC-197D-4167-B598-22B5E79D4FFC}"/>
    <cellStyle name="Normal 9 2 2 2 2 5 2 2 3" xfId="25153" xr:uid="{D7D4ECD3-4936-42B8-9A2E-1AB608EDBF64}"/>
    <cellStyle name="Normal 9 2 2 2 2 5 2 2 4" xfId="16712" xr:uid="{A537BC85-1CFE-443E-A943-5999C7EF1ED7}"/>
    <cellStyle name="Normal 9 2 2 2 2 5 2 3" xfId="29376" xr:uid="{A6021065-D69C-464E-A51D-281C843C75EF}"/>
    <cellStyle name="Normal 9 2 2 2 2 5 2 4" xfId="20935" xr:uid="{2478BD86-99F3-409C-B03C-008945A89822}"/>
    <cellStyle name="Normal 9 2 2 2 2 5 2 5" xfId="12494" xr:uid="{7C68894C-1511-4E7B-BFD6-9B7882B1910A}"/>
    <cellStyle name="Normal 9 2 2 2 2 5 3" xfId="6117" xr:uid="{00000000-0005-0000-0000-00008F1E0000}"/>
    <cellStyle name="Normal 9 2 2 2 2 5 3 2" xfId="31449" xr:uid="{36CE9F01-E956-476B-963A-EC542A49F788}"/>
    <cellStyle name="Normal 9 2 2 2 2 5 3 3" xfId="23008" xr:uid="{19926D50-1BA5-4A0E-900F-6484C77BBC63}"/>
    <cellStyle name="Normal 9 2 2 2 2 5 3 4" xfId="14567" xr:uid="{B7DB4CB7-DA17-4D08-92D4-03CA404043F9}"/>
    <cellStyle name="Normal 9 2 2 2 2 5 4" xfId="27231" xr:uid="{34E6E63A-97F2-413F-89D5-3FBE34EEE826}"/>
    <cellStyle name="Normal 9 2 2 2 2 5 5" xfId="18790" xr:uid="{261FAD88-AEE7-40F2-9145-AEC2E8BE8EA2}"/>
    <cellStyle name="Normal 9 2 2 2 2 5 6" xfId="10349" xr:uid="{AF0C2040-D6FC-4A88-BFBA-4535274FC399}"/>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2 2 2" xfId="34007" xr:uid="{49536014-8EF1-4E8D-A512-8B8170B492FD}"/>
    <cellStyle name="Normal 9 2 2 2 2 6 2 2 3" xfId="25566" xr:uid="{76339ABE-3621-483F-BC13-C3D9B404B06F}"/>
    <cellStyle name="Normal 9 2 2 2 2 6 2 2 4" xfId="17125" xr:uid="{869994EF-DF76-4F77-B105-81F73BD49396}"/>
    <cellStyle name="Normal 9 2 2 2 2 6 2 3" xfId="29789" xr:uid="{0377F0C7-78BB-4261-BC76-4A8ED80EA3CF}"/>
    <cellStyle name="Normal 9 2 2 2 2 6 2 4" xfId="21348" xr:uid="{ACF28C6C-E37E-458C-A881-943CE1696F82}"/>
    <cellStyle name="Normal 9 2 2 2 2 6 2 5" xfId="12907" xr:uid="{48A495F4-7323-434C-97AB-771FF96E46A0}"/>
    <cellStyle name="Normal 9 2 2 2 2 6 3" xfId="6530" xr:uid="{00000000-0005-0000-0000-0000931E0000}"/>
    <cellStyle name="Normal 9 2 2 2 2 6 3 2" xfId="31862" xr:uid="{EB564D0F-9C6C-44B4-A5DD-456916AAE5D9}"/>
    <cellStyle name="Normal 9 2 2 2 2 6 3 3" xfId="23421" xr:uid="{3FD97225-D32D-46D0-911C-95EE2F000764}"/>
    <cellStyle name="Normal 9 2 2 2 2 6 3 4" xfId="14980" xr:uid="{EE7EE9E5-3139-4EA7-B15D-DF78C21F67FB}"/>
    <cellStyle name="Normal 9 2 2 2 2 6 4" xfId="27644" xr:uid="{B3B43BB9-0EF7-46B3-8EE1-9BBFD26A2221}"/>
    <cellStyle name="Normal 9 2 2 2 2 6 5" xfId="19203" xr:uid="{41D84316-C992-4A5A-B06A-7FAFD851ED1A}"/>
    <cellStyle name="Normal 9 2 2 2 2 6 6" xfId="10762" xr:uid="{AA3E5762-25FD-44F8-AEC3-4D1F0D5DBFE6}"/>
    <cellStyle name="Normal 9 2 2 2 2 7" xfId="2660" xr:uid="{00000000-0005-0000-0000-0000941E0000}"/>
    <cellStyle name="Normal 9 2 2 2 2 7 2" xfId="6943" xr:uid="{00000000-0005-0000-0000-0000951E0000}"/>
    <cellStyle name="Normal 9 2 2 2 2 7 2 2" xfId="32275" xr:uid="{C3BFBC69-2C81-4EAA-BF5E-90593CCE50ED}"/>
    <cellStyle name="Normal 9 2 2 2 2 7 2 3" xfId="23834" xr:uid="{4A6F8D61-99AC-4010-B043-C30DB307B1EB}"/>
    <cellStyle name="Normal 9 2 2 2 2 7 2 4" xfId="15393" xr:uid="{48581D68-D715-4A12-86BF-5DF4F84DA3E1}"/>
    <cellStyle name="Normal 9 2 2 2 2 7 3" xfId="28057" xr:uid="{940C8D6A-7A3B-46D6-A761-307D8E55F3E8}"/>
    <cellStyle name="Normal 9 2 2 2 2 7 4" xfId="19616" xr:uid="{210491BE-00E1-41FA-80EB-717FCDC631C0}"/>
    <cellStyle name="Normal 9 2 2 2 2 7 5" xfId="11175" xr:uid="{05090566-7FB9-4ED2-8861-0F29F3F862FE}"/>
    <cellStyle name="Normal 9 2 2 2 2 8" xfId="4878" xr:uid="{00000000-0005-0000-0000-0000961E0000}"/>
    <cellStyle name="Normal 9 2 2 2 2 8 2" xfId="30210" xr:uid="{A370B025-287F-423C-875A-D34094DCF4B3}"/>
    <cellStyle name="Normal 9 2 2 2 2 8 3" xfId="21769" xr:uid="{B5A06661-ECA9-411C-B764-B7E6331A71C9}"/>
    <cellStyle name="Normal 9 2 2 2 2 8 4" xfId="13328" xr:uid="{46C0D82E-C603-496D-BFF9-79561CB93155}"/>
    <cellStyle name="Normal 9 2 2 2 2 9" xfId="25992" xr:uid="{0BD29F59-853D-4032-840A-BBF8F816D829}"/>
    <cellStyle name="Normal 9 2 2 2 3" xfId="516" xr:uid="{00000000-0005-0000-0000-0000971E0000}"/>
    <cellStyle name="Normal 9 2 2 2 3 10" xfId="9112" xr:uid="{530D912C-0554-48A8-8D3F-5C6183048184}"/>
    <cellStyle name="Normal 9 2 2 2 3 2" xfId="983" xr:uid="{00000000-0005-0000-0000-0000981E0000}"/>
    <cellStyle name="Normal 9 2 2 2 3 2 2" xfId="3216" xr:uid="{00000000-0005-0000-0000-0000991E0000}"/>
    <cellStyle name="Normal 9 2 2 2 3 2 2 2" xfId="7438" xr:uid="{00000000-0005-0000-0000-00009A1E0000}"/>
    <cellStyle name="Normal 9 2 2 2 3 2 2 2 2" xfId="32770" xr:uid="{66BE304B-45FF-4335-B10C-D67EC6D1F006}"/>
    <cellStyle name="Normal 9 2 2 2 3 2 2 2 3" xfId="24329" xr:uid="{D58A75BA-C7F2-438F-8EF9-42931986402C}"/>
    <cellStyle name="Normal 9 2 2 2 3 2 2 2 4" xfId="15888" xr:uid="{3A96BBE9-E374-4DF7-99B3-6DD571C10F2C}"/>
    <cellStyle name="Normal 9 2 2 2 3 2 2 3" xfId="28552" xr:uid="{2C5E8DFE-ECED-421B-8AF0-B88583EE1020}"/>
    <cellStyle name="Normal 9 2 2 2 3 2 2 4" xfId="20111" xr:uid="{968AB1E9-8AB7-421D-8A29-C3B222445282}"/>
    <cellStyle name="Normal 9 2 2 2 3 2 2 5" xfId="11670" xr:uid="{CAE185D5-F2B5-4C4B-9357-803510C24EDB}"/>
    <cellStyle name="Normal 9 2 2 2 3 2 3" xfId="5293" xr:uid="{00000000-0005-0000-0000-00009B1E0000}"/>
    <cellStyle name="Normal 9 2 2 2 3 2 3 2" xfId="30625" xr:uid="{2F8483A8-A240-4A94-8F93-21A617382385}"/>
    <cellStyle name="Normal 9 2 2 2 3 2 3 3" xfId="22184" xr:uid="{103C7ED9-A6C8-4021-BDA0-27D90620A81F}"/>
    <cellStyle name="Normal 9 2 2 2 3 2 3 4" xfId="13743" xr:uid="{5DAD1600-05B4-4643-8453-79161E39FB74}"/>
    <cellStyle name="Normal 9 2 2 2 3 2 4" xfId="26407" xr:uid="{302CF0DD-EE8D-4DD6-AC7E-1C16368E5465}"/>
    <cellStyle name="Normal 9 2 2 2 3 2 5" xfId="17966" xr:uid="{3E063C87-880C-4D7E-912C-380FE91E5850}"/>
    <cellStyle name="Normal 9 2 2 2 3 2 6" xfId="9525" xr:uid="{5142B042-5E42-41A1-AC59-E1454A2E9A78}"/>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2 2 2" xfId="33183" xr:uid="{F741C2F9-9602-4301-B359-7F9BC39022DE}"/>
    <cellStyle name="Normal 9 2 2 2 3 3 2 2 3" xfId="24742" xr:uid="{2A68A3BA-5EBE-4CEC-AD64-014B4B3AF9ED}"/>
    <cellStyle name="Normal 9 2 2 2 3 3 2 2 4" xfId="16301" xr:uid="{A312CD9E-A567-48FD-834E-9E48AFCEC31A}"/>
    <cellStyle name="Normal 9 2 2 2 3 3 2 3" xfId="28965" xr:uid="{F34BE3E3-E6A2-469F-8EF0-37A784763614}"/>
    <cellStyle name="Normal 9 2 2 2 3 3 2 4" xfId="20524" xr:uid="{F73A6521-8D9C-4D38-B93A-ABCE0384A55F}"/>
    <cellStyle name="Normal 9 2 2 2 3 3 2 5" xfId="12083" xr:uid="{F37204AE-80CC-4682-84CB-21692FFED841}"/>
    <cellStyle name="Normal 9 2 2 2 3 3 3" xfId="5706" xr:uid="{00000000-0005-0000-0000-00009F1E0000}"/>
    <cellStyle name="Normal 9 2 2 2 3 3 3 2" xfId="31038" xr:uid="{3C047FC8-ED11-40D3-A075-8B9ED776CEAF}"/>
    <cellStyle name="Normal 9 2 2 2 3 3 3 3" xfId="22597" xr:uid="{F9F66062-A06D-4408-9EC0-2802B304EEF1}"/>
    <cellStyle name="Normal 9 2 2 2 3 3 3 4" xfId="14156" xr:uid="{A402DF7F-776D-43A8-BCDC-7E79AC1C20BA}"/>
    <cellStyle name="Normal 9 2 2 2 3 3 4" xfId="26820" xr:uid="{E1C3ADD6-5514-4B54-9A57-4D26918E9112}"/>
    <cellStyle name="Normal 9 2 2 2 3 3 5" xfId="18379" xr:uid="{158907C8-1513-4FBB-8B13-4EB59B2D6FAD}"/>
    <cellStyle name="Normal 9 2 2 2 3 3 6" xfId="9938" xr:uid="{AFD5ED86-E480-4D2E-82E3-A80EC8D49A25}"/>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2 2 2" xfId="33596" xr:uid="{BE3EC563-0BF9-4B73-9219-3F4589A87EBF}"/>
    <cellStyle name="Normal 9 2 2 2 3 4 2 2 3" xfId="25155" xr:uid="{AD4E735A-F342-497E-9E25-F2359E041BAC}"/>
    <cellStyle name="Normal 9 2 2 2 3 4 2 2 4" xfId="16714" xr:uid="{6CA92C7E-BCAE-4BA6-A365-A0B4A05C9D8B}"/>
    <cellStyle name="Normal 9 2 2 2 3 4 2 3" xfId="29378" xr:uid="{EC42A973-76BF-4FD4-AB02-8FC38731EBAA}"/>
    <cellStyle name="Normal 9 2 2 2 3 4 2 4" xfId="20937" xr:uid="{4AF04C06-9B90-4E07-BA73-6553D773AC63}"/>
    <cellStyle name="Normal 9 2 2 2 3 4 2 5" xfId="12496" xr:uid="{D0F1ADA7-4704-4FDC-96CA-0CE29841BD5A}"/>
    <cellStyle name="Normal 9 2 2 2 3 4 3" xfId="6119" xr:uid="{00000000-0005-0000-0000-0000A31E0000}"/>
    <cellStyle name="Normal 9 2 2 2 3 4 3 2" xfId="31451" xr:uid="{CD9D59EE-C1A4-4732-BBF9-26391DEB97A6}"/>
    <cellStyle name="Normal 9 2 2 2 3 4 3 3" xfId="23010" xr:uid="{1841524D-8D63-4C9B-8E44-E1280F23E787}"/>
    <cellStyle name="Normal 9 2 2 2 3 4 3 4" xfId="14569" xr:uid="{C41064FD-1E3B-40E4-A73B-8C52B7ED4B54}"/>
    <cellStyle name="Normal 9 2 2 2 3 4 4" xfId="27233" xr:uid="{932DD8FF-8BC4-4F78-BD60-E0C8DD025B8D}"/>
    <cellStyle name="Normal 9 2 2 2 3 4 5" xfId="18792" xr:uid="{61B0C54B-EDFA-4849-8F86-D96EFF1BD8CA}"/>
    <cellStyle name="Normal 9 2 2 2 3 4 6" xfId="10351" xr:uid="{4C7C1663-F8FC-4DBE-81D7-FF41D83F029B}"/>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2 2 2" xfId="34009" xr:uid="{100F4A86-87E1-4E93-B868-735C428D9B6F}"/>
    <cellStyle name="Normal 9 2 2 2 3 5 2 2 3" xfId="25568" xr:uid="{A06A7F2C-3C20-49B2-A439-2EE1B72C45B7}"/>
    <cellStyle name="Normal 9 2 2 2 3 5 2 2 4" xfId="17127" xr:uid="{EE84DBA1-D0E2-4257-B3BA-12DFFE29268F}"/>
    <cellStyle name="Normal 9 2 2 2 3 5 2 3" xfId="29791" xr:uid="{F78D40DE-0CC3-49C7-8EFB-45C27EA49B9A}"/>
    <cellStyle name="Normal 9 2 2 2 3 5 2 4" xfId="21350" xr:uid="{23D6E733-5EA2-43CA-BF7E-18074E332888}"/>
    <cellStyle name="Normal 9 2 2 2 3 5 2 5" xfId="12909" xr:uid="{3F1D9DEA-68DA-4C39-AA8E-9C0FF29D2505}"/>
    <cellStyle name="Normal 9 2 2 2 3 5 3" xfId="6532" xr:uid="{00000000-0005-0000-0000-0000A71E0000}"/>
    <cellStyle name="Normal 9 2 2 2 3 5 3 2" xfId="31864" xr:uid="{FD90EB24-262E-4408-B794-4F277EDBEE6C}"/>
    <cellStyle name="Normal 9 2 2 2 3 5 3 3" xfId="23423" xr:uid="{31EB079B-B513-44D0-B9D6-B0B3DB06C3AA}"/>
    <cellStyle name="Normal 9 2 2 2 3 5 3 4" xfId="14982" xr:uid="{482A2C4B-DF0F-4A33-BFC5-085AC33CD576}"/>
    <cellStyle name="Normal 9 2 2 2 3 5 4" xfId="27646" xr:uid="{6E9212C6-6E0B-4230-A9D6-6F03D031D6E1}"/>
    <cellStyle name="Normal 9 2 2 2 3 5 5" xfId="19205" xr:uid="{22716ED5-6D23-4B98-B3D4-4514811AB862}"/>
    <cellStyle name="Normal 9 2 2 2 3 5 6" xfId="10764" xr:uid="{10977EFA-D583-4E9F-9A9C-FE5B208441B4}"/>
    <cellStyle name="Normal 9 2 2 2 3 6" xfId="2662" xr:uid="{00000000-0005-0000-0000-0000A81E0000}"/>
    <cellStyle name="Normal 9 2 2 2 3 6 2" xfId="6945" xr:uid="{00000000-0005-0000-0000-0000A91E0000}"/>
    <cellStyle name="Normal 9 2 2 2 3 6 2 2" xfId="32277" xr:uid="{411D1D9B-1291-4037-9636-9E95B876EDD8}"/>
    <cellStyle name="Normal 9 2 2 2 3 6 2 3" xfId="23836" xr:uid="{A676D8DB-51C5-44BD-938A-82F85F9511ED}"/>
    <cellStyle name="Normal 9 2 2 2 3 6 2 4" xfId="15395" xr:uid="{66059361-3DC9-409D-91E4-EE6A8D431251}"/>
    <cellStyle name="Normal 9 2 2 2 3 6 3" xfId="28059" xr:uid="{30AF792B-8095-42B7-BB93-0D27B7FDEAF1}"/>
    <cellStyle name="Normal 9 2 2 2 3 6 4" xfId="19618" xr:uid="{5E51BD06-D523-41EF-A862-C1B874086411}"/>
    <cellStyle name="Normal 9 2 2 2 3 6 5" xfId="11177" xr:uid="{CFF221F2-5A4A-485F-8E24-61744539033B}"/>
    <cellStyle name="Normal 9 2 2 2 3 7" xfId="4880" xr:uid="{00000000-0005-0000-0000-0000AA1E0000}"/>
    <cellStyle name="Normal 9 2 2 2 3 7 2" xfId="30212" xr:uid="{4A59C113-17AD-48C1-8998-74DC898E50A9}"/>
    <cellStyle name="Normal 9 2 2 2 3 7 3" xfId="21771" xr:uid="{1AAD2D92-E429-4DC5-8CB4-37AE87DE604B}"/>
    <cellStyle name="Normal 9 2 2 2 3 7 4" xfId="13330" xr:uid="{CACBA754-2028-4FD3-BE91-6D29676C8F06}"/>
    <cellStyle name="Normal 9 2 2 2 3 8" xfId="25994" xr:uid="{6B4135E4-6F90-4E0D-976C-FD53BF664921}"/>
    <cellStyle name="Normal 9 2 2 2 3 9" xfId="17553" xr:uid="{80F06BC5-B5CF-4DF5-B701-A98FDB6C1793}"/>
    <cellStyle name="Normal 9 2 2 2 4" xfId="980" xr:uid="{00000000-0005-0000-0000-0000AB1E0000}"/>
    <cellStyle name="Normal 9 2 2 2 4 2" xfId="3213" xr:uid="{00000000-0005-0000-0000-0000AC1E0000}"/>
    <cellStyle name="Normal 9 2 2 2 4 2 2" xfId="7435" xr:uid="{00000000-0005-0000-0000-0000AD1E0000}"/>
    <cellStyle name="Normal 9 2 2 2 4 2 2 2" xfId="32767" xr:uid="{9AAE541F-8093-4321-B94A-E43AE191C784}"/>
    <cellStyle name="Normal 9 2 2 2 4 2 2 3" xfId="24326" xr:uid="{3E7F8BBA-CEBA-4F59-873D-6FC20C67312A}"/>
    <cellStyle name="Normal 9 2 2 2 4 2 2 4" xfId="15885" xr:uid="{CEAC377B-D5EF-46D2-BD75-332FEFA0A18F}"/>
    <cellStyle name="Normal 9 2 2 2 4 2 3" xfId="28549" xr:uid="{9659C44B-ABC9-4A79-823C-321FCF05BACB}"/>
    <cellStyle name="Normal 9 2 2 2 4 2 4" xfId="20108" xr:uid="{C1307563-862B-4583-9242-BF24D8568DD0}"/>
    <cellStyle name="Normal 9 2 2 2 4 2 5" xfId="11667" xr:uid="{6FFD55CF-8D5E-4479-BE33-826E10D4428A}"/>
    <cellStyle name="Normal 9 2 2 2 4 3" xfId="5290" xr:uid="{00000000-0005-0000-0000-0000AE1E0000}"/>
    <cellStyle name="Normal 9 2 2 2 4 3 2" xfId="30622" xr:uid="{0D230511-7F4B-4C63-AF5F-929620F486F8}"/>
    <cellStyle name="Normal 9 2 2 2 4 3 3" xfId="22181" xr:uid="{5F7940C9-492F-43AD-8D56-4E76CBF6BA86}"/>
    <cellStyle name="Normal 9 2 2 2 4 3 4" xfId="13740" xr:uid="{6F6559D4-3C57-4DA0-8275-C2AA5A0ACE01}"/>
    <cellStyle name="Normal 9 2 2 2 4 4" xfId="26404" xr:uid="{BE9B394F-BA48-4269-A98A-807B2B83A885}"/>
    <cellStyle name="Normal 9 2 2 2 4 5" xfId="17963" xr:uid="{288E2B72-226D-443F-8D5B-1EF70C31D70F}"/>
    <cellStyle name="Normal 9 2 2 2 4 6" xfId="9522" xr:uid="{5B4DADF3-8494-44A0-8F47-A6A0756F66CD}"/>
    <cellStyle name="Normal 9 2 2 2 5" xfId="1396" xr:uid="{00000000-0005-0000-0000-0000AF1E0000}"/>
    <cellStyle name="Normal 9 2 2 2 5 2" xfId="3626" xr:uid="{00000000-0005-0000-0000-0000B01E0000}"/>
    <cellStyle name="Normal 9 2 2 2 5 2 2" xfId="7848" xr:uid="{00000000-0005-0000-0000-0000B11E0000}"/>
    <cellStyle name="Normal 9 2 2 2 5 2 2 2" xfId="33180" xr:uid="{CEC72CC7-863C-43F4-A8EA-7D4EC02F45F1}"/>
    <cellStyle name="Normal 9 2 2 2 5 2 2 3" xfId="24739" xr:uid="{656BF095-7BBA-4C8F-871F-07F481023535}"/>
    <cellStyle name="Normal 9 2 2 2 5 2 2 4" xfId="16298" xr:uid="{C9AB3EA2-4098-4E0F-8AFC-759AB9620926}"/>
    <cellStyle name="Normal 9 2 2 2 5 2 3" xfId="28962" xr:uid="{18DE449E-3D41-4514-886D-F36135AAF127}"/>
    <cellStyle name="Normal 9 2 2 2 5 2 4" xfId="20521" xr:uid="{DC898E52-EDA5-40AF-8930-82060FDE6854}"/>
    <cellStyle name="Normal 9 2 2 2 5 2 5" xfId="12080" xr:uid="{C0C108C3-2257-448B-A327-1E0E209D7601}"/>
    <cellStyle name="Normal 9 2 2 2 5 3" xfId="5703" xr:uid="{00000000-0005-0000-0000-0000B21E0000}"/>
    <cellStyle name="Normal 9 2 2 2 5 3 2" xfId="31035" xr:uid="{A114EA2B-3AF0-4E00-9FBE-04E37D292A27}"/>
    <cellStyle name="Normal 9 2 2 2 5 3 3" xfId="22594" xr:uid="{C3E11EE4-FFB8-462D-813F-D0D815E30D00}"/>
    <cellStyle name="Normal 9 2 2 2 5 3 4" xfId="14153" xr:uid="{CC15D8C5-6CEC-4C6E-B2F2-F4E0F1B57F01}"/>
    <cellStyle name="Normal 9 2 2 2 5 4" xfId="26817" xr:uid="{A6EA0BAB-65DD-42FA-9AB6-349B92B0E446}"/>
    <cellStyle name="Normal 9 2 2 2 5 5" xfId="18376" xr:uid="{686AE8E8-4488-4828-B186-8C488981ECE9}"/>
    <cellStyle name="Normal 9 2 2 2 5 6" xfId="9935" xr:uid="{6AB4E539-2A56-4433-B95A-CD5CA5FE45F4}"/>
    <cellStyle name="Normal 9 2 2 2 6" xfId="1809" xr:uid="{00000000-0005-0000-0000-0000B31E0000}"/>
    <cellStyle name="Normal 9 2 2 2 6 2" xfId="4039" xr:uid="{00000000-0005-0000-0000-0000B41E0000}"/>
    <cellStyle name="Normal 9 2 2 2 6 2 2" xfId="8261" xr:uid="{00000000-0005-0000-0000-0000B51E0000}"/>
    <cellStyle name="Normal 9 2 2 2 6 2 2 2" xfId="33593" xr:uid="{1427B3EF-C949-4903-811B-4A77DBEACA21}"/>
    <cellStyle name="Normal 9 2 2 2 6 2 2 3" xfId="25152" xr:uid="{2291A7D1-E4D5-45AC-AE13-C950963E7D57}"/>
    <cellStyle name="Normal 9 2 2 2 6 2 2 4" xfId="16711" xr:uid="{285E11AD-34FE-4527-A2CD-4BAD29BE821B}"/>
    <cellStyle name="Normal 9 2 2 2 6 2 3" xfId="29375" xr:uid="{BE8EA300-AFFB-48BC-8CE7-D4423B6FEAB3}"/>
    <cellStyle name="Normal 9 2 2 2 6 2 4" xfId="20934" xr:uid="{109FCCBC-F8C7-44F0-A8AB-09B6BB31751B}"/>
    <cellStyle name="Normal 9 2 2 2 6 2 5" xfId="12493" xr:uid="{4A048114-16B0-4FA1-9E08-B0C41DD118C9}"/>
    <cellStyle name="Normal 9 2 2 2 6 3" xfId="6116" xr:uid="{00000000-0005-0000-0000-0000B61E0000}"/>
    <cellStyle name="Normal 9 2 2 2 6 3 2" xfId="31448" xr:uid="{71361A85-5332-41F7-A05D-AC579C953778}"/>
    <cellStyle name="Normal 9 2 2 2 6 3 3" xfId="23007" xr:uid="{C847D3AF-A986-4345-8E8D-6CF346DF0CD0}"/>
    <cellStyle name="Normal 9 2 2 2 6 3 4" xfId="14566" xr:uid="{A4F03E99-F609-40D3-A543-2677F95B2375}"/>
    <cellStyle name="Normal 9 2 2 2 6 4" xfId="27230" xr:uid="{DB1B95E6-3D69-44D2-B495-BA1F9F39F917}"/>
    <cellStyle name="Normal 9 2 2 2 6 5" xfId="18789" xr:uid="{3034C0AE-5794-4B87-BBF9-522A6DC6D6E4}"/>
    <cellStyle name="Normal 9 2 2 2 6 6" xfId="10348" xr:uid="{A0787156-CB41-4C62-B520-ED90AA45D5F0}"/>
    <cellStyle name="Normal 9 2 2 2 7" xfId="2223" xr:uid="{00000000-0005-0000-0000-0000B71E0000}"/>
    <cellStyle name="Normal 9 2 2 2 7 2" xfId="4452" xr:uid="{00000000-0005-0000-0000-0000B81E0000}"/>
    <cellStyle name="Normal 9 2 2 2 7 2 2" xfId="8674" xr:uid="{00000000-0005-0000-0000-0000B91E0000}"/>
    <cellStyle name="Normal 9 2 2 2 7 2 2 2" xfId="34006" xr:uid="{EB4D1C6B-4D02-4B55-820E-78F0B5A1F38A}"/>
    <cellStyle name="Normal 9 2 2 2 7 2 2 3" xfId="25565" xr:uid="{5715E3DC-C87C-4C25-969F-BE6ABFC284B1}"/>
    <cellStyle name="Normal 9 2 2 2 7 2 2 4" xfId="17124" xr:uid="{C7D5DA93-CEA0-4406-AC01-015F298D175F}"/>
    <cellStyle name="Normal 9 2 2 2 7 2 3" xfId="29788" xr:uid="{33EFB47A-85C4-4BF3-AC2F-776D55CBF7CA}"/>
    <cellStyle name="Normal 9 2 2 2 7 2 4" xfId="21347" xr:uid="{4806857B-6F7A-43ED-A88A-AA96C7BAD083}"/>
    <cellStyle name="Normal 9 2 2 2 7 2 5" xfId="12906" xr:uid="{B95E5BF6-7B1B-418C-96E8-A7710528DE92}"/>
    <cellStyle name="Normal 9 2 2 2 7 3" xfId="6529" xr:uid="{00000000-0005-0000-0000-0000BA1E0000}"/>
    <cellStyle name="Normal 9 2 2 2 7 3 2" xfId="31861" xr:uid="{72256B70-B2E5-4F5A-88B9-4529303E1C81}"/>
    <cellStyle name="Normal 9 2 2 2 7 3 3" xfId="23420" xr:uid="{A2E075BD-3C87-47C3-A2B8-CABBD480C18C}"/>
    <cellStyle name="Normal 9 2 2 2 7 3 4" xfId="14979" xr:uid="{2C9A54CB-A876-4EC3-8B4E-CABCA772DD9D}"/>
    <cellStyle name="Normal 9 2 2 2 7 4" xfId="27643" xr:uid="{6EC3B2E4-1994-4A13-9C54-AD73A17F3A94}"/>
    <cellStyle name="Normal 9 2 2 2 7 5" xfId="19202" xr:uid="{D94D1A6F-73DE-4D41-A462-BCB8482AD7B2}"/>
    <cellStyle name="Normal 9 2 2 2 7 6" xfId="10761" xr:uid="{0CD4E18C-FE98-4DC7-B579-2C19E28118DE}"/>
    <cellStyle name="Normal 9 2 2 2 8" xfId="2659" xr:uid="{00000000-0005-0000-0000-0000BB1E0000}"/>
    <cellStyle name="Normal 9 2 2 2 8 2" xfId="6942" xr:uid="{00000000-0005-0000-0000-0000BC1E0000}"/>
    <cellStyle name="Normal 9 2 2 2 8 2 2" xfId="32274" xr:uid="{0303DE0D-EE01-4BC0-8FAA-DBA2C3E60FFF}"/>
    <cellStyle name="Normal 9 2 2 2 8 2 3" xfId="23833" xr:uid="{4AC0F3D5-4FCE-41F0-B079-99CAAC65D6EC}"/>
    <cellStyle name="Normal 9 2 2 2 8 2 4" xfId="15392" xr:uid="{7A2D5674-EDEA-48D4-8FAB-7CE1E067C233}"/>
    <cellStyle name="Normal 9 2 2 2 8 3" xfId="28056" xr:uid="{DD24C9A0-E891-4E92-B894-C9F25DEB7240}"/>
    <cellStyle name="Normal 9 2 2 2 8 4" xfId="19615" xr:uid="{047A833F-1917-4C1C-B901-1A9F291DB067}"/>
    <cellStyle name="Normal 9 2 2 2 8 5" xfId="11174" xr:uid="{9CE5E6C5-1DA9-4CE2-B051-D0E46494F851}"/>
    <cellStyle name="Normal 9 2 2 2 9" xfId="4877" xr:uid="{00000000-0005-0000-0000-0000BD1E0000}"/>
    <cellStyle name="Normal 9 2 2 2 9 2" xfId="30209" xr:uid="{1EDF9306-81EC-4F2E-A8AB-23E3B5C1B772}"/>
    <cellStyle name="Normal 9 2 2 2 9 3" xfId="21768" xr:uid="{DDECF935-D6CF-41AE-876A-31FAE963D5ED}"/>
    <cellStyle name="Normal 9 2 2 2 9 4" xfId="13327" xr:uid="{EA9A1974-C5E7-490F-AD19-EBBEE957B867}"/>
    <cellStyle name="Normal 9 2 2 3" xfId="517" xr:uid="{00000000-0005-0000-0000-0000BE1E0000}"/>
    <cellStyle name="Normal 9 2 2 3 10" xfId="17554" xr:uid="{C88FE02E-07D2-4067-B786-E3D48E51D333}"/>
    <cellStyle name="Normal 9 2 2 3 11" xfId="9113" xr:uid="{2852C422-71EB-4071-AA9D-04C69061DF19}"/>
    <cellStyle name="Normal 9 2 2 3 2" xfId="518" xr:uid="{00000000-0005-0000-0000-0000BF1E0000}"/>
    <cellStyle name="Normal 9 2 2 3 2 10" xfId="9114" xr:uid="{1E79F16E-06A7-4707-8EA0-F958C851721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2 2 2" xfId="32772" xr:uid="{E7B1CE06-238A-4D5B-8D4B-6E32ED4DC65F}"/>
    <cellStyle name="Normal 9 2 2 3 2 2 2 2 3" xfId="24331" xr:uid="{C1B2C6BA-D614-484D-A6F7-E5766C7A0153}"/>
    <cellStyle name="Normal 9 2 2 3 2 2 2 2 4" xfId="15890" xr:uid="{07E81079-3E01-4E82-B400-4B83A95C5CF1}"/>
    <cellStyle name="Normal 9 2 2 3 2 2 2 3" xfId="28554" xr:uid="{EE53AA5C-71F9-4AC8-B23C-12C5313E1C07}"/>
    <cellStyle name="Normal 9 2 2 3 2 2 2 4" xfId="20113" xr:uid="{AAFF8DF3-AAE8-436A-954C-018C0C8C1993}"/>
    <cellStyle name="Normal 9 2 2 3 2 2 2 5" xfId="11672" xr:uid="{BA22C2C0-6885-4E4A-867F-38132293B756}"/>
    <cellStyle name="Normal 9 2 2 3 2 2 3" xfId="5295" xr:uid="{00000000-0005-0000-0000-0000C31E0000}"/>
    <cellStyle name="Normal 9 2 2 3 2 2 3 2" xfId="30627" xr:uid="{D7930DB1-6631-47BB-8C6B-D5138AC661F1}"/>
    <cellStyle name="Normal 9 2 2 3 2 2 3 3" xfId="22186" xr:uid="{C8306DCA-68E8-4C0D-ADC9-77CFF6C82140}"/>
    <cellStyle name="Normal 9 2 2 3 2 2 3 4" xfId="13745" xr:uid="{C34CCB1F-9966-4AC3-A3CE-6FC408BA4FE2}"/>
    <cellStyle name="Normal 9 2 2 3 2 2 4" xfId="26409" xr:uid="{CECC9F8B-947E-4D5F-9F72-E5EF017C9BB1}"/>
    <cellStyle name="Normal 9 2 2 3 2 2 5" xfId="17968" xr:uid="{EC10B73F-9D14-4EF3-81B2-19B99626AE0B}"/>
    <cellStyle name="Normal 9 2 2 3 2 2 6" xfId="9527" xr:uid="{1FEB03F1-045C-43FC-9D87-7AEF7778C5AB}"/>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2 2 2" xfId="33185" xr:uid="{48E6042B-19CF-497E-BC16-DD1C05CAB779}"/>
    <cellStyle name="Normal 9 2 2 3 2 3 2 2 3" xfId="24744" xr:uid="{0270B119-3FCC-4699-8AC4-A383CA21D283}"/>
    <cellStyle name="Normal 9 2 2 3 2 3 2 2 4" xfId="16303" xr:uid="{1F7FAB1C-8701-473D-BFA0-0F1E4220B1F5}"/>
    <cellStyle name="Normal 9 2 2 3 2 3 2 3" xfId="28967" xr:uid="{096DCD55-C310-4B92-92C4-04331F9E3ECF}"/>
    <cellStyle name="Normal 9 2 2 3 2 3 2 4" xfId="20526" xr:uid="{43FD5EEB-9D6E-485A-B8B7-0AE79945A60C}"/>
    <cellStyle name="Normal 9 2 2 3 2 3 2 5" xfId="12085" xr:uid="{71AB8C52-3BE7-4678-A86F-7A961082B23C}"/>
    <cellStyle name="Normal 9 2 2 3 2 3 3" xfId="5708" xr:uid="{00000000-0005-0000-0000-0000C71E0000}"/>
    <cellStyle name="Normal 9 2 2 3 2 3 3 2" xfId="31040" xr:uid="{0EC7E8AC-EEBE-49FC-BCCC-B8E68EFF5B11}"/>
    <cellStyle name="Normal 9 2 2 3 2 3 3 3" xfId="22599" xr:uid="{4965C342-7AD1-4243-9373-7B29E97CC2F2}"/>
    <cellStyle name="Normal 9 2 2 3 2 3 3 4" xfId="14158" xr:uid="{22EE2C22-4C75-4673-B857-559A6FE2208D}"/>
    <cellStyle name="Normal 9 2 2 3 2 3 4" xfId="26822" xr:uid="{1C89A717-D6C0-4031-B163-FE2389D105AF}"/>
    <cellStyle name="Normal 9 2 2 3 2 3 5" xfId="18381" xr:uid="{62869EA3-5444-441B-9779-57E1F2CA2C26}"/>
    <cellStyle name="Normal 9 2 2 3 2 3 6" xfId="9940" xr:uid="{01DEF7AB-5250-4406-B161-3F9364EC772B}"/>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2 2 2" xfId="33598" xr:uid="{30873FAA-B48D-432A-AA0D-798643CF8C32}"/>
    <cellStyle name="Normal 9 2 2 3 2 4 2 2 3" xfId="25157" xr:uid="{F414CA09-9088-47FC-8A66-B3CAB85260B9}"/>
    <cellStyle name="Normal 9 2 2 3 2 4 2 2 4" xfId="16716" xr:uid="{06FEC7E7-FEFF-4998-9D73-789F16E34DF6}"/>
    <cellStyle name="Normal 9 2 2 3 2 4 2 3" xfId="29380" xr:uid="{47237D3B-52E3-40A5-9719-95C7588A0F63}"/>
    <cellStyle name="Normal 9 2 2 3 2 4 2 4" xfId="20939" xr:uid="{F9F009A0-DA7D-4EEC-91CD-8B0454A36EBE}"/>
    <cellStyle name="Normal 9 2 2 3 2 4 2 5" xfId="12498" xr:uid="{AA86B31A-A8D9-471B-9559-2AEE8E303F2F}"/>
    <cellStyle name="Normal 9 2 2 3 2 4 3" xfId="6121" xr:uid="{00000000-0005-0000-0000-0000CB1E0000}"/>
    <cellStyle name="Normal 9 2 2 3 2 4 3 2" xfId="31453" xr:uid="{B0BF1507-D9A4-4560-8057-7C98863DD4AD}"/>
    <cellStyle name="Normal 9 2 2 3 2 4 3 3" xfId="23012" xr:uid="{2C2D359C-DBFB-492F-A8D3-5541CD6FDA07}"/>
    <cellStyle name="Normal 9 2 2 3 2 4 3 4" xfId="14571" xr:uid="{73988CE5-EB32-4914-87CF-5478882927A8}"/>
    <cellStyle name="Normal 9 2 2 3 2 4 4" xfId="27235" xr:uid="{48A6A8E8-162D-4CD7-B299-EFBD6AB8279A}"/>
    <cellStyle name="Normal 9 2 2 3 2 4 5" xfId="18794" xr:uid="{B2192E46-0C92-4E1A-8F66-07F9FAE5E202}"/>
    <cellStyle name="Normal 9 2 2 3 2 4 6" xfId="10353" xr:uid="{7C6A1329-FF77-4C6A-9C7A-9D7D5B719415}"/>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2 2 2" xfId="34011" xr:uid="{8E96754D-8239-41F5-B6B8-10DFB5AF431E}"/>
    <cellStyle name="Normal 9 2 2 3 2 5 2 2 3" xfId="25570" xr:uid="{0A3BFAFC-8A09-4907-8EC1-94E5F94B800B}"/>
    <cellStyle name="Normal 9 2 2 3 2 5 2 2 4" xfId="17129" xr:uid="{13143138-3469-4503-9B35-3C21638FE602}"/>
    <cellStyle name="Normal 9 2 2 3 2 5 2 3" xfId="29793" xr:uid="{5D4A14E0-1E64-4BE1-B42F-73FC423A4DE7}"/>
    <cellStyle name="Normal 9 2 2 3 2 5 2 4" xfId="21352" xr:uid="{83F65383-0745-41EF-8FBE-B14AC7C5D1FA}"/>
    <cellStyle name="Normal 9 2 2 3 2 5 2 5" xfId="12911" xr:uid="{6D2B120B-6CAD-4457-9774-D8D6EA65C2E6}"/>
    <cellStyle name="Normal 9 2 2 3 2 5 3" xfId="6534" xr:uid="{00000000-0005-0000-0000-0000CF1E0000}"/>
    <cellStyle name="Normal 9 2 2 3 2 5 3 2" xfId="31866" xr:uid="{17F619DD-2505-4138-99A9-D5831353800D}"/>
    <cellStyle name="Normal 9 2 2 3 2 5 3 3" xfId="23425" xr:uid="{6EAE3EBB-3344-4679-92EB-8143CEC347D2}"/>
    <cellStyle name="Normal 9 2 2 3 2 5 3 4" xfId="14984" xr:uid="{72A05599-1562-4E31-B8E4-522AC2BEFF20}"/>
    <cellStyle name="Normal 9 2 2 3 2 5 4" xfId="27648" xr:uid="{98DFB291-B7FB-4AA6-84F9-F8B4A5FCFBBC}"/>
    <cellStyle name="Normal 9 2 2 3 2 5 5" xfId="19207" xr:uid="{9F2F68E4-96FE-4EC6-A222-047E0C4AFAB8}"/>
    <cellStyle name="Normal 9 2 2 3 2 5 6" xfId="10766" xr:uid="{82B28CCA-4BC5-424D-B26A-43708AC75F4F}"/>
    <cellStyle name="Normal 9 2 2 3 2 6" xfId="2664" xr:uid="{00000000-0005-0000-0000-0000D01E0000}"/>
    <cellStyle name="Normal 9 2 2 3 2 6 2" xfId="6947" xr:uid="{00000000-0005-0000-0000-0000D11E0000}"/>
    <cellStyle name="Normal 9 2 2 3 2 6 2 2" xfId="32279" xr:uid="{28BCBF37-33BF-4741-8735-42131AD5B98C}"/>
    <cellStyle name="Normal 9 2 2 3 2 6 2 3" xfId="23838" xr:uid="{1246B9BF-2F0E-4787-B2C1-C2B6033CADCC}"/>
    <cellStyle name="Normal 9 2 2 3 2 6 2 4" xfId="15397" xr:uid="{53148A5B-FE98-4AC4-A97D-173C9CB05879}"/>
    <cellStyle name="Normal 9 2 2 3 2 6 3" xfId="28061" xr:uid="{2D4A1A75-581C-460F-85BE-75CA96B74474}"/>
    <cellStyle name="Normal 9 2 2 3 2 6 4" xfId="19620" xr:uid="{90E265C8-0FE4-4D68-8B26-C235E5EB32B8}"/>
    <cellStyle name="Normal 9 2 2 3 2 6 5" xfId="11179" xr:uid="{29F8C0F1-5BB0-46CE-B263-BB16E795A3EA}"/>
    <cellStyle name="Normal 9 2 2 3 2 7" xfId="4882" xr:uid="{00000000-0005-0000-0000-0000D21E0000}"/>
    <cellStyle name="Normal 9 2 2 3 2 7 2" xfId="30214" xr:uid="{411AFB4B-3E6D-40A4-953E-1581D3B6F5F3}"/>
    <cellStyle name="Normal 9 2 2 3 2 7 3" xfId="21773" xr:uid="{7423273C-75D3-4721-BBE3-75B2128A9150}"/>
    <cellStyle name="Normal 9 2 2 3 2 7 4" xfId="13332" xr:uid="{2975EA92-E712-42A2-92BF-3C84F107D474}"/>
    <cellStyle name="Normal 9 2 2 3 2 8" xfId="25996" xr:uid="{43182633-4CB9-43CA-82BC-6A56E13C47AA}"/>
    <cellStyle name="Normal 9 2 2 3 2 9" xfId="17555" xr:uid="{B9E3C74D-1AE8-42BD-96BF-6F6CBD8B03FD}"/>
    <cellStyle name="Normal 9 2 2 3 3" xfId="984" xr:uid="{00000000-0005-0000-0000-0000D31E0000}"/>
    <cellStyle name="Normal 9 2 2 3 3 2" xfId="3217" xr:uid="{00000000-0005-0000-0000-0000D41E0000}"/>
    <cellStyle name="Normal 9 2 2 3 3 2 2" xfId="7439" xr:uid="{00000000-0005-0000-0000-0000D51E0000}"/>
    <cellStyle name="Normal 9 2 2 3 3 2 2 2" xfId="32771" xr:uid="{39093062-77D7-4718-A0DE-B91DECCA7ECC}"/>
    <cellStyle name="Normal 9 2 2 3 3 2 2 3" xfId="24330" xr:uid="{04EBF45F-D67B-4C41-924E-62CD8A84A56E}"/>
    <cellStyle name="Normal 9 2 2 3 3 2 2 4" xfId="15889" xr:uid="{64129FF3-9FB7-4BCE-8E21-585A2F58182B}"/>
    <cellStyle name="Normal 9 2 2 3 3 2 3" xfId="28553" xr:uid="{3F4B154E-C371-4B5D-87E6-43FC4C924708}"/>
    <cellStyle name="Normal 9 2 2 3 3 2 4" xfId="20112" xr:uid="{4E057FB6-3AC9-4AEC-8967-6CAF1F396F51}"/>
    <cellStyle name="Normal 9 2 2 3 3 2 5" xfId="11671" xr:uid="{725020CB-C876-45E5-8362-517969FC373E}"/>
    <cellStyle name="Normal 9 2 2 3 3 3" xfId="5294" xr:uid="{00000000-0005-0000-0000-0000D61E0000}"/>
    <cellStyle name="Normal 9 2 2 3 3 3 2" xfId="30626" xr:uid="{0DC84888-F9D0-4AFC-BDD9-CF451BCEE4FD}"/>
    <cellStyle name="Normal 9 2 2 3 3 3 3" xfId="22185" xr:uid="{18A7715C-B2B0-4953-A41A-DF2C3435178C}"/>
    <cellStyle name="Normal 9 2 2 3 3 3 4" xfId="13744" xr:uid="{B3FE88BE-79BA-4A06-831D-B0E5B2A6CFAB}"/>
    <cellStyle name="Normal 9 2 2 3 3 4" xfId="26408" xr:uid="{FF0EB4A4-192E-41F4-A7B5-F2C05F849D7B}"/>
    <cellStyle name="Normal 9 2 2 3 3 5" xfId="17967" xr:uid="{55DBE7D0-D951-4190-A2AF-DA60EF236B93}"/>
    <cellStyle name="Normal 9 2 2 3 3 6" xfId="9526" xr:uid="{1626AFFF-2EE6-45CF-8E5D-C57DE954D548}"/>
    <cellStyle name="Normal 9 2 2 3 4" xfId="1400" xr:uid="{00000000-0005-0000-0000-0000D71E0000}"/>
    <cellStyle name="Normal 9 2 2 3 4 2" xfId="3630" xr:uid="{00000000-0005-0000-0000-0000D81E0000}"/>
    <cellStyle name="Normal 9 2 2 3 4 2 2" xfId="7852" xr:uid="{00000000-0005-0000-0000-0000D91E0000}"/>
    <cellStyle name="Normal 9 2 2 3 4 2 2 2" xfId="33184" xr:uid="{DDE35C10-E75F-4528-A0D3-95B4C5218284}"/>
    <cellStyle name="Normal 9 2 2 3 4 2 2 3" xfId="24743" xr:uid="{A1E73CEF-2848-4C77-BE24-4D161283CFE0}"/>
    <cellStyle name="Normal 9 2 2 3 4 2 2 4" xfId="16302" xr:uid="{77D951A7-5910-4802-B792-42F4B93CA1D3}"/>
    <cellStyle name="Normal 9 2 2 3 4 2 3" xfId="28966" xr:uid="{BEA77803-8945-4C5C-9BBA-EF9A655078B9}"/>
    <cellStyle name="Normal 9 2 2 3 4 2 4" xfId="20525" xr:uid="{6ED58127-6C5F-49D4-94BD-B64BB5EF752B}"/>
    <cellStyle name="Normal 9 2 2 3 4 2 5" xfId="12084" xr:uid="{A2DC2060-19C4-40EE-9F7B-95F28EA488CA}"/>
    <cellStyle name="Normal 9 2 2 3 4 3" xfId="5707" xr:uid="{00000000-0005-0000-0000-0000DA1E0000}"/>
    <cellStyle name="Normal 9 2 2 3 4 3 2" xfId="31039" xr:uid="{C9809C4B-8DBD-47FA-A585-32E0C5B64091}"/>
    <cellStyle name="Normal 9 2 2 3 4 3 3" xfId="22598" xr:uid="{E8129835-DC56-4DB7-962F-8C04F10DDB7D}"/>
    <cellStyle name="Normal 9 2 2 3 4 3 4" xfId="14157" xr:uid="{7485CCA9-66AB-4949-9A67-B28B06433C32}"/>
    <cellStyle name="Normal 9 2 2 3 4 4" xfId="26821" xr:uid="{BCD0C4C5-4F7B-42A6-A5B5-9ED418E622AF}"/>
    <cellStyle name="Normal 9 2 2 3 4 5" xfId="18380" xr:uid="{CCCED896-4197-439B-BABE-298BF02AE7A4}"/>
    <cellStyle name="Normal 9 2 2 3 4 6" xfId="9939" xr:uid="{EE65CD01-347A-4D28-BFD4-1EF6612EB396}"/>
    <cellStyle name="Normal 9 2 2 3 5" xfId="1813" xr:uid="{00000000-0005-0000-0000-0000DB1E0000}"/>
    <cellStyle name="Normal 9 2 2 3 5 2" xfId="4043" xr:uid="{00000000-0005-0000-0000-0000DC1E0000}"/>
    <cellStyle name="Normal 9 2 2 3 5 2 2" xfId="8265" xr:uid="{00000000-0005-0000-0000-0000DD1E0000}"/>
    <cellStyle name="Normal 9 2 2 3 5 2 2 2" xfId="33597" xr:uid="{4E74DFBF-5BE1-44DF-9FD0-6235B16AD4B9}"/>
    <cellStyle name="Normal 9 2 2 3 5 2 2 3" xfId="25156" xr:uid="{76B0DFD8-A5C0-4A61-9053-00B683255E9B}"/>
    <cellStyle name="Normal 9 2 2 3 5 2 2 4" xfId="16715" xr:uid="{5058EBB3-79A9-4ABE-ADF2-509606A39DC7}"/>
    <cellStyle name="Normal 9 2 2 3 5 2 3" xfId="29379" xr:uid="{86DD2D09-505C-4F48-8B57-A837B0993001}"/>
    <cellStyle name="Normal 9 2 2 3 5 2 4" xfId="20938" xr:uid="{67B91C82-CA3E-4C0B-8172-3F7B3B8185DE}"/>
    <cellStyle name="Normal 9 2 2 3 5 2 5" xfId="12497" xr:uid="{C9F543AD-980E-47FB-B980-1F4026A34E29}"/>
    <cellStyle name="Normal 9 2 2 3 5 3" xfId="6120" xr:uid="{00000000-0005-0000-0000-0000DE1E0000}"/>
    <cellStyle name="Normal 9 2 2 3 5 3 2" xfId="31452" xr:uid="{D96ABA87-2E34-42BD-A913-5FE044BF1461}"/>
    <cellStyle name="Normal 9 2 2 3 5 3 3" xfId="23011" xr:uid="{27574293-8224-4D8F-B82E-7274494785F8}"/>
    <cellStyle name="Normal 9 2 2 3 5 3 4" xfId="14570" xr:uid="{96090E5B-3FE1-41E5-8093-A3A48697095D}"/>
    <cellStyle name="Normal 9 2 2 3 5 4" xfId="27234" xr:uid="{3A2E4B78-451A-4633-9E4B-A9213649F37F}"/>
    <cellStyle name="Normal 9 2 2 3 5 5" xfId="18793" xr:uid="{71ED9ECB-2858-4845-99A5-84F73F426AE6}"/>
    <cellStyle name="Normal 9 2 2 3 5 6" xfId="10352" xr:uid="{17B3320E-165C-4D69-8192-7BF380EC1845}"/>
    <cellStyle name="Normal 9 2 2 3 6" xfId="2227" xr:uid="{00000000-0005-0000-0000-0000DF1E0000}"/>
    <cellStyle name="Normal 9 2 2 3 6 2" xfId="4456" xr:uid="{00000000-0005-0000-0000-0000E01E0000}"/>
    <cellStyle name="Normal 9 2 2 3 6 2 2" xfId="8678" xr:uid="{00000000-0005-0000-0000-0000E11E0000}"/>
    <cellStyle name="Normal 9 2 2 3 6 2 2 2" xfId="34010" xr:uid="{DCB04C17-C704-4992-8512-BBB047461FFC}"/>
    <cellStyle name="Normal 9 2 2 3 6 2 2 3" xfId="25569" xr:uid="{3D8D1A75-687F-46A2-9523-90A5D325F7DE}"/>
    <cellStyle name="Normal 9 2 2 3 6 2 2 4" xfId="17128" xr:uid="{C5C9C0F9-FAC1-4F7B-82BC-DC500A371290}"/>
    <cellStyle name="Normal 9 2 2 3 6 2 3" xfId="29792" xr:uid="{D3F186F9-C8E0-44FC-A0DF-60BC9A038DC9}"/>
    <cellStyle name="Normal 9 2 2 3 6 2 4" xfId="21351" xr:uid="{42E2EF27-1BCD-41EF-95A0-C204B206045E}"/>
    <cellStyle name="Normal 9 2 2 3 6 2 5" xfId="12910" xr:uid="{37783525-B0BB-48B8-9C78-E23275526D20}"/>
    <cellStyle name="Normal 9 2 2 3 6 3" xfId="6533" xr:uid="{00000000-0005-0000-0000-0000E21E0000}"/>
    <cellStyle name="Normal 9 2 2 3 6 3 2" xfId="31865" xr:uid="{91B81E62-68BC-4BA8-A734-9D142123A5F5}"/>
    <cellStyle name="Normal 9 2 2 3 6 3 3" xfId="23424" xr:uid="{2F05C674-E649-4283-AC1E-DC53CDE90120}"/>
    <cellStyle name="Normal 9 2 2 3 6 3 4" xfId="14983" xr:uid="{1F5D380D-C4BF-4D91-8081-BDE5A8F6F864}"/>
    <cellStyle name="Normal 9 2 2 3 6 4" xfId="27647" xr:uid="{F23A3EED-94B9-4828-88C9-C1CC8C7FC336}"/>
    <cellStyle name="Normal 9 2 2 3 6 5" xfId="19206" xr:uid="{034FD9C4-5838-43C2-A522-A7DAC4607882}"/>
    <cellStyle name="Normal 9 2 2 3 6 6" xfId="10765" xr:uid="{91C8B79E-25E4-42F3-A49C-112B5C473C64}"/>
    <cellStyle name="Normal 9 2 2 3 7" xfId="2663" xr:uid="{00000000-0005-0000-0000-0000E31E0000}"/>
    <cellStyle name="Normal 9 2 2 3 7 2" xfId="6946" xr:uid="{00000000-0005-0000-0000-0000E41E0000}"/>
    <cellStyle name="Normal 9 2 2 3 7 2 2" xfId="32278" xr:uid="{39314209-3997-4861-BE59-DA8A5E93FC83}"/>
    <cellStyle name="Normal 9 2 2 3 7 2 3" xfId="23837" xr:uid="{49EC3181-7EDE-409E-898E-40920D124B50}"/>
    <cellStyle name="Normal 9 2 2 3 7 2 4" xfId="15396" xr:uid="{2BD7523E-3828-4D20-B41E-2EE3D7DB64D0}"/>
    <cellStyle name="Normal 9 2 2 3 7 3" xfId="28060" xr:uid="{0F9043B1-833F-473B-AB1F-E53BE92EC444}"/>
    <cellStyle name="Normal 9 2 2 3 7 4" xfId="19619" xr:uid="{FEC038B7-28EB-41FC-B1F0-3FEBA11812A2}"/>
    <cellStyle name="Normal 9 2 2 3 7 5" xfId="11178" xr:uid="{1C6F3964-F73A-4ADB-96E1-73C044FBE0CA}"/>
    <cellStyle name="Normal 9 2 2 3 8" xfId="4881" xr:uid="{00000000-0005-0000-0000-0000E51E0000}"/>
    <cellStyle name="Normal 9 2 2 3 8 2" xfId="30213" xr:uid="{7E45C780-0014-44F4-92B7-C0C8E4E82020}"/>
    <cellStyle name="Normal 9 2 2 3 8 3" xfId="21772" xr:uid="{5EB05CB4-566E-4768-BC22-6B580BD3278D}"/>
    <cellStyle name="Normal 9 2 2 3 8 4" xfId="13331" xr:uid="{4B77F5E4-8ACC-44F4-8A1D-4E6938164F9B}"/>
    <cellStyle name="Normal 9 2 2 3 9" xfId="25995" xr:uid="{E84D1BAE-91ED-4237-AAF3-A33DAFA39AC4}"/>
    <cellStyle name="Normal 9 2 2 4" xfId="519" xr:uid="{00000000-0005-0000-0000-0000E61E0000}"/>
    <cellStyle name="Normal 9 2 2 4 10" xfId="9115" xr:uid="{EBDFA782-E523-47D0-A0AD-4AB25F4B159D}"/>
    <cellStyle name="Normal 9 2 2 4 2" xfId="986" xr:uid="{00000000-0005-0000-0000-0000E71E0000}"/>
    <cellStyle name="Normal 9 2 2 4 2 2" xfId="3219" xr:uid="{00000000-0005-0000-0000-0000E81E0000}"/>
    <cellStyle name="Normal 9 2 2 4 2 2 2" xfId="7441" xr:uid="{00000000-0005-0000-0000-0000E91E0000}"/>
    <cellStyle name="Normal 9 2 2 4 2 2 2 2" xfId="32773" xr:uid="{B95F8005-EFEE-40C3-804B-15E1580A1884}"/>
    <cellStyle name="Normal 9 2 2 4 2 2 2 3" xfId="24332" xr:uid="{B7F0814A-B100-4F34-8B42-548E890DFDC9}"/>
    <cellStyle name="Normal 9 2 2 4 2 2 2 4" xfId="15891" xr:uid="{71D967A5-4873-4137-9336-B8B00E59E9C7}"/>
    <cellStyle name="Normal 9 2 2 4 2 2 3" xfId="28555" xr:uid="{19F14068-0CDF-4CB0-B07D-58E13AE0D9EB}"/>
    <cellStyle name="Normal 9 2 2 4 2 2 4" xfId="20114" xr:uid="{1BD27747-10AF-4D5A-8DD2-77125A216E8A}"/>
    <cellStyle name="Normal 9 2 2 4 2 2 5" xfId="11673" xr:uid="{ABE7FB40-8A59-42A0-9069-423B302D1387}"/>
    <cellStyle name="Normal 9 2 2 4 2 3" xfId="5296" xr:uid="{00000000-0005-0000-0000-0000EA1E0000}"/>
    <cellStyle name="Normal 9 2 2 4 2 3 2" xfId="30628" xr:uid="{571C75AA-9E0C-4116-92F0-C87870931923}"/>
    <cellStyle name="Normal 9 2 2 4 2 3 3" xfId="22187" xr:uid="{365F8A91-EA46-4476-8071-E47C0C868C76}"/>
    <cellStyle name="Normal 9 2 2 4 2 3 4" xfId="13746" xr:uid="{12D22902-CD1B-4952-8F2E-B3409B2EE467}"/>
    <cellStyle name="Normal 9 2 2 4 2 4" xfId="26410" xr:uid="{AAABC3E9-9A82-41C2-B84B-5E3B7DF4617B}"/>
    <cellStyle name="Normal 9 2 2 4 2 5" xfId="17969" xr:uid="{8710A14C-252C-4686-B8BE-4E42A74071FA}"/>
    <cellStyle name="Normal 9 2 2 4 2 6" xfId="9528" xr:uid="{2B5E33A4-1EDA-4177-87EF-4AF9BE6914A4}"/>
    <cellStyle name="Normal 9 2 2 4 3" xfId="1402" xr:uid="{00000000-0005-0000-0000-0000EB1E0000}"/>
    <cellStyle name="Normal 9 2 2 4 3 2" xfId="3632" xr:uid="{00000000-0005-0000-0000-0000EC1E0000}"/>
    <cellStyle name="Normal 9 2 2 4 3 2 2" xfId="7854" xr:uid="{00000000-0005-0000-0000-0000ED1E0000}"/>
    <cellStyle name="Normal 9 2 2 4 3 2 2 2" xfId="33186" xr:uid="{166135E0-88C1-48A4-A881-95F99CC3D686}"/>
    <cellStyle name="Normal 9 2 2 4 3 2 2 3" xfId="24745" xr:uid="{A168415B-4047-4D6B-B0EB-CD16FAD7EA1E}"/>
    <cellStyle name="Normal 9 2 2 4 3 2 2 4" xfId="16304" xr:uid="{9554C4C4-710F-4588-8ADB-67B5CB4A0E68}"/>
    <cellStyle name="Normal 9 2 2 4 3 2 3" xfId="28968" xr:uid="{DC53E75E-C7DE-48F1-8EA5-033985730ACA}"/>
    <cellStyle name="Normal 9 2 2 4 3 2 4" xfId="20527" xr:uid="{2C480434-7862-4F70-AA24-5BC1804FD357}"/>
    <cellStyle name="Normal 9 2 2 4 3 2 5" xfId="12086" xr:uid="{AF501491-D807-4A8C-94B3-98D32D974FFF}"/>
    <cellStyle name="Normal 9 2 2 4 3 3" xfId="5709" xr:uid="{00000000-0005-0000-0000-0000EE1E0000}"/>
    <cellStyle name="Normal 9 2 2 4 3 3 2" xfId="31041" xr:uid="{C3D265A3-76CA-42E1-AEFC-96E5F1B217AF}"/>
    <cellStyle name="Normal 9 2 2 4 3 3 3" xfId="22600" xr:uid="{001C4A68-097A-4F79-956D-ECBBC1C273C9}"/>
    <cellStyle name="Normal 9 2 2 4 3 3 4" xfId="14159" xr:uid="{1A252EDF-299B-48EA-BB10-ED161D9F9ADA}"/>
    <cellStyle name="Normal 9 2 2 4 3 4" xfId="26823" xr:uid="{7502912D-3F93-4C06-854A-A9CE06C55A8E}"/>
    <cellStyle name="Normal 9 2 2 4 3 5" xfId="18382" xr:uid="{4CFE8162-CCBA-4B70-9283-1E0443939296}"/>
    <cellStyle name="Normal 9 2 2 4 3 6" xfId="9941" xr:uid="{6272ACB1-26EA-4D52-8F7C-D84D13E7310B}"/>
    <cellStyle name="Normal 9 2 2 4 4" xfId="1815" xr:uid="{00000000-0005-0000-0000-0000EF1E0000}"/>
    <cellStyle name="Normal 9 2 2 4 4 2" xfId="4045" xr:uid="{00000000-0005-0000-0000-0000F01E0000}"/>
    <cellStyle name="Normal 9 2 2 4 4 2 2" xfId="8267" xr:uid="{00000000-0005-0000-0000-0000F11E0000}"/>
    <cellStyle name="Normal 9 2 2 4 4 2 2 2" xfId="33599" xr:uid="{5F873FD1-1607-4E70-9BCE-03024AB5A677}"/>
    <cellStyle name="Normal 9 2 2 4 4 2 2 3" xfId="25158" xr:uid="{810A5580-5626-4964-AD92-56BD87AF11FD}"/>
    <cellStyle name="Normal 9 2 2 4 4 2 2 4" xfId="16717" xr:uid="{2AA82DBB-6844-4303-B904-52E03B4883AD}"/>
    <cellStyle name="Normal 9 2 2 4 4 2 3" xfId="29381" xr:uid="{511767E5-44F4-45EC-A056-382238085659}"/>
    <cellStyle name="Normal 9 2 2 4 4 2 4" xfId="20940" xr:uid="{0846ED62-4AF1-4B82-92BD-C00B201FF43F}"/>
    <cellStyle name="Normal 9 2 2 4 4 2 5" xfId="12499" xr:uid="{B13245EA-6BBD-4CFF-879C-90AD9B6D1454}"/>
    <cellStyle name="Normal 9 2 2 4 4 3" xfId="6122" xr:uid="{00000000-0005-0000-0000-0000F21E0000}"/>
    <cellStyle name="Normal 9 2 2 4 4 3 2" xfId="31454" xr:uid="{9F78B197-838E-41D7-B508-7293324F0B29}"/>
    <cellStyle name="Normal 9 2 2 4 4 3 3" xfId="23013" xr:uid="{DF98F155-79D5-492A-A0D6-4158F8E7F72F}"/>
    <cellStyle name="Normal 9 2 2 4 4 3 4" xfId="14572" xr:uid="{824D8624-EE9A-4CB6-B556-8CFEF40CDB73}"/>
    <cellStyle name="Normal 9 2 2 4 4 4" xfId="27236" xr:uid="{99E79A7F-AA92-46D5-A1CB-C15C674CBD7E}"/>
    <cellStyle name="Normal 9 2 2 4 4 5" xfId="18795" xr:uid="{48D6A2D7-2E33-458D-8AF0-19B06F2DFC78}"/>
    <cellStyle name="Normal 9 2 2 4 4 6" xfId="10354" xr:uid="{A432A450-7210-49E7-910E-F1B411C45E53}"/>
    <cellStyle name="Normal 9 2 2 4 5" xfId="2229" xr:uid="{00000000-0005-0000-0000-0000F31E0000}"/>
    <cellStyle name="Normal 9 2 2 4 5 2" xfId="4458" xr:uid="{00000000-0005-0000-0000-0000F41E0000}"/>
    <cellStyle name="Normal 9 2 2 4 5 2 2" xfId="8680" xr:uid="{00000000-0005-0000-0000-0000F51E0000}"/>
    <cellStyle name="Normal 9 2 2 4 5 2 2 2" xfId="34012" xr:uid="{97470072-C160-41DD-AAB7-C595906F7247}"/>
    <cellStyle name="Normal 9 2 2 4 5 2 2 3" xfId="25571" xr:uid="{F617BDB4-BB3E-42B4-BE90-434813C76B52}"/>
    <cellStyle name="Normal 9 2 2 4 5 2 2 4" xfId="17130" xr:uid="{7112310D-48BD-4CF9-84F2-66BB8A23711C}"/>
    <cellStyle name="Normal 9 2 2 4 5 2 3" xfId="29794" xr:uid="{F374EED6-420C-474D-8957-3A007917BD04}"/>
    <cellStyle name="Normal 9 2 2 4 5 2 4" xfId="21353" xr:uid="{609077C4-BCEC-4AEE-9316-979FBA41F2EE}"/>
    <cellStyle name="Normal 9 2 2 4 5 2 5" xfId="12912" xr:uid="{811A1AE4-14C9-4B8C-B885-2C529BFA0A07}"/>
    <cellStyle name="Normal 9 2 2 4 5 3" xfId="6535" xr:uid="{00000000-0005-0000-0000-0000F61E0000}"/>
    <cellStyle name="Normal 9 2 2 4 5 3 2" xfId="31867" xr:uid="{8FA317F0-F4CB-45A3-A2E2-2436B57A530A}"/>
    <cellStyle name="Normal 9 2 2 4 5 3 3" xfId="23426" xr:uid="{AD4F9D46-547F-42EB-9491-7D926A22D14C}"/>
    <cellStyle name="Normal 9 2 2 4 5 3 4" xfId="14985" xr:uid="{07AF8CB1-08BA-4DED-9110-DF455E613CDD}"/>
    <cellStyle name="Normal 9 2 2 4 5 4" xfId="27649" xr:uid="{CC07692D-AFC9-46CE-9EAD-3BC9AE63153B}"/>
    <cellStyle name="Normal 9 2 2 4 5 5" xfId="19208" xr:uid="{EC8A9265-3338-4492-BBF8-239DA102AA70}"/>
    <cellStyle name="Normal 9 2 2 4 5 6" xfId="10767" xr:uid="{8963439B-C945-467D-B84E-6ACE4B12CCD3}"/>
    <cellStyle name="Normal 9 2 2 4 6" xfId="2665" xr:uid="{00000000-0005-0000-0000-0000F71E0000}"/>
    <cellStyle name="Normal 9 2 2 4 6 2" xfId="6948" xr:uid="{00000000-0005-0000-0000-0000F81E0000}"/>
    <cellStyle name="Normal 9 2 2 4 6 2 2" xfId="32280" xr:uid="{355C1793-9CB7-40DA-ADED-D42A925B7FF1}"/>
    <cellStyle name="Normal 9 2 2 4 6 2 3" xfId="23839" xr:uid="{EC669A00-E4E8-4820-82CC-BAAEDBF50D5E}"/>
    <cellStyle name="Normal 9 2 2 4 6 2 4" xfId="15398" xr:uid="{1940D692-1DA1-4D95-82C4-DEA1FD3834F4}"/>
    <cellStyle name="Normal 9 2 2 4 6 3" xfId="28062" xr:uid="{E4AF4286-C735-45FE-BDE3-BD721AF253D5}"/>
    <cellStyle name="Normal 9 2 2 4 6 4" xfId="19621" xr:uid="{49C63825-27A7-4585-9FF0-4D0268A0E4A0}"/>
    <cellStyle name="Normal 9 2 2 4 6 5" xfId="11180" xr:uid="{6148B536-04F6-4C03-816B-61699BBA7A65}"/>
    <cellStyle name="Normal 9 2 2 4 7" xfId="4883" xr:uid="{00000000-0005-0000-0000-0000F91E0000}"/>
    <cellStyle name="Normal 9 2 2 4 7 2" xfId="30215" xr:uid="{6B4D421E-427E-4BC8-8845-DBDFEB51BF10}"/>
    <cellStyle name="Normal 9 2 2 4 7 3" xfId="21774" xr:uid="{264B7F85-E159-4460-A46C-E75D9013CA01}"/>
    <cellStyle name="Normal 9 2 2 4 7 4" xfId="13333" xr:uid="{DF3CC76A-542E-46F5-AEC6-E82C79E3DBB7}"/>
    <cellStyle name="Normal 9 2 2 4 8" xfId="25997" xr:uid="{666B8DFD-3BBF-4B22-B926-F5F93D6E747D}"/>
    <cellStyle name="Normal 9 2 2 4 9" xfId="17556" xr:uid="{06A05B92-C36D-4304-BB3C-F4BE2F0B7FBE}"/>
    <cellStyle name="Normal 9 2 2 5" xfId="979" xr:uid="{00000000-0005-0000-0000-0000FA1E0000}"/>
    <cellStyle name="Normal 9 2 2 5 2" xfId="3212" xr:uid="{00000000-0005-0000-0000-0000FB1E0000}"/>
    <cellStyle name="Normal 9 2 2 5 2 2" xfId="7434" xr:uid="{00000000-0005-0000-0000-0000FC1E0000}"/>
    <cellStyle name="Normal 9 2 2 5 2 2 2" xfId="32766" xr:uid="{87C9E1BC-FF5D-42E1-B32B-720FF0634056}"/>
    <cellStyle name="Normal 9 2 2 5 2 2 3" xfId="24325" xr:uid="{3283EB18-13DC-422D-9D82-AD0A97C621E5}"/>
    <cellStyle name="Normal 9 2 2 5 2 2 4" xfId="15884" xr:uid="{3E46B666-094F-4848-B87F-0160FC2D786C}"/>
    <cellStyle name="Normal 9 2 2 5 2 3" xfId="28548" xr:uid="{39BBCDD9-67D2-42EF-982E-43F133C742E5}"/>
    <cellStyle name="Normal 9 2 2 5 2 4" xfId="20107" xr:uid="{11737770-65DE-4714-A993-452B9FCA028B}"/>
    <cellStyle name="Normal 9 2 2 5 2 5" xfId="11666" xr:uid="{54B3CF59-C1E9-431B-ACA9-FBEB910B64FE}"/>
    <cellStyle name="Normal 9 2 2 5 3" xfId="5289" xr:uid="{00000000-0005-0000-0000-0000FD1E0000}"/>
    <cellStyle name="Normal 9 2 2 5 3 2" xfId="30621" xr:uid="{995D33C9-F2EF-4736-B593-F03D472DD6F4}"/>
    <cellStyle name="Normal 9 2 2 5 3 3" xfId="22180" xr:uid="{875D07B3-9D4C-4B26-885D-66325963DDF9}"/>
    <cellStyle name="Normal 9 2 2 5 3 4" xfId="13739" xr:uid="{5A7F5E33-AE41-41A9-BF5E-1AA84EA4B1DF}"/>
    <cellStyle name="Normal 9 2 2 5 4" xfId="26403" xr:uid="{560D927A-26BC-4276-853C-65604A384D00}"/>
    <cellStyle name="Normal 9 2 2 5 5" xfId="17962" xr:uid="{A3101650-2A5B-4B4D-9BD8-25A6472E2893}"/>
    <cellStyle name="Normal 9 2 2 5 6" xfId="9521" xr:uid="{6AC040AE-65E3-4811-B775-C2E8298DF550}"/>
    <cellStyle name="Normal 9 2 2 6" xfId="1395" xr:uid="{00000000-0005-0000-0000-0000FE1E0000}"/>
    <cellStyle name="Normal 9 2 2 6 2" xfId="3625" xr:uid="{00000000-0005-0000-0000-0000FF1E0000}"/>
    <cellStyle name="Normal 9 2 2 6 2 2" xfId="7847" xr:uid="{00000000-0005-0000-0000-0000001F0000}"/>
    <cellStyle name="Normal 9 2 2 6 2 2 2" xfId="33179" xr:uid="{AF53ECDA-4BB4-4A70-BA16-297D0130DCB5}"/>
    <cellStyle name="Normal 9 2 2 6 2 2 3" xfId="24738" xr:uid="{8DDFEB37-EAA4-4340-9D80-E26CA7A4A4F9}"/>
    <cellStyle name="Normal 9 2 2 6 2 2 4" xfId="16297" xr:uid="{A0DB1C74-4E82-4C1A-A5D5-668173AC3BD1}"/>
    <cellStyle name="Normal 9 2 2 6 2 3" xfId="28961" xr:uid="{86D1377F-0EF6-4A68-968B-B44E87F900D7}"/>
    <cellStyle name="Normal 9 2 2 6 2 4" xfId="20520" xr:uid="{5C7482D9-C0B4-4CCA-B8BF-33047F00BAA0}"/>
    <cellStyle name="Normal 9 2 2 6 2 5" xfId="12079" xr:uid="{54BA7FDF-D839-44E3-AD9F-60E44F1B26C8}"/>
    <cellStyle name="Normal 9 2 2 6 3" xfId="5702" xr:uid="{00000000-0005-0000-0000-0000011F0000}"/>
    <cellStyle name="Normal 9 2 2 6 3 2" xfId="31034" xr:uid="{5CEB7DEC-8D15-4BEF-B366-EB1FC488C1D6}"/>
    <cellStyle name="Normal 9 2 2 6 3 3" xfId="22593" xr:uid="{0A50CB5D-B213-4368-9FC2-28F568C65AF8}"/>
    <cellStyle name="Normal 9 2 2 6 3 4" xfId="14152" xr:uid="{B82159A4-97CC-4B26-AFC2-DF4FC98ABB8D}"/>
    <cellStyle name="Normal 9 2 2 6 4" xfId="26816" xr:uid="{D5556DF8-E84F-4F44-B6CB-790896FD084D}"/>
    <cellStyle name="Normal 9 2 2 6 5" xfId="18375" xr:uid="{86A70B23-C706-4FDD-BAE5-37A029D5A0A7}"/>
    <cellStyle name="Normal 9 2 2 6 6" xfId="9934" xr:uid="{1E6F1332-E117-4B73-A35C-3BDB68A1E6B6}"/>
    <cellStyle name="Normal 9 2 2 7" xfId="1808" xr:uid="{00000000-0005-0000-0000-0000021F0000}"/>
    <cellStyle name="Normal 9 2 2 7 2" xfId="4038" xr:uid="{00000000-0005-0000-0000-0000031F0000}"/>
    <cellStyle name="Normal 9 2 2 7 2 2" xfId="8260" xr:uid="{00000000-0005-0000-0000-0000041F0000}"/>
    <cellStyle name="Normal 9 2 2 7 2 2 2" xfId="33592" xr:uid="{05C32FD7-5D53-4B8A-B2E8-45E53C58AD64}"/>
    <cellStyle name="Normal 9 2 2 7 2 2 3" xfId="25151" xr:uid="{6A44693A-E926-407F-AC07-854BAEF91663}"/>
    <cellStyle name="Normal 9 2 2 7 2 2 4" xfId="16710" xr:uid="{76F0EB1E-A2D2-468F-96D4-57B46FB6798B}"/>
    <cellStyle name="Normal 9 2 2 7 2 3" xfId="29374" xr:uid="{DA00E670-489B-493D-9DEA-0A54D3BDC0CF}"/>
    <cellStyle name="Normal 9 2 2 7 2 4" xfId="20933" xr:uid="{A6AEDBFC-A3A5-4A9E-9252-6CCD9D945A5E}"/>
    <cellStyle name="Normal 9 2 2 7 2 5" xfId="12492" xr:uid="{91779FFC-CA7A-4CC7-9252-5837642B249E}"/>
    <cellStyle name="Normal 9 2 2 7 3" xfId="6115" xr:uid="{00000000-0005-0000-0000-0000051F0000}"/>
    <cellStyle name="Normal 9 2 2 7 3 2" xfId="31447" xr:uid="{8DD86E6C-A6DE-4157-8A22-F34B9D646932}"/>
    <cellStyle name="Normal 9 2 2 7 3 3" xfId="23006" xr:uid="{D97B5805-292B-42F2-97C4-31EA1A1CA0E4}"/>
    <cellStyle name="Normal 9 2 2 7 3 4" xfId="14565" xr:uid="{7C086DFF-862B-4595-99B2-FD4340785F17}"/>
    <cellStyle name="Normal 9 2 2 7 4" xfId="27229" xr:uid="{6A4182D6-CBD8-4642-B028-C96AD5739319}"/>
    <cellStyle name="Normal 9 2 2 7 5" xfId="18788" xr:uid="{874E3B65-C538-460C-9186-54219A3A028C}"/>
    <cellStyle name="Normal 9 2 2 7 6" xfId="10347" xr:uid="{FF28658F-7DD7-45F5-81A7-3B373B8E8DAE}"/>
    <cellStyle name="Normal 9 2 2 8" xfId="2222" xr:uid="{00000000-0005-0000-0000-0000061F0000}"/>
    <cellStyle name="Normal 9 2 2 8 2" xfId="4451" xr:uid="{00000000-0005-0000-0000-0000071F0000}"/>
    <cellStyle name="Normal 9 2 2 8 2 2" xfId="8673" xr:uid="{00000000-0005-0000-0000-0000081F0000}"/>
    <cellStyle name="Normal 9 2 2 8 2 2 2" xfId="34005" xr:uid="{4D00DFE3-A792-4CBE-9011-0388C52938A7}"/>
    <cellStyle name="Normal 9 2 2 8 2 2 3" xfId="25564" xr:uid="{66B3BFD9-DBA3-4A9C-84DF-FC1CBC508354}"/>
    <cellStyle name="Normal 9 2 2 8 2 2 4" xfId="17123" xr:uid="{89B84E44-3FF3-4CAE-8495-94D5D5547F88}"/>
    <cellStyle name="Normal 9 2 2 8 2 3" xfId="29787" xr:uid="{4CFC5C75-8B1E-4238-8CF8-90AD2FA8BC1C}"/>
    <cellStyle name="Normal 9 2 2 8 2 4" xfId="21346" xr:uid="{52B77A6D-E189-4035-B1A0-AE3D2254A6E3}"/>
    <cellStyle name="Normal 9 2 2 8 2 5" xfId="12905" xr:uid="{AD7F4B13-5247-4D32-B798-3120E6DABD26}"/>
    <cellStyle name="Normal 9 2 2 8 3" xfId="6528" xr:uid="{00000000-0005-0000-0000-0000091F0000}"/>
    <cellStyle name="Normal 9 2 2 8 3 2" xfId="31860" xr:uid="{D807D60C-C5C2-456D-B14A-D0E04582AC1B}"/>
    <cellStyle name="Normal 9 2 2 8 3 3" xfId="23419" xr:uid="{9E5A7CA7-3247-4383-9049-74B51F7C88CD}"/>
    <cellStyle name="Normal 9 2 2 8 3 4" xfId="14978" xr:uid="{5F60FFFA-3E93-4C3E-9145-33B2E63AD73C}"/>
    <cellStyle name="Normal 9 2 2 8 4" xfId="27642" xr:uid="{2D59288D-C61C-4B69-8C36-D4D39E619E0E}"/>
    <cellStyle name="Normal 9 2 2 8 5" xfId="19201" xr:uid="{11376595-DE11-430E-8620-53E8A8BDE154}"/>
    <cellStyle name="Normal 9 2 2 8 6" xfId="10760" xr:uid="{21CABE5E-A7EB-42B1-9A37-35B3B095A0B6}"/>
    <cellStyle name="Normal 9 2 2 9" xfId="2658" xr:uid="{00000000-0005-0000-0000-00000A1F0000}"/>
    <cellStyle name="Normal 9 2 2 9 2" xfId="6941" xr:uid="{00000000-0005-0000-0000-00000B1F0000}"/>
    <cellStyle name="Normal 9 2 2 9 2 2" xfId="32273" xr:uid="{214B54A7-2091-4C3E-B488-422540E89813}"/>
    <cellStyle name="Normal 9 2 2 9 2 3" xfId="23832" xr:uid="{E7BCE3A5-C361-43B4-9CB8-DDAC4F6BB25B}"/>
    <cellStyle name="Normal 9 2 2 9 2 4" xfId="15391" xr:uid="{B81C499E-4435-4AEA-87DE-64A323C525A4}"/>
    <cellStyle name="Normal 9 2 2 9 3" xfId="28055" xr:uid="{FC1D2BA0-F6F4-4C57-A29B-EF31BC65EE64}"/>
    <cellStyle name="Normal 9 2 2 9 4" xfId="19614" xr:uid="{5F6DB3C2-439B-45FE-A8BD-D6878674BB81}"/>
    <cellStyle name="Normal 9 2 2 9 5" xfId="11173" xr:uid="{E7E26356-4E36-4E51-9E84-A3FAAE10A787}"/>
    <cellStyle name="Normal 9 2 3" xfId="520" xr:uid="{00000000-0005-0000-0000-00000C1F0000}"/>
    <cellStyle name="Normal 9 2 3 10" xfId="25998" xr:uid="{9EB783A6-F3E3-4282-8E46-5F7ACEE95A90}"/>
    <cellStyle name="Normal 9 2 3 11" xfId="17557" xr:uid="{34D7BC06-B677-41AE-B741-63D5E7E0AA29}"/>
    <cellStyle name="Normal 9 2 3 12" xfId="9116" xr:uid="{1707BD3B-385C-4712-A413-88B707C9C710}"/>
    <cellStyle name="Normal 9 2 3 2" xfId="521" xr:uid="{00000000-0005-0000-0000-00000D1F0000}"/>
    <cellStyle name="Normal 9 2 3 2 10" xfId="17558" xr:uid="{873E2C7F-31B5-4913-87D4-9E96373232AC}"/>
    <cellStyle name="Normal 9 2 3 2 11" xfId="9117" xr:uid="{97401957-9FB0-47E8-AF84-490B84606D5A}"/>
    <cellStyle name="Normal 9 2 3 2 2" xfId="522" xr:uid="{00000000-0005-0000-0000-00000E1F0000}"/>
    <cellStyle name="Normal 9 2 3 2 2 10" xfId="9118" xr:uid="{E987F0E5-8B94-4BD0-9075-A5B9A6828251}"/>
    <cellStyle name="Normal 9 2 3 2 2 2" xfId="989" xr:uid="{00000000-0005-0000-0000-00000F1F0000}"/>
    <cellStyle name="Normal 9 2 3 2 2 2 2" xfId="3222" xr:uid="{00000000-0005-0000-0000-0000101F0000}"/>
    <cellStyle name="Normal 9 2 3 2 2 2 2 2" xfId="7444" xr:uid="{00000000-0005-0000-0000-0000111F0000}"/>
    <cellStyle name="Normal 9 2 3 2 2 2 2 2 2" xfId="32776" xr:uid="{C8335BBC-2A06-4885-92B1-4B7AFC9269BC}"/>
    <cellStyle name="Normal 9 2 3 2 2 2 2 2 3" xfId="24335" xr:uid="{CCFDEACC-FDCD-4F50-904D-A7503C1CF4EF}"/>
    <cellStyle name="Normal 9 2 3 2 2 2 2 2 4" xfId="15894" xr:uid="{C9058C0F-C622-4D84-9847-1E0A4D96AEEE}"/>
    <cellStyle name="Normal 9 2 3 2 2 2 2 3" xfId="28558" xr:uid="{3B937BD5-5DA3-4356-BCC4-24563F56DA63}"/>
    <cellStyle name="Normal 9 2 3 2 2 2 2 4" xfId="20117" xr:uid="{6B81A721-6E88-432A-844A-40C844CD041F}"/>
    <cellStyle name="Normal 9 2 3 2 2 2 2 5" xfId="11676" xr:uid="{CB31D30A-21F3-4D8C-A8D2-52BB1AE1DA82}"/>
    <cellStyle name="Normal 9 2 3 2 2 2 3" xfId="5299" xr:uid="{00000000-0005-0000-0000-0000121F0000}"/>
    <cellStyle name="Normal 9 2 3 2 2 2 3 2" xfId="30631" xr:uid="{271C9593-543C-4DDF-9562-C8EEFF50E1AA}"/>
    <cellStyle name="Normal 9 2 3 2 2 2 3 3" xfId="22190" xr:uid="{166348BB-3C4B-4199-8E65-BECD7B2A2D44}"/>
    <cellStyle name="Normal 9 2 3 2 2 2 3 4" xfId="13749" xr:uid="{D32BAF52-D16A-44EF-82FC-4CD47C2CD7E9}"/>
    <cellStyle name="Normal 9 2 3 2 2 2 4" xfId="26413" xr:uid="{6C3842A7-09D2-4046-891A-30B4A796D2AB}"/>
    <cellStyle name="Normal 9 2 3 2 2 2 5" xfId="17972" xr:uid="{04697A54-04C7-46DE-A52D-B6E42D83FDC7}"/>
    <cellStyle name="Normal 9 2 3 2 2 2 6" xfId="9531" xr:uid="{16BC60A3-4622-477B-AD6B-8E5A335493D1}"/>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2 2 2" xfId="33189" xr:uid="{22DD7990-737E-4903-9586-1BBF573BED2E}"/>
    <cellStyle name="Normal 9 2 3 2 2 3 2 2 3" xfId="24748" xr:uid="{5BB50312-D753-421B-B8AF-E2338F6FCBFB}"/>
    <cellStyle name="Normal 9 2 3 2 2 3 2 2 4" xfId="16307" xr:uid="{66575B55-4B22-4BE4-B64C-45B21B351C29}"/>
    <cellStyle name="Normal 9 2 3 2 2 3 2 3" xfId="28971" xr:uid="{143748F1-8F46-4D5B-B9FE-B7A02607E916}"/>
    <cellStyle name="Normal 9 2 3 2 2 3 2 4" xfId="20530" xr:uid="{4098BB0B-219D-480B-B3AB-8167603288E1}"/>
    <cellStyle name="Normal 9 2 3 2 2 3 2 5" xfId="12089" xr:uid="{BE79CE78-CCB5-49EC-B7C4-3AA180E2E722}"/>
    <cellStyle name="Normal 9 2 3 2 2 3 3" xfId="5712" xr:uid="{00000000-0005-0000-0000-0000161F0000}"/>
    <cellStyle name="Normal 9 2 3 2 2 3 3 2" xfId="31044" xr:uid="{5311D231-5582-4680-BE7C-7AEA520DC6BE}"/>
    <cellStyle name="Normal 9 2 3 2 2 3 3 3" xfId="22603" xr:uid="{9EFB387D-7ECB-4759-A07B-891B97B6AD79}"/>
    <cellStyle name="Normal 9 2 3 2 2 3 3 4" xfId="14162" xr:uid="{12524809-6ADF-40EC-889E-06810207E5AF}"/>
    <cellStyle name="Normal 9 2 3 2 2 3 4" xfId="26826" xr:uid="{FEC12CB7-3B59-49F3-9316-DCFFFA6862C8}"/>
    <cellStyle name="Normal 9 2 3 2 2 3 5" xfId="18385" xr:uid="{AAECA16D-5835-457A-8A29-7C2498D5D348}"/>
    <cellStyle name="Normal 9 2 3 2 2 3 6" xfId="9944" xr:uid="{AF2AA5BA-DA5E-4549-BDD6-B9EACD507C13}"/>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2 2 2" xfId="33602" xr:uid="{C6EA6985-DB69-40BF-B6A9-024A16F0659C}"/>
    <cellStyle name="Normal 9 2 3 2 2 4 2 2 3" xfId="25161" xr:uid="{78989F06-7870-4207-BFEA-B2252B7F47D4}"/>
    <cellStyle name="Normal 9 2 3 2 2 4 2 2 4" xfId="16720" xr:uid="{95ED7E5B-AAA7-4468-81ED-35D8B1A860C2}"/>
    <cellStyle name="Normal 9 2 3 2 2 4 2 3" xfId="29384" xr:uid="{A6648BFA-3EFB-4111-9139-96F79D716F15}"/>
    <cellStyle name="Normal 9 2 3 2 2 4 2 4" xfId="20943" xr:uid="{ACE3CD1E-D9CA-4141-87F9-21B14115D2F9}"/>
    <cellStyle name="Normal 9 2 3 2 2 4 2 5" xfId="12502" xr:uid="{F80D4436-74C1-4122-8F84-B29B1234BE85}"/>
    <cellStyle name="Normal 9 2 3 2 2 4 3" xfId="6125" xr:uid="{00000000-0005-0000-0000-00001A1F0000}"/>
    <cellStyle name="Normal 9 2 3 2 2 4 3 2" xfId="31457" xr:uid="{3AB5D503-72AE-4C7B-951A-25E881E77477}"/>
    <cellStyle name="Normal 9 2 3 2 2 4 3 3" xfId="23016" xr:uid="{51AA86E2-5D73-44F1-838A-41A2650B4763}"/>
    <cellStyle name="Normal 9 2 3 2 2 4 3 4" xfId="14575" xr:uid="{36C49E95-72D3-4D7D-ACEF-B297E3057765}"/>
    <cellStyle name="Normal 9 2 3 2 2 4 4" xfId="27239" xr:uid="{84B0785F-F9DC-44B3-B487-38AA7F0F175F}"/>
    <cellStyle name="Normal 9 2 3 2 2 4 5" xfId="18798" xr:uid="{51221E9B-BD02-4D46-A5B0-6933C24A6155}"/>
    <cellStyle name="Normal 9 2 3 2 2 4 6" xfId="10357" xr:uid="{CE27538A-AC2E-4391-8F31-B82E78608CFC}"/>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2 2 2" xfId="34015" xr:uid="{FD74344C-382E-4330-BADA-775FDA08A431}"/>
    <cellStyle name="Normal 9 2 3 2 2 5 2 2 3" xfId="25574" xr:uid="{F0DEBA36-1FA7-41C3-82BD-09234BF9ED3F}"/>
    <cellStyle name="Normal 9 2 3 2 2 5 2 2 4" xfId="17133" xr:uid="{9906B4CE-2D24-405F-91A7-697A6B6DBE09}"/>
    <cellStyle name="Normal 9 2 3 2 2 5 2 3" xfId="29797" xr:uid="{0540E122-F191-487B-B7FB-3A158F0B0CD7}"/>
    <cellStyle name="Normal 9 2 3 2 2 5 2 4" xfId="21356" xr:uid="{F8A03BF5-8F64-440B-B761-64EDB46DBF32}"/>
    <cellStyle name="Normal 9 2 3 2 2 5 2 5" xfId="12915" xr:uid="{6A470CAD-729C-4F77-A63B-15F1E5D4AEC2}"/>
    <cellStyle name="Normal 9 2 3 2 2 5 3" xfId="6538" xr:uid="{00000000-0005-0000-0000-00001E1F0000}"/>
    <cellStyle name="Normal 9 2 3 2 2 5 3 2" xfId="31870" xr:uid="{1115BE5F-78F9-479A-A670-55467585FC6C}"/>
    <cellStyle name="Normal 9 2 3 2 2 5 3 3" xfId="23429" xr:uid="{1E233A3A-A9DB-47E3-AD4B-466BEF397608}"/>
    <cellStyle name="Normal 9 2 3 2 2 5 3 4" xfId="14988" xr:uid="{24ECCA87-EBA8-4A9A-B9BA-5114B81C694C}"/>
    <cellStyle name="Normal 9 2 3 2 2 5 4" xfId="27652" xr:uid="{74BC92B6-4513-4908-B984-BA1EC92920A0}"/>
    <cellStyle name="Normal 9 2 3 2 2 5 5" xfId="19211" xr:uid="{FB2620E9-4A98-4854-8E00-2FBA9BF555C5}"/>
    <cellStyle name="Normal 9 2 3 2 2 5 6" xfId="10770" xr:uid="{AE644556-E480-4EE3-A2B5-98EEF04B1E40}"/>
    <cellStyle name="Normal 9 2 3 2 2 6" xfId="2668" xr:uid="{00000000-0005-0000-0000-00001F1F0000}"/>
    <cellStyle name="Normal 9 2 3 2 2 6 2" xfId="6951" xr:uid="{00000000-0005-0000-0000-0000201F0000}"/>
    <cellStyle name="Normal 9 2 3 2 2 6 2 2" xfId="32283" xr:uid="{555B8E09-B8A9-4F6C-962E-EC118238A6CF}"/>
    <cellStyle name="Normal 9 2 3 2 2 6 2 3" xfId="23842" xr:uid="{C824A3AF-A91B-4980-9F36-E04441EEF09B}"/>
    <cellStyle name="Normal 9 2 3 2 2 6 2 4" xfId="15401" xr:uid="{515B570D-1DDF-44E5-B917-F7CA65BCD154}"/>
    <cellStyle name="Normal 9 2 3 2 2 6 3" xfId="28065" xr:uid="{86DBE249-9C9A-44B5-A265-A35E0DA1F3BE}"/>
    <cellStyle name="Normal 9 2 3 2 2 6 4" xfId="19624" xr:uid="{C85146FA-80B1-4B87-9268-4BDD36E59B9D}"/>
    <cellStyle name="Normal 9 2 3 2 2 6 5" xfId="11183" xr:uid="{2B8A8CEB-D8A9-4D5C-870F-2A61E490CD60}"/>
    <cellStyle name="Normal 9 2 3 2 2 7" xfId="4886" xr:uid="{00000000-0005-0000-0000-0000211F0000}"/>
    <cellStyle name="Normal 9 2 3 2 2 7 2" xfId="30218" xr:uid="{D5C08BE4-48AB-40F8-BA8E-BF5F1ABA387D}"/>
    <cellStyle name="Normal 9 2 3 2 2 7 3" xfId="21777" xr:uid="{086D02CF-0BDF-470A-B53E-A9B9E4A231AD}"/>
    <cellStyle name="Normal 9 2 3 2 2 7 4" xfId="13336" xr:uid="{80045ADA-817D-457B-9BE2-99EE062D8495}"/>
    <cellStyle name="Normal 9 2 3 2 2 8" xfId="26000" xr:uid="{A6CFD847-CC97-47C5-8AB4-1FB702E53D5E}"/>
    <cellStyle name="Normal 9 2 3 2 2 9" xfId="17559" xr:uid="{404CA704-6CCE-4239-9C24-67D458D026B9}"/>
    <cellStyle name="Normal 9 2 3 2 3" xfId="988" xr:uid="{00000000-0005-0000-0000-0000221F0000}"/>
    <cellStyle name="Normal 9 2 3 2 3 2" xfId="3221" xr:uid="{00000000-0005-0000-0000-0000231F0000}"/>
    <cellStyle name="Normal 9 2 3 2 3 2 2" xfId="7443" xr:uid="{00000000-0005-0000-0000-0000241F0000}"/>
    <cellStyle name="Normal 9 2 3 2 3 2 2 2" xfId="32775" xr:uid="{5A41BE62-73BF-4959-8630-F4073250AA5F}"/>
    <cellStyle name="Normal 9 2 3 2 3 2 2 3" xfId="24334" xr:uid="{7DA1DF10-F2B9-45BE-A4E1-C564B9405A16}"/>
    <cellStyle name="Normal 9 2 3 2 3 2 2 4" xfId="15893" xr:uid="{7B702413-420F-470F-84E2-8044D6D9E231}"/>
    <cellStyle name="Normal 9 2 3 2 3 2 3" xfId="28557" xr:uid="{F2499F52-0A1D-4BE1-AF6F-2C46497CFA87}"/>
    <cellStyle name="Normal 9 2 3 2 3 2 4" xfId="20116" xr:uid="{22BB70D0-439A-4B82-9F47-6752D3782E45}"/>
    <cellStyle name="Normal 9 2 3 2 3 2 5" xfId="11675" xr:uid="{8AC6110C-D21E-4BDD-94FE-3A4A52AEDB17}"/>
    <cellStyle name="Normal 9 2 3 2 3 3" xfId="5298" xr:uid="{00000000-0005-0000-0000-0000251F0000}"/>
    <cellStyle name="Normal 9 2 3 2 3 3 2" xfId="30630" xr:uid="{D4C78CC5-9169-49E6-8154-5B574A10431C}"/>
    <cellStyle name="Normal 9 2 3 2 3 3 3" xfId="22189" xr:uid="{6B874F5E-0B16-4E92-8872-6A19D0FD677C}"/>
    <cellStyle name="Normal 9 2 3 2 3 3 4" xfId="13748" xr:uid="{3B74653F-3AF3-42C2-907C-FC172C8A1A04}"/>
    <cellStyle name="Normal 9 2 3 2 3 4" xfId="26412" xr:uid="{3AB9A18E-D013-45D5-8439-DEABBB48D0FA}"/>
    <cellStyle name="Normal 9 2 3 2 3 5" xfId="17971" xr:uid="{06D94D60-FE3B-455A-9114-06DD1C74176B}"/>
    <cellStyle name="Normal 9 2 3 2 3 6" xfId="9530" xr:uid="{265EDC62-D781-4BBC-96F6-202E00BAE97A}"/>
    <cellStyle name="Normal 9 2 3 2 4" xfId="1404" xr:uid="{00000000-0005-0000-0000-0000261F0000}"/>
    <cellStyle name="Normal 9 2 3 2 4 2" xfId="3634" xr:uid="{00000000-0005-0000-0000-0000271F0000}"/>
    <cellStyle name="Normal 9 2 3 2 4 2 2" xfId="7856" xr:uid="{00000000-0005-0000-0000-0000281F0000}"/>
    <cellStyle name="Normal 9 2 3 2 4 2 2 2" xfId="33188" xr:uid="{EA4752ED-DEB1-4F73-A357-E4FCAFA6708C}"/>
    <cellStyle name="Normal 9 2 3 2 4 2 2 3" xfId="24747" xr:uid="{5F2390CA-CCA9-44CA-A4E7-3A32173E9F2E}"/>
    <cellStyle name="Normal 9 2 3 2 4 2 2 4" xfId="16306" xr:uid="{AE780C58-F98D-4DA5-AE1A-F3763439D20B}"/>
    <cellStyle name="Normal 9 2 3 2 4 2 3" xfId="28970" xr:uid="{0FE5A886-7599-413A-8516-C24E7A179322}"/>
    <cellStyle name="Normal 9 2 3 2 4 2 4" xfId="20529" xr:uid="{6D5379BE-F401-48B9-B0E1-7E67E98C652E}"/>
    <cellStyle name="Normal 9 2 3 2 4 2 5" xfId="12088" xr:uid="{51D98B5F-8C35-4E19-AA14-A555CDE35F4A}"/>
    <cellStyle name="Normal 9 2 3 2 4 3" xfId="5711" xr:uid="{00000000-0005-0000-0000-0000291F0000}"/>
    <cellStyle name="Normal 9 2 3 2 4 3 2" xfId="31043" xr:uid="{A9F852E4-DB72-418E-ACB7-97586D3119B8}"/>
    <cellStyle name="Normal 9 2 3 2 4 3 3" xfId="22602" xr:uid="{7A7D4F67-32CD-4405-A14C-8DA13E789241}"/>
    <cellStyle name="Normal 9 2 3 2 4 3 4" xfId="14161" xr:uid="{6F18F6A6-1E13-432B-B679-E2627DF7FA75}"/>
    <cellStyle name="Normal 9 2 3 2 4 4" xfId="26825" xr:uid="{62DDB916-AF4D-425B-B235-D2F81BE7F6A3}"/>
    <cellStyle name="Normal 9 2 3 2 4 5" xfId="18384" xr:uid="{01427FEA-4E56-461E-AF40-ADAA412F8F4A}"/>
    <cellStyle name="Normal 9 2 3 2 4 6" xfId="9943" xr:uid="{11945825-C31D-40F7-8B2B-BBCCA9178C73}"/>
    <cellStyle name="Normal 9 2 3 2 5" xfId="1817" xr:uid="{00000000-0005-0000-0000-00002A1F0000}"/>
    <cellStyle name="Normal 9 2 3 2 5 2" xfId="4047" xr:uid="{00000000-0005-0000-0000-00002B1F0000}"/>
    <cellStyle name="Normal 9 2 3 2 5 2 2" xfId="8269" xr:uid="{00000000-0005-0000-0000-00002C1F0000}"/>
    <cellStyle name="Normal 9 2 3 2 5 2 2 2" xfId="33601" xr:uid="{1E4E3F63-E596-4C83-8324-B505ADEFD4F1}"/>
    <cellStyle name="Normal 9 2 3 2 5 2 2 3" xfId="25160" xr:uid="{54E1FE3F-3B11-4C5B-A955-2EA37EF7AE58}"/>
    <cellStyle name="Normal 9 2 3 2 5 2 2 4" xfId="16719" xr:uid="{82766F3C-FD57-4B65-8043-CC8B97E7C713}"/>
    <cellStyle name="Normal 9 2 3 2 5 2 3" xfId="29383" xr:uid="{0D30179B-CE63-4083-B938-E38ECB463944}"/>
    <cellStyle name="Normal 9 2 3 2 5 2 4" xfId="20942" xr:uid="{8584DDDB-7E6B-45F4-BEEA-A6A918045EAE}"/>
    <cellStyle name="Normal 9 2 3 2 5 2 5" xfId="12501" xr:uid="{92EC3166-B122-478A-A27E-27B9255BAA7C}"/>
    <cellStyle name="Normal 9 2 3 2 5 3" xfId="6124" xr:uid="{00000000-0005-0000-0000-00002D1F0000}"/>
    <cellStyle name="Normal 9 2 3 2 5 3 2" xfId="31456" xr:uid="{3536D2E1-27CA-45A5-915E-488DD5A32251}"/>
    <cellStyle name="Normal 9 2 3 2 5 3 3" xfId="23015" xr:uid="{DC756902-C0D8-4EC3-8C4B-873ECCC72B1C}"/>
    <cellStyle name="Normal 9 2 3 2 5 3 4" xfId="14574" xr:uid="{16003A05-F412-49B6-81A6-129ABDB93402}"/>
    <cellStyle name="Normal 9 2 3 2 5 4" xfId="27238" xr:uid="{C590B4D0-372A-403E-8FC7-BB96600BD206}"/>
    <cellStyle name="Normal 9 2 3 2 5 5" xfId="18797" xr:uid="{5A8DA178-C0A9-467D-8F21-7BDD8DF9C5AE}"/>
    <cellStyle name="Normal 9 2 3 2 5 6" xfId="10356" xr:uid="{DB6CF66E-EDCC-4D18-81BE-E2B29282E509}"/>
    <cellStyle name="Normal 9 2 3 2 6" xfId="2231" xr:uid="{00000000-0005-0000-0000-00002E1F0000}"/>
    <cellStyle name="Normal 9 2 3 2 6 2" xfId="4460" xr:uid="{00000000-0005-0000-0000-00002F1F0000}"/>
    <cellStyle name="Normal 9 2 3 2 6 2 2" xfId="8682" xr:uid="{00000000-0005-0000-0000-0000301F0000}"/>
    <cellStyle name="Normal 9 2 3 2 6 2 2 2" xfId="34014" xr:uid="{9C203FFA-007C-4929-B526-1F350761E111}"/>
    <cellStyle name="Normal 9 2 3 2 6 2 2 3" xfId="25573" xr:uid="{7081659E-A495-463B-BCB4-1E73FEA47DB3}"/>
    <cellStyle name="Normal 9 2 3 2 6 2 2 4" xfId="17132" xr:uid="{0A4E3B33-A3F3-4AC6-A50F-B1909A352FC5}"/>
    <cellStyle name="Normal 9 2 3 2 6 2 3" xfId="29796" xr:uid="{D3494653-BC25-481D-AE2F-ACA47C8BC601}"/>
    <cellStyle name="Normal 9 2 3 2 6 2 4" xfId="21355" xr:uid="{191E28FD-9EFE-4571-86B9-ED3E0440915E}"/>
    <cellStyle name="Normal 9 2 3 2 6 2 5" xfId="12914" xr:uid="{ACB5B7B1-550F-48DA-9935-3BC3BAF396B7}"/>
    <cellStyle name="Normal 9 2 3 2 6 3" xfId="6537" xr:uid="{00000000-0005-0000-0000-0000311F0000}"/>
    <cellStyle name="Normal 9 2 3 2 6 3 2" xfId="31869" xr:uid="{DF74C5AD-2D53-4304-9649-90AF5B48D050}"/>
    <cellStyle name="Normal 9 2 3 2 6 3 3" xfId="23428" xr:uid="{A005304E-52E2-46F7-85D7-C01E4FB3E4A4}"/>
    <cellStyle name="Normal 9 2 3 2 6 3 4" xfId="14987" xr:uid="{B4AF2C5C-6DBF-4E30-97D8-8B3621F4F4FC}"/>
    <cellStyle name="Normal 9 2 3 2 6 4" xfId="27651" xr:uid="{FF8AAF00-23FC-4B5F-BB1F-F3C2AA64DFC7}"/>
    <cellStyle name="Normal 9 2 3 2 6 5" xfId="19210" xr:uid="{36DE3FE8-9D36-44E3-8FF3-6416C2DDB38A}"/>
    <cellStyle name="Normal 9 2 3 2 6 6" xfId="10769" xr:uid="{E231AD7A-ADB1-4322-B504-F4B529AF3C07}"/>
    <cellStyle name="Normal 9 2 3 2 7" xfId="2667" xr:uid="{00000000-0005-0000-0000-0000321F0000}"/>
    <cellStyle name="Normal 9 2 3 2 7 2" xfId="6950" xr:uid="{00000000-0005-0000-0000-0000331F0000}"/>
    <cellStyle name="Normal 9 2 3 2 7 2 2" xfId="32282" xr:uid="{AF0DEF84-72D6-4F70-8CCD-07DD6F0784A3}"/>
    <cellStyle name="Normal 9 2 3 2 7 2 3" xfId="23841" xr:uid="{E68EAF96-A55D-437B-A15D-B1359EFA5EF9}"/>
    <cellStyle name="Normal 9 2 3 2 7 2 4" xfId="15400" xr:uid="{F9E0867C-639A-4770-8CE3-BBA7F19B8267}"/>
    <cellStyle name="Normal 9 2 3 2 7 3" xfId="28064" xr:uid="{A5CF016C-F727-475D-9FA2-B8C462C4D0CF}"/>
    <cellStyle name="Normal 9 2 3 2 7 4" xfId="19623" xr:uid="{1C643FE9-89CA-4332-A391-B5D78E1F9D97}"/>
    <cellStyle name="Normal 9 2 3 2 7 5" xfId="11182" xr:uid="{9C858977-2F28-4E78-A069-970202349730}"/>
    <cellStyle name="Normal 9 2 3 2 8" xfId="4885" xr:uid="{00000000-0005-0000-0000-0000341F0000}"/>
    <cellStyle name="Normal 9 2 3 2 8 2" xfId="30217" xr:uid="{AFC790FC-689C-45BB-AC23-DFBBC28B8944}"/>
    <cellStyle name="Normal 9 2 3 2 8 3" xfId="21776" xr:uid="{9C95A1B4-80A8-4BF6-B50B-48F1519607BF}"/>
    <cellStyle name="Normal 9 2 3 2 8 4" xfId="13335" xr:uid="{63F1DE1F-70DE-444D-9B1E-A5A2594009A8}"/>
    <cellStyle name="Normal 9 2 3 2 9" xfId="25999" xr:uid="{4A4C9E06-AE01-4B3B-8590-DCD69DE93F3B}"/>
    <cellStyle name="Normal 9 2 3 3" xfId="523" xr:uid="{00000000-0005-0000-0000-0000351F0000}"/>
    <cellStyle name="Normal 9 2 3 3 10" xfId="9119" xr:uid="{13011602-CEE4-4BE9-9F77-334251643954}"/>
    <cellStyle name="Normal 9 2 3 3 2" xfId="990" xr:uid="{00000000-0005-0000-0000-0000361F0000}"/>
    <cellStyle name="Normal 9 2 3 3 2 2" xfId="3223" xr:uid="{00000000-0005-0000-0000-0000371F0000}"/>
    <cellStyle name="Normal 9 2 3 3 2 2 2" xfId="7445" xr:uid="{00000000-0005-0000-0000-0000381F0000}"/>
    <cellStyle name="Normal 9 2 3 3 2 2 2 2" xfId="32777" xr:uid="{82C4DA91-F870-4785-8380-BBC8500683F6}"/>
    <cellStyle name="Normal 9 2 3 3 2 2 2 3" xfId="24336" xr:uid="{665ACF20-EC80-408C-B81D-8E574FB66CDE}"/>
    <cellStyle name="Normal 9 2 3 3 2 2 2 4" xfId="15895" xr:uid="{F100E55B-C3C0-43C1-976D-D054B51EA418}"/>
    <cellStyle name="Normal 9 2 3 3 2 2 3" xfId="28559" xr:uid="{A2CB7F13-8593-4C78-9518-8AD0D5F71FF9}"/>
    <cellStyle name="Normal 9 2 3 3 2 2 4" xfId="20118" xr:uid="{FC0F901A-1443-4DA0-8CC7-217A00B7C033}"/>
    <cellStyle name="Normal 9 2 3 3 2 2 5" xfId="11677" xr:uid="{905A9A80-4CA8-4084-BD14-FDA6AACFCA1A}"/>
    <cellStyle name="Normal 9 2 3 3 2 3" xfId="5300" xr:uid="{00000000-0005-0000-0000-0000391F0000}"/>
    <cellStyle name="Normal 9 2 3 3 2 3 2" xfId="30632" xr:uid="{91B8C5DA-3E27-494F-88A0-71B5D7E4AD8C}"/>
    <cellStyle name="Normal 9 2 3 3 2 3 3" xfId="22191" xr:uid="{11F7F4CE-DD38-4CCC-A182-ECB0E1F25F8F}"/>
    <cellStyle name="Normal 9 2 3 3 2 3 4" xfId="13750" xr:uid="{53138239-0641-4143-AE92-EB2490FF378E}"/>
    <cellStyle name="Normal 9 2 3 3 2 4" xfId="26414" xr:uid="{086E6140-6802-41A3-8319-980B6DE09E17}"/>
    <cellStyle name="Normal 9 2 3 3 2 5" xfId="17973" xr:uid="{6EE66043-D4E4-43BA-8F8F-578923DD790C}"/>
    <cellStyle name="Normal 9 2 3 3 2 6" xfId="9532" xr:uid="{77834142-6930-4A26-BB87-5099357351A1}"/>
    <cellStyle name="Normal 9 2 3 3 3" xfId="1406" xr:uid="{00000000-0005-0000-0000-00003A1F0000}"/>
    <cellStyle name="Normal 9 2 3 3 3 2" xfId="3636" xr:uid="{00000000-0005-0000-0000-00003B1F0000}"/>
    <cellStyle name="Normal 9 2 3 3 3 2 2" xfId="7858" xr:uid="{00000000-0005-0000-0000-00003C1F0000}"/>
    <cellStyle name="Normal 9 2 3 3 3 2 2 2" xfId="33190" xr:uid="{334A64D1-35CE-4066-8EAA-D6AA5C022DB9}"/>
    <cellStyle name="Normal 9 2 3 3 3 2 2 3" xfId="24749" xr:uid="{983334C9-9D6B-4BD6-80FF-3AAC95B69181}"/>
    <cellStyle name="Normal 9 2 3 3 3 2 2 4" xfId="16308" xr:uid="{E3FC16F9-A177-408C-898F-CC0851B18D5B}"/>
    <cellStyle name="Normal 9 2 3 3 3 2 3" xfId="28972" xr:uid="{95FDF4F0-131F-481C-917C-C95B61DC65B3}"/>
    <cellStyle name="Normal 9 2 3 3 3 2 4" xfId="20531" xr:uid="{BFDB7F11-FDCD-44A4-8735-6D207E4AF528}"/>
    <cellStyle name="Normal 9 2 3 3 3 2 5" xfId="12090" xr:uid="{853F466B-CF7B-4373-A75E-F0117293AB3E}"/>
    <cellStyle name="Normal 9 2 3 3 3 3" xfId="5713" xr:uid="{00000000-0005-0000-0000-00003D1F0000}"/>
    <cellStyle name="Normal 9 2 3 3 3 3 2" xfId="31045" xr:uid="{4994858A-2599-40CD-9934-9357C421C19D}"/>
    <cellStyle name="Normal 9 2 3 3 3 3 3" xfId="22604" xr:uid="{62EE6626-DF60-4AD9-B5D5-9B6D9D3EDEDE}"/>
    <cellStyle name="Normal 9 2 3 3 3 3 4" xfId="14163" xr:uid="{CC2953CF-BEFE-4BAA-8044-9172EECED997}"/>
    <cellStyle name="Normal 9 2 3 3 3 4" xfId="26827" xr:uid="{E9878109-21A7-4726-8224-0C80E03A45C9}"/>
    <cellStyle name="Normal 9 2 3 3 3 5" xfId="18386" xr:uid="{C4CC21B5-1D3C-4757-B0BE-643A8C97F100}"/>
    <cellStyle name="Normal 9 2 3 3 3 6" xfId="9945" xr:uid="{4824C2F3-7649-4C12-B45E-FE21DC8BCD14}"/>
    <cellStyle name="Normal 9 2 3 3 4" xfId="1819" xr:uid="{00000000-0005-0000-0000-00003E1F0000}"/>
    <cellStyle name="Normal 9 2 3 3 4 2" xfId="4049" xr:uid="{00000000-0005-0000-0000-00003F1F0000}"/>
    <cellStyle name="Normal 9 2 3 3 4 2 2" xfId="8271" xr:uid="{00000000-0005-0000-0000-0000401F0000}"/>
    <cellStyle name="Normal 9 2 3 3 4 2 2 2" xfId="33603" xr:uid="{8BBFD5DD-8B6D-490B-856B-E6624DF7A819}"/>
    <cellStyle name="Normal 9 2 3 3 4 2 2 3" xfId="25162" xr:uid="{BF35FC23-8EE5-4D89-B0B8-A1A10FBA4535}"/>
    <cellStyle name="Normal 9 2 3 3 4 2 2 4" xfId="16721" xr:uid="{BBE03C87-251E-4C72-9294-0789ABAF52B4}"/>
    <cellStyle name="Normal 9 2 3 3 4 2 3" xfId="29385" xr:uid="{60CF129B-CAC6-45CD-A675-B8E70E882204}"/>
    <cellStyle name="Normal 9 2 3 3 4 2 4" xfId="20944" xr:uid="{0B63D17A-4700-4CF2-92A9-902DF3E6A904}"/>
    <cellStyle name="Normal 9 2 3 3 4 2 5" xfId="12503" xr:uid="{A37914F2-CBD8-40A3-8FA4-AAD6B42B87F8}"/>
    <cellStyle name="Normal 9 2 3 3 4 3" xfId="6126" xr:uid="{00000000-0005-0000-0000-0000411F0000}"/>
    <cellStyle name="Normal 9 2 3 3 4 3 2" xfId="31458" xr:uid="{C6D2EE32-6342-4416-BECF-ADFFB69A8450}"/>
    <cellStyle name="Normal 9 2 3 3 4 3 3" xfId="23017" xr:uid="{92C14A7F-2A57-465E-8158-97D9C2E3C6AA}"/>
    <cellStyle name="Normal 9 2 3 3 4 3 4" xfId="14576" xr:uid="{89B885B0-1F8E-44D4-9FB0-01020613F80F}"/>
    <cellStyle name="Normal 9 2 3 3 4 4" xfId="27240" xr:uid="{935573F9-F51B-4F32-BC38-53B90DC9AC81}"/>
    <cellStyle name="Normal 9 2 3 3 4 5" xfId="18799" xr:uid="{08AFE748-0A64-48D0-A37E-934E7B4DB69C}"/>
    <cellStyle name="Normal 9 2 3 3 4 6" xfId="10358" xr:uid="{0BAA7EC9-56A2-4166-A4FB-E14DAA71F6FE}"/>
    <cellStyle name="Normal 9 2 3 3 5" xfId="2233" xr:uid="{00000000-0005-0000-0000-0000421F0000}"/>
    <cellStyle name="Normal 9 2 3 3 5 2" xfId="4462" xr:uid="{00000000-0005-0000-0000-0000431F0000}"/>
    <cellStyle name="Normal 9 2 3 3 5 2 2" xfId="8684" xr:uid="{00000000-0005-0000-0000-0000441F0000}"/>
    <cellStyle name="Normal 9 2 3 3 5 2 2 2" xfId="34016" xr:uid="{2AB05A74-AD36-45FD-BC09-E40F9E588C02}"/>
    <cellStyle name="Normal 9 2 3 3 5 2 2 3" xfId="25575" xr:uid="{20938888-CF6D-4B05-ACE5-B10BE19E8EB3}"/>
    <cellStyle name="Normal 9 2 3 3 5 2 2 4" xfId="17134" xr:uid="{CE7F5E67-4924-4D38-9D6E-E893B7F3B255}"/>
    <cellStyle name="Normal 9 2 3 3 5 2 3" xfId="29798" xr:uid="{D946866B-AF52-414F-AF8A-924505A3B8A3}"/>
    <cellStyle name="Normal 9 2 3 3 5 2 4" xfId="21357" xr:uid="{A1B90594-283E-4FC2-B9A3-6A098D39F35D}"/>
    <cellStyle name="Normal 9 2 3 3 5 2 5" xfId="12916" xr:uid="{8F11053F-42CE-49F5-AA88-FEFD58FEAD3B}"/>
    <cellStyle name="Normal 9 2 3 3 5 3" xfId="6539" xr:uid="{00000000-0005-0000-0000-0000451F0000}"/>
    <cellStyle name="Normal 9 2 3 3 5 3 2" xfId="31871" xr:uid="{FD389AA2-C12D-4E4C-B832-7CDE2081C494}"/>
    <cellStyle name="Normal 9 2 3 3 5 3 3" xfId="23430" xr:uid="{6C3E4064-C55F-4620-B145-941726F6BA99}"/>
    <cellStyle name="Normal 9 2 3 3 5 3 4" xfId="14989" xr:uid="{5A2F09B6-D7F0-4A2D-B203-8EAB4A873A58}"/>
    <cellStyle name="Normal 9 2 3 3 5 4" xfId="27653" xr:uid="{CC00514E-0032-44CC-BB92-778084F6A1E1}"/>
    <cellStyle name="Normal 9 2 3 3 5 5" xfId="19212" xr:uid="{756D6DF0-92B0-4E31-9DDC-FB6C79DA1A46}"/>
    <cellStyle name="Normal 9 2 3 3 5 6" xfId="10771" xr:uid="{167DD205-6989-496D-A450-71334F2E9FAF}"/>
    <cellStyle name="Normal 9 2 3 3 6" xfId="2669" xr:uid="{00000000-0005-0000-0000-0000461F0000}"/>
    <cellStyle name="Normal 9 2 3 3 6 2" xfId="6952" xr:uid="{00000000-0005-0000-0000-0000471F0000}"/>
    <cellStyle name="Normal 9 2 3 3 6 2 2" xfId="32284" xr:uid="{4F034B74-3BC5-4D11-BF4C-E3345174D9A5}"/>
    <cellStyle name="Normal 9 2 3 3 6 2 3" xfId="23843" xr:uid="{19554F0B-E507-4703-9B57-E2AC2DE924AA}"/>
    <cellStyle name="Normal 9 2 3 3 6 2 4" xfId="15402" xr:uid="{38119829-36F5-4489-9B30-173E00833961}"/>
    <cellStyle name="Normal 9 2 3 3 6 3" xfId="28066" xr:uid="{1CB33C86-6539-4D9F-94E4-AE888E16126D}"/>
    <cellStyle name="Normal 9 2 3 3 6 4" xfId="19625" xr:uid="{374C40AD-3C55-4173-B94E-A453006276F1}"/>
    <cellStyle name="Normal 9 2 3 3 6 5" xfId="11184" xr:uid="{7F6A7793-0F29-44A3-8B1E-CC108EAFDEAC}"/>
    <cellStyle name="Normal 9 2 3 3 7" xfId="4887" xr:uid="{00000000-0005-0000-0000-0000481F0000}"/>
    <cellStyle name="Normal 9 2 3 3 7 2" xfId="30219" xr:uid="{B3DD7FF2-978F-44A2-8FA3-1FE196AC1039}"/>
    <cellStyle name="Normal 9 2 3 3 7 3" xfId="21778" xr:uid="{AB4B5CF1-C40D-4AFD-8836-24A715C2029E}"/>
    <cellStyle name="Normal 9 2 3 3 7 4" xfId="13337" xr:uid="{3B8D5CEF-5E10-4EE5-BF37-CED7F80038C7}"/>
    <cellStyle name="Normal 9 2 3 3 8" xfId="26001" xr:uid="{ECA38D79-AF84-4B17-BE7E-DADEE1D32DA2}"/>
    <cellStyle name="Normal 9 2 3 3 9" xfId="17560" xr:uid="{24F79BBF-DD13-46C8-A82C-3EB572DB3356}"/>
    <cellStyle name="Normal 9 2 3 4" xfId="987" xr:uid="{00000000-0005-0000-0000-0000491F0000}"/>
    <cellStyle name="Normal 9 2 3 4 2" xfId="3220" xr:uid="{00000000-0005-0000-0000-00004A1F0000}"/>
    <cellStyle name="Normal 9 2 3 4 2 2" xfId="7442" xr:uid="{00000000-0005-0000-0000-00004B1F0000}"/>
    <cellStyle name="Normal 9 2 3 4 2 2 2" xfId="32774" xr:uid="{872DB496-2301-4512-8DD6-A36EE7164527}"/>
    <cellStyle name="Normal 9 2 3 4 2 2 3" xfId="24333" xr:uid="{86BA6786-AD88-46AB-919A-7A6C92E5A46E}"/>
    <cellStyle name="Normal 9 2 3 4 2 2 4" xfId="15892" xr:uid="{5E499BDB-7871-40E5-BD1D-B148122F3AD1}"/>
    <cellStyle name="Normal 9 2 3 4 2 3" xfId="28556" xr:uid="{2DB24869-94A0-4887-AA93-D1652C66E374}"/>
    <cellStyle name="Normal 9 2 3 4 2 4" xfId="20115" xr:uid="{39D10263-9603-4289-9DC0-E137E457C331}"/>
    <cellStyle name="Normal 9 2 3 4 2 5" xfId="11674" xr:uid="{80BC6E6A-B3CE-447F-B086-D83187020E68}"/>
    <cellStyle name="Normal 9 2 3 4 3" xfId="5297" xr:uid="{00000000-0005-0000-0000-00004C1F0000}"/>
    <cellStyle name="Normal 9 2 3 4 3 2" xfId="30629" xr:uid="{CD4875C6-88C8-4EF4-AD4E-A36709B1EBDF}"/>
    <cellStyle name="Normal 9 2 3 4 3 3" xfId="22188" xr:uid="{183FCC43-3984-4DC0-878C-C847155AF723}"/>
    <cellStyle name="Normal 9 2 3 4 3 4" xfId="13747" xr:uid="{C534F030-3539-4B49-A02A-0915D9090C2B}"/>
    <cellStyle name="Normal 9 2 3 4 4" xfId="26411" xr:uid="{CB46292C-F6C3-4AF7-9F9C-ECD795DDFFB6}"/>
    <cellStyle name="Normal 9 2 3 4 5" xfId="17970" xr:uid="{786456E0-C5A1-4888-8D8B-91E7D736F463}"/>
    <cellStyle name="Normal 9 2 3 4 6" xfId="9529" xr:uid="{3600CD0A-4615-42D0-B558-3F64FB5F9C9E}"/>
    <cellStyle name="Normal 9 2 3 5" xfId="1403" xr:uid="{00000000-0005-0000-0000-00004D1F0000}"/>
    <cellStyle name="Normal 9 2 3 5 2" xfId="3633" xr:uid="{00000000-0005-0000-0000-00004E1F0000}"/>
    <cellStyle name="Normal 9 2 3 5 2 2" xfId="7855" xr:uid="{00000000-0005-0000-0000-00004F1F0000}"/>
    <cellStyle name="Normal 9 2 3 5 2 2 2" xfId="33187" xr:uid="{52B088C3-C0E6-417F-82ED-D72117C69783}"/>
    <cellStyle name="Normal 9 2 3 5 2 2 3" xfId="24746" xr:uid="{3340FEF0-BB0F-4CE4-921E-F16D42387F0F}"/>
    <cellStyle name="Normal 9 2 3 5 2 2 4" xfId="16305" xr:uid="{DE503C30-7A44-4E8D-A102-C0F19699F27D}"/>
    <cellStyle name="Normal 9 2 3 5 2 3" xfId="28969" xr:uid="{EF843488-3932-4423-B49B-4B364A05D28A}"/>
    <cellStyle name="Normal 9 2 3 5 2 4" xfId="20528" xr:uid="{F02DCB1F-A7F3-4967-B87B-E8844F1E595F}"/>
    <cellStyle name="Normal 9 2 3 5 2 5" xfId="12087" xr:uid="{837043AA-B342-437E-932F-3B99A5F10DB5}"/>
    <cellStyle name="Normal 9 2 3 5 3" xfId="5710" xr:uid="{00000000-0005-0000-0000-0000501F0000}"/>
    <cellStyle name="Normal 9 2 3 5 3 2" xfId="31042" xr:uid="{CBCBA2BD-6618-48FA-A0B2-CA7C9C8F5EF2}"/>
    <cellStyle name="Normal 9 2 3 5 3 3" xfId="22601" xr:uid="{015BDEAB-95A8-4D67-B6FD-41BA75280670}"/>
    <cellStyle name="Normal 9 2 3 5 3 4" xfId="14160" xr:uid="{3CAB0CF4-06C5-43E1-B0ED-69356453E078}"/>
    <cellStyle name="Normal 9 2 3 5 4" xfId="26824" xr:uid="{14D6CA82-E124-4383-A755-73629B6DE856}"/>
    <cellStyle name="Normal 9 2 3 5 5" xfId="18383" xr:uid="{B5B00ED2-4745-4C98-BD4E-9524D208FD3E}"/>
    <cellStyle name="Normal 9 2 3 5 6" xfId="9942" xr:uid="{4E998229-5B7B-4A3A-8B3F-CE6DCE4CEA43}"/>
    <cellStyle name="Normal 9 2 3 6" xfId="1816" xr:uid="{00000000-0005-0000-0000-0000511F0000}"/>
    <cellStyle name="Normal 9 2 3 6 2" xfId="4046" xr:uid="{00000000-0005-0000-0000-0000521F0000}"/>
    <cellStyle name="Normal 9 2 3 6 2 2" xfId="8268" xr:uid="{00000000-0005-0000-0000-0000531F0000}"/>
    <cellStyle name="Normal 9 2 3 6 2 2 2" xfId="33600" xr:uid="{1C18A58D-D8AB-4188-ADAC-989E291AF4C3}"/>
    <cellStyle name="Normal 9 2 3 6 2 2 3" xfId="25159" xr:uid="{F801053E-25D5-459A-93D4-84231226990A}"/>
    <cellStyle name="Normal 9 2 3 6 2 2 4" xfId="16718" xr:uid="{B3CE06E3-DF15-4757-99B9-82345D304A7A}"/>
    <cellStyle name="Normal 9 2 3 6 2 3" xfId="29382" xr:uid="{2F4439CA-DE81-4415-AF7A-DA6FF207048D}"/>
    <cellStyle name="Normal 9 2 3 6 2 4" xfId="20941" xr:uid="{984DEF57-CB2E-4276-BC4B-DD8EF387B4A4}"/>
    <cellStyle name="Normal 9 2 3 6 2 5" xfId="12500" xr:uid="{56DDA07F-25B4-4809-90A2-C26A849BA651}"/>
    <cellStyle name="Normal 9 2 3 6 3" xfId="6123" xr:uid="{00000000-0005-0000-0000-0000541F0000}"/>
    <cellStyle name="Normal 9 2 3 6 3 2" xfId="31455" xr:uid="{5F6E739F-62E7-4427-ABAC-33FF19B31CD2}"/>
    <cellStyle name="Normal 9 2 3 6 3 3" xfId="23014" xr:uid="{538995B6-59BA-4B38-9B7F-8766B8182E0D}"/>
    <cellStyle name="Normal 9 2 3 6 3 4" xfId="14573" xr:uid="{7B64CE25-B0FC-43AE-9C8A-E5BDE6C5F203}"/>
    <cellStyle name="Normal 9 2 3 6 4" xfId="27237" xr:uid="{DB1DE9F2-E29B-4F74-9E6E-210D72D65AC8}"/>
    <cellStyle name="Normal 9 2 3 6 5" xfId="18796" xr:uid="{71E2820A-84FB-4DAB-8AEF-6BA9538EC9F8}"/>
    <cellStyle name="Normal 9 2 3 6 6" xfId="10355" xr:uid="{3331CC46-CA20-4135-8AF8-ED0CE9780997}"/>
    <cellStyle name="Normal 9 2 3 7" xfId="2230" xr:uid="{00000000-0005-0000-0000-0000551F0000}"/>
    <cellStyle name="Normal 9 2 3 7 2" xfId="4459" xr:uid="{00000000-0005-0000-0000-0000561F0000}"/>
    <cellStyle name="Normal 9 2 3 7 2 2" xfId="8681" xr:uid="{00000000-0005-0000-0000-0000571F0000}"/>
    <cellStyle name="Normal 9 2 3 7 2 2 2" xfId="34013" xr:uid="{7E953281-B1CD-43EE-9AA1-632E8F6B7B30}"/>
    <cellStyle name="Normal 9 2 3 7 2 2 3" xfId="25572" xr:uid="{B800B5EE-EDF5-4621-AEEB-B575445B7BB5}"/>
    <cellStyle name="Normal 9 2 3 7 2 2 4" xfId="17131" xr:uid="{E82914D2-1F5F-4841-BC14-5E7F71AD90E5}"/>
    <cellStyle name="Normal 9 2 3 7 2 3" xfId="29795" xr:uid="{207600DA-3D79-40FC-844F-3C72E98FDED6}"/>
    <cellStyle name="Normal 9 2 3 7 2 4" xfId="21354" xr:uid="{8B011746-D767-4B20-9317-DDCA499E9807}"/>
    <cellStyle name="Normal 9 2 3 7 2 5" xfId="12913" xr:uid="{496D3364-7AE4-4F4B-B11C-AB56ED7E4260}"/>
    <cellStyle name="Normal 9 2 3 7 3" xfId="6536" xr:uid="{00000000-0005-0000-0000-0000581F0000}"/>
    <cellStyle name="Normal 9 2 3 7 3 2" xfId="31868" xr:uid="{72A93077-329A-459F-A9AE-BE04DCC37E70}"/>
    <cellStyle name="Normal 9 2 3 7 3 3" xfId="23427" xr:uid="{7EB89891-4FCE-452C-B570-73D4B39A578A}"/>
    <cellStyle name="Normal 9 2 3 7 3 4" xfId="14986" xr:uid="{E47283CA-6A97-4F3A-AF47-D522AFF120D0}"/>
    <cellStyle name="Normal 9 2 3 7 4" xfId="27650" xr:uid="{2DB8CECC-4BBC-4338-8851-414E7C38433F}"/>
    <cellStyle name="Normal 9 2 3 7 5" xfId="19209" xr:uid="{DBA2CD6D-0E28-4D94-B80D-CD841EEA6B27}"/>
    <cellStyle name="Normal 9 2 3 7 6" xfId="10768" xr:uid="{9A554064-9A43-49F2-BBA4-8E374CDFC75C}"/>
    <cellStyle name="Normal 9 2 3 8" xfId="2666" xr:uid="{00000000-0005-0000-0000-0000591F0000}"/>
    <cellStyle name="Normal 9 2 3 8 2" xfId="6949" xr:uid="{00000000-0005-0000-0000-00005A1F0000}"/>
    <cellStyle name="Normal 9 2 3 8 2 2" xfId="32281" xr:uid="{67A78EB3-3B49-46D2-9C33-233CC0CD4D64}"/>
    <cellStyle name="Normal 9 2 3 8 2 3" xfId="23840" xr:uid="{73AD3C2D-0C5B-47B0-B018-B0F38AF61E63}"/>
    <cellStyle name="Normal 9 2 3 8 2 4" xfId="15399" xr:uid="{A63034B6-8B93-4B00-91D1-A7D0641DBF60}"/>
    <cellStyle name="Normal 9 2 3 8 3" xfId="28063" xr:uid="{36A83AD3-DE5A-47CE-A305-115D22903E1A}"/>
    <cellStyle name="Normal 9 2 3 8 4" xfId="19622" xr:uid="{0EBF1CF1-4274-46B2-A3D7-40CA653DC883}"/>
    <cellStyle name="Normal 9 2 3 8 5" xfId="11181" xr:uid="{A111F783-AD61-4352-84C2-5DD9BAB0D292}"/>
    <cellStyle name="Normal 9 2 3 9" xfId="4884" xr:uid="{00000000-0005-0000-0000-00005B1F0000}"/>
    <cellStyle name="Normal 9 2 3 9 2" xfId="30216" xr:uid="{028E97AE-832E-4396-AD9C-1657F8F65A9A}"/>
    <cellStyle name="Normal 9 2 3 9 3" xfId="21775" xr:uid="{29C38CCB-09FC-4404-93F3-7BC956DB5C82}"/>
    <cellStyle name="Normal 9 2 3 9 4" xfId="13334" xr:uid="{7DE77190-E4F7-4596-936C-0F5705C5A0CC}"/>
    <cellStyle name="Normal 9 2 4" xfId="524" xr:uid="{00000000-0005-0000-0000-00005C1F0000}"/>
    <cellStyle name="Normal 9 2 4 10" xfId="17561" xr:uid="{168DC779-4A53-4A6A-A390-E3FE095A07C3}"/>
    <cellStyle name="Normal 9 2 4 11" xfId="9120" xr:uid="{CC40891A-12FB-4D34-9DDF-772E1244C48F}"/>
    <cellStyle name="Normal 9 2 4 2" xfId="525" xr:uid="{00000000-0005-0000-0000-00005D1F0000}"/>
    <cellStyle name="Normal 9 2 4 2 10" xfId="9121" xr:uid="{C11BD3E8-5DE3-44A1-84DA-B151E5C6A549}"/>
    <cellStyle name="Normal 9 2 4 2 2" xfId="992" xr:uid="{00000000-0005-0000-0000-00005E1F0000}"/>
    <cellStyle name="Normal 9 2 4 2 2 2" xfId="3225" xr:uid="{00000000-0005-0000-0000-00005F1F0000}"/>
    <cellStyle name="Normal 9 2 4 2 2 2 2" xfId="7447" xr:uid="{00000000-0005-0000-0000-0000601F0000}"/>
    <cellStyle name="Normal 9 2 4 2 2 2 2 2" xfId="32779" xr:uid="{70A1CC98-42D3-48FB-983D-DFE410A00A0D}"/>
    <cellStyle name="Normal 9 2 4 2 2 2 2 3" xfId="24338" xr:uid="{2253539C-C928-4E62-8AE4-A7070223E1F2}"/>
    <cellStyle name="Normal 9 2 4 2 2 2 2 4" xfId="15897" xr:uid="{AE4553E3-2F8E-4FBC-9328-C06B41F7718B}"/>
    <cellStyle name="Normal 9 2 4 2 2 2 3" xfId="28561" xr:uid="{DB0B6405-581C-4854-A9CF-DC40F086F62E}"/>
    <cellStyle name="Normal 9 2 4 2 2 2 4" xfId="20120" xr:uid="{3712DCDE-9E84-42C5-9846-B59E5C7172A1}"/>
    <cellStyle name="Normal 9 2 4 2 2 2 5" xfId="11679" xr:uid="{8E1A9822-13CB-4CF8-8FF2-C566F019D569}"/>
    <cellStyle name="Normal 9 2 4 2 2 3" xfId="5302" xr:uid="{00000000-0005-0000-0000-0000611F0000}"/>
    <cellStyle name="Normal 9 2 4 2 2 3 2" xfId="30634" xr:uid="{6BE9E7F0-4F59-4523-9F49-73655468C684}"/>
    <cellStyle name="Normal 9 2 4 2 2 3 3" xfId="22193" xr:uid="{180BB9EF-F78B-4E9C-B97C-CE238C8D12EC}"/>
    <cellStyle name="Normal 9 2 4 2 2 3 4" xfId="13752" xr:uid="{9873F29C-123F-4FC9-A071-B5F10A4C9EBE}"/>
    <cellStyle name="Normal 9 2 4 2 2 4" xfId="26416" xr:uid="{81DC8664-F2C9-45A9-ACFE-03AF09A095A5}"/>
    <cellStyle name="Normal 9 2 4 2 2 5" xfId="17975" xr:uid="{C0FC81EB-B77C-4F3B-8C34-19DA0EEE9C8A}"/>
    <cellStyle name="Normal 9 2 4 2 2 6" xfId="9534" xr:uid="{2237F2B7-6BE7-4F72-A702-9EFAB668A4EA}"/>
    <cellStyle name="Normal 9 2 4 2 3" xfId="1408" xr:uid="{00000000-0005-0000-0000-0000621F0000}"/>
    <cellStyle name="Normal 9 2 4 2 3 2" xfId="3638" xr:uid="{00000000-0005-0000-0000-0000631F0000}"/>
    <cellStyle name="Normal 9 2 4 2 3 2 2" xfId="7860" xr:uid="{00000000-0005-0000-0000-0000641F0000}"/>
    <cellStyle name="Normal 9 2 4 2 3 2 2 2" xfId="33192" xr:uid="{F6F4FD28-0748-49F3-BB33-FE58E9E84ABF}"/>
    <cellStyle name="Normal 9 2 4 2 3 2 2 3" xfId="24751" xr:uid="{7A6A7192-A4A1-46CF-8543-2554BD5B7E75}"/>
    <cellStyle name="Normal 9 2 4 2 3 2 2 4" xfId="16310" xr:uid="{025D7A7B-47F2-4986-BC5E-444962C426E2}"/>
    <cellStyle name="Normal 9 2 4 2 3 2 3" xfId="28974" xr:uid="{B959E3F8-95B0-4DDA-ACD0-E841433E9065}"/>
    <cellStyle name="Normal 9 2 4 2 3 2 4" xfId="20533" xr:uid="{5E0282CD-F902-4ECB-BC0A-AF36F078DCE2}"/>
    <cellStyle name="Normal 9 2 4 2 3 2 5" xfId="12092" xr:uid="{44F03222-3BD3-4455-B365-933958CDEA34}"/>
    <cellStyle name="Normal 9 2 4 2 3 3" xfId="5715" xr:uid="{00000000-0005-0000-0000-0000651F0000}"/>
    <cellStyle name="Normal 9 2 4 2 3 3 2" xfId="31047" xr:uid="{0E9AD0A0-C3D0-46BC-99D0-BFA4A2FE8EBE}"/>
    <cellStyle name="Normal 9 2 4 2 3 3 3" xfId="22606" xr:uid="{FAD75EE4-E049-4026-BDF8-67F879DA1C36}"/>
    <cellStyle name="Normal 9 2 4 2 3 3 4" xfId="14165" xr:uid="{5B5F2B0E-C740-48B3-AF92-A26EF0A8C669}"/>
    <cellStyle name="Normal 9 2 4 2 3 4" xfId="26829" xr:uid="{9CD625BA-C45A-4EB1-BB00-8117445474F4}"/>
    <cellStyle name="Normal 9 2 4 2 3 5" xfId="18388" xr:uid="{D031FE6A-0C74-4F93-AC63-A0B6B2FB7BAF}"/>
    <cellStyle name="Normal 9 2 4 2 3 6" xfId="9947" xr:uid="{CF1AAE17-9E2D-4D34-9775-16DE2E6FB5F4}"/>
    <cellStyle name="Normal 9 2 4 2 4" xfId="1821" xr:uid="{00000000-0005-0000-0000-0000661F0000}"/>
    <cellStyle name="Normal 9 2 4 2 4 2" xfId="4051" xr:uid="{00000000-0005-0000-0000-0000671F0000}"/>
    <cellStyle name="Normal 9 2 4 2 4 2 2" xfId="8273" xr:uid="{00000000-0005-0000-0000-0000681F0000}"/>
    <cellStyle name="Normal 9 2 4 2 4 2 2 2" xfId="33605" xr:uid="{A3B93E66-DBDD-43FD-A38F-0BCBD9B97E9B}"/>
    <cellStyle name="Normal 9 2 4 2 4 2 2 3" xfId="25164" xr:uid="{19B1750D-5E91-45E7-97CA-6451BC46B28D}"/>
    <cellStyle name="Normal 9 2 4 2 4 2 2 4" xfId="16723" xr:uid="{36FE591D-7EB5-40E6-83E6-B60389546B76}"/>
    <cellStyle name="Normal 9 2 4 2 4 2 3" xfId="29387" xr:uid="{10C25367-2C68-4CBB-9D51-31E49C60919F}"/>
    <cellStyle name="Normal 9 2 4 2 4 2 4" xfId="20946" xr:uid="{E9DE1F34-0005-4AC7-B332-0CA91874B26F}"/>
    <cellStyle name="Normal 9 2 4 2 4 2 5" xfId="12505" xr:uid="{B107DF2F-DA71-4BB9-A2BD-BDF7AC0AF54F}"/>
    <cellStyle name="Normal 9 2 4 2 4 3" xfId="6128" xr:uid="{00000000-0005-0000-0000-0000691F0000}"/>
    <cellStyle name="Normal 9 2 4 2 4 3 2" xfId="31460" xr:uid="{77752F53-844E-4AA7-9A24-4EDCF48CA578}"/>
    <cellStyle name="Normal 9 2 4 2 4 3 3" xfId="23019" xr:uid="{B69C717B-FAC0-4F30-816E-69E1CB07BD34}"/>
    <cellStyle name="Normal 9 2 4 2 4 3 4" xfId="14578" xr:uid="{0B44133A-C34D-4612-B0CD-356F540C3CD4}"/>
    <cellStyle name="Normal 9 2 4 2 4 4" xfId="27242" xr:uid="{7D47A19D-D847-4AD2-A0B0-FE1DA68D9C9E}"/>
    <cellStyle name="Normal 9 2 4 2 4 5" xfId="18801" xr:uid="{601725A0-7CB3-45B4-AE9D-618D06C61784}"/>
    <cellStyle name="Normal 9 2 4 2 4 6" xfId="10360" xr:uid="{F4B54CBB-4FA8-4E67-BF42-5306107F6D16}"/>
    <cellStyle name="Normal 9 2 4 2 5" xfId="2235" xr:uid="{00000000-0005-0000-0000-00006A1F0000}"/>
    <cellStyle name="Normal 9 2 4 2 5 2" xfId="4464" xr:uid="{00000000-0005-0000-0000-00006B1F0000}"/>
    <cellStyle name="Normal 9 2 4 2 5 2 2" xfId="8686" xr:uid="{00000000-0005-0000-0000-00006C1F0000}"/>
    <cellStyle name="Normal 9 2 4 2 5 2 2 2" xfId="34018" xr:uid="{F341F862-3EF5-4424-B125-3697979DDE6D}"/>
    <cellStyle name="Normal 9 2 4 2 5 2 2 3" xfId="25577" xr:uid="{49B5B344-F63C-4235-ABE5-D809C6E404AE}"/>
    <cellStyle name="Normal 9 2 4 2 5 2 2 4" xfId="17136" xr:uid="{4E1FC161-32FC-4535-98FE-083E960DE29A}"/>
    <cellStyle name="Normal 9 2 4 2 5 2 3" xfId="29800" xr:uid="{E82D49A9-4415-4979-B195-F519BDD32780}"/>
    <cellStyle name="Normal 9 2 4 2 5 2 4" xfId="21359" xr:uid="{C7B2BF9D-49F8-4AC7-8CF0-13F5E40D5050}"/>
    <cellStyle name="Normal 9 2 4 2 5 2 5" xfId="12918" xr:uid="{161F63CD-0336-4984-8CD5-FA95BD51FAE5}"/>
    <cellStyle name="Normal 9 2 4 2 5 3" xfId="6541" xr:uid="{00000000-0005-0000-0000-00006D1F0000}"/>
    <cellStyle name="Normal 9 2 4 2 5 3 2" xfId="31873" xr:uid="{441C1A65-DEC6-462D-83C7-05150EE68F69}"/>
    <cellStyle name="Normal 9 2 4 2 5 3 3" xfId="23432" xr:uid="{A9885AA8-F75E-41D3-AEEC-26DB22628B16}"/>
    <cellStyle name="Normal 9 2 4 2 5 3 4" xfId="14991" xr:uid="{6CF13320-E21B-44AB-A8C4-1C0E94D6D19B}"/>
    <cellStyle name="Normal 9 2 4 2 5 4" xfId="27655" xr:uid="{9C9FED52-3D80-4CB8-A4E7-EC498695BA89}"/>
    <cellStyle name="Normal 9 2 4 2 5 5" xfId="19214" xr:uid="{E1DA4C44-FBAF-42B6-B012-FC72771ADE00}"/>
    <cellStyle name="Normal 9 2 4 2 5 6" xfId="10773" xr:uid="{D0379FFC-9BBA-4EB0-8077-F187C621C765}"/>
    <cellStyle name="Normal 9 2 4 2 6" xfId="2671" xr:uid="{00000000-0005-0000-0000-00006E1F0000}"/>
    <cellStyle name="Normal 9 2 4 2 6 2" xfId="6954" xr:uid="{00000000-0005-0000-0000-00006F1F0000}"/>
    <cellStyle name="Normal 9 2 4 2 6 2 2" xfId="32286" xr:uid="{C9D6C687-9DED-4498-82D9-CBD3D985D878}"/>
    <cellStyle name="Normal 9 2 4 2 6 2 3" xfId="23845" xr:uid="{772274B6-8B9F-4F3A-921C-9E81BB2C2918}"/>
    <cellStyle name="Normal 9 2 4 2 6 2 4" xfId="15404" xr:uid="{041064CA-A78C-4E3C-9DF7-1005D0F05E9B}"/>
    <cellStyle name="Normal 9 2 4 2 6 3" xfId="28068" xr:uid="{53D55B8E-CF3E-46F4-B902-82DA99EF41E6}"/>
    <cellStyle name="Normal 9 2 4 2 6 4" xfId="19627" xr:uid="{85CB6F04-48A6-433F-AF1C-964DD669E824}"/>
    <cellStyle name="Normal 9 2 4 2 6 5" xfId="11186" xr:uid="{607DB867-0A9C-432C-978C-A938A8E84FD2}"/>
    <cellStyle name="Normal 9 2 4 2 7" xfId="4889" xr:uid="{00000000-0005-0000-0000-0000701F0000}"/>
    <cellStyle name="Normal 9 2 4 2 7 2" xfId="30221" xr:uid="{2E5ABA68-A2F1-4D07-9023-E4D1CED4EB24}"/>
    <cellStyle name="Normal 9 2 4 2 7 3" xfId="21780" xr:uid="{80FA762F-1AAD-4EA7-956E-480ECC9FAED0}"/>
    <cellStyle name="Normal 9 2 4 2 7 4" xfId="13339" xr:uid="{8ED83263-02F3-48E8-8270-C5C14E97254D}"/>
    <cellStyle name="Normal 9 2 4 2 8" xfId="26003" xr:uid="{E986ABF8-BC8A-46BD-BF7D-37D3AC46AF53}"/>
    <cellStyle name="Normal 9 2 4 2 9" xfId="17562" xr:uid="{95744742-2708-403D-9AEC-60A430A21197}"/>
    <cellStyle name="Normal 9 2 4 3" xfId="991" xr:uid="{00000000-0005-0000-0000-0000711F0000}"/>
    <cellStyle name="Normal 9 2 4 3 2" xfId="3224" xr:uid="{00000000-0005-0000-0000-0000721F0000}"/>
    <cellStyle name="Normal 9 2 4 3 2 2" xfId="7446" xr:uid="{00000000-0005-0000-0000-0000731F0000}"/>
    <cellStyle name="Normal 9 2 4 3 2 2 2" xfId="32778" xr:uid="{BCF3512E-4BAF-4C66-A2B4-CEBE4A5084C3}"/>
    <cellStyle name="Normal 9 2 4 3 2 2 3" xfId="24337" xr:uid="{B87AAD8A-73B6-436D-B5E0-8A51E974CDF5}"/>
    <cellStyle name="Normal 9 2 4 3 2 2 4" xfId="15896" xr:uid="{C3750493-A7CA-46BA-B71D-E61EE2AA291A}"/>
    <cellStyle name="Normal 9 2 4 3 2 3" xfId="28560" xr:uid="{4715C692-FFB2-4D54-B48E-84FDCD431274}"/>
    <cellStyle name="Normal 9 2 4 3 2 4" xfId="20119" xr:uid="{73EB081D-03C2-49F3-BD17-6F092C0A2CAD}"/>
    <cellStyle name="Normal 9 2 4 3 2 5" xfId="11678" xr:uid="{59C7F147-4DDA-46A1-AC09-6AD3D04E3C71}"/>
    <cellStyle name="Normal 9 2 4 3 3" xfId="5301" xr:uid="{00000000-0005-0000-0000-0000741F0000}"/>
    <cellStyle name="Normal 9 2 4 3 3 2" xfId="30633" xr:uid="{5C5A09FC-624A-45E9-BA97-8C6B2BB98CEA}"/>
    <cellStyle name="Normal 9 2 4 3 3 3" xfId="22192" xr:uid="{0F9052D5-3707-4A8E-A016-F39CE38AFC26}"/>
    <cellStyle name="Normal 9 2 4 3 3 4" xfId="13751" xr:uid="{DA142FCD-3F60-4B06-BA75-B147BDC9736B}"/>
    <cellStyle name="Normal 9 2 4 3 4" xfId="26415" xr:uid="{68B5F916-4C84-4A74-ADFB-587C0EF78EC3}"/>
    <cellStyle name="Normal 9 2 4 3 5" xfId="17974" xr:uid="{B1DDA19C-4164-41FD-AD12-CE2A6EB56B35}"/>
    <cellStyle name="Normal 9 2 4 3 6" xfId="9533" xr:uid="{E8A8C8C5-509A-4467-8DB5-304C70077056}"/>
    <cellStyle name="Normal 9 2 4 4" xfId="1407" xr:uid="{00000000-0005-0000-0000-0000751F0000}"/>
    <cellStyle name="Normal 9 2 4 4 2" xfId="3637" xr:uid="{00000000-0005-0000-0000-0000761F0000}"/>
    <cellStyle name="Normal 9 2 4 4 2 2" xfId="7859" xr:uid="{00000000-0005-0000-0000-0000771F0000}"/>
    <cellStyle name="Normal 9 2 4 4 2 2 2" xfId="33191" xr:uid="{FA9472FE-45AA-48DC-BAB6-F31F00DBC4D2}"/>
    <cellStyle name="Normal 9 2 4 4 2 2 3" xfId="24750" xr:uid="{D15D715C-222D-402F-B113-9F888A3C96CF}"/>
    <cellStyle name="Normal 9 2 4 4 2 2 4" xfId="16309" xr:uid="{00A59167-7A02-462F-9042-9AD8A34A21FC}"/>
    <cellStyle name="Normal 9 2 4 4 2 3" xfId="28973" xr:uid="{65688B12-33A4-4FDC-8CAC-7855DAD5476C}"/>
    <cellStyle name="Normal 9 2 4 4 2 4" xfId="20532" xr:uid="{ED626C65-3DDC-4561-8A85-B512D86A4EED}"/>
    <cellStyle name="Normal 9 2 4 4 2 5" xfId="12091" xr:uid="{D52B3B3E-66EF-4183-A103-DC5E103DD718}"/>
    <cellStyle name="Normal 9 2 4 4 3" xfId="5714" xr:uid="{00000000-0005-0000-0000-0000781F0000}"/>
    <cellStyle name="Normal 9 2 4 4 3 2" xfId="31046" xr:uid="{31E61BB3-1238-4380-947D-4FF57A245690}"/>
    <cellStyle name="Normal 9 2 4 4 3 3" xfId="22605" xr:uid="{D68BF685-AB1C-41FF-A38A-5DDF5FB8B556}"/>
    <cellStyle name="Normal 9 2 4 4 3 4" xfId="14164" xr:uid="{C86128E0-4FE4-4103-9E10-50808244324D}"/>
    <cellStyle name="Normal 9 2 4 4 4" xfId="26828" xr:uid="{7FB8C85F-40CE-4C53-9B02-5CCEB437E3A1}"/>
    <cellStyle name="Normal 9 2 4 4 5" xfId="18387" xr:uid="{A85E257C-0985-4760-BCE2-23F8CA9EF46F}"/>
    <cellStyle name="Normal 9 2 4 4 6" xfId="9946" xr:uid="{B5B5B3F3-3219-4932-90AC-CAAB6BAF90B1}"/>
    <cellStyle name="Normal 9 2 4 5" xfId="1820" xr:uid="{00000000-0005-0000-0000-0000791F0000}"/>
    <cellStyle name="Normal 9 2 4 5 2" xfId="4050" xr:uid="{00000000-0005-0000-0000-00007A1F0000}"/>
    <cellStyle name="Normal 9 2 4 5 2 2" xfId="8272" xr:uid="{00000000-0005-0000-0000-00007B1F0000}"/>
    <cellStyle name="Normal 9 2 4 5 2 2 2" xfId="33604" xr:uid="{05758C9F-65B1-4C25-8297-EA120E9AA04E}"/>
    <cellStyle name="Normal 9 2 4 5 2 2 3" xfId="25163" xr:uid="{9F6D0971-7A5A-4DC0-9269-29485BB807A7}"/>
    <cellStyle name="Normal 9 2 4 5 2 2 4" xfId="16722" xr:uid="{7279D833-F15E-4CE3-A462-7E7653E8BB0B}"/>
    <cellStyle name="Normal 9 2 4 5 2 3" xfId="29386" xr:uid="{76F60E43-408E-40F7-89FF-F4CCFD35A0F1}"/>
    <cellStyle name="Normal 9 2 4 5 2 4" xfId="20945" xr:uid="{D5C7DEAC-2CE6-4E7E-AA31-454CF6885A8F}"/>
    <cellStyle name="Normal 9 2 4 5 2 5" xfId="12504" xr:uid="{8F2CDE81-BEDC-44EA-B450-F482AC132888}"/>
    <cellStyle name="Normal 9 2 4 5 3" xfId="6127" xr:uid="{00000000-0005-0000-0000-00007C1F0000}"/>
    <cellStyle name="Normal 9 2 4 5 3 2" xfId="31459" xr:uid="{0BAE4CBE-D428-4D91-885B-50F771683117}"/>
    <cellStyle name="Normal 9 2 4 5 3 3" xfId="23018" xr:uid="{5E0B0825-FC95-44BD-BB59-FC002E83D3A5}"/>
    <cellStyle name="Normal 9 2 4 5 3 4" xfId="14577" xr:uid="{CABCF2EC-0C72-4B0D-A530-0C4EA1CC0A56}"/>
    <cellStyle name="Normal 9 2 4 5 4" xfId="27241" xr:uid="{774051C5-4F7F-411A-A4AB-87B6F09D2A1C}"/>
    <cellStyle name="Normal 9 2 4 5 5" xfId="18800" xr:uid="{46A57886-5FAF-43A4-A244-FE0D4A1BF66A}"/>
    <cellStyle name="Normal 9 2 4 5 6" xfId="10359" xr:uid="{32555E92-2897-42D9-A53A-9CA1B11491F9}"/>
    <cellStyle name="Normal 9 2 4 6" xfId="2234" xr:uid="{00000000-0005-0000-0000-00007D1F0000}"/>
    <cellStyle name="Normal 9 2 4 6 2" xfId="4463" xr:uid="{00000000-0005-0000-0000-00007E1F0000}"/>
    <cellStyle name="Normal 9 2 4 6 2 2" xfId="8685" xr:uid="{00000000-0005-0000-0000-00007F1F0000}"/>
    <cellStyle name="Normal 9 2 4 6 2 2 2" xfId="34017" xr:uid="{AC03D1F4-2395-4F75-974F-A157DC75F0CD}"/>
    <cellStyle name="Normal 9 2 4 6 2 2 3" xfId="25576" xr:uid="{25C8A46F-A10E-4513-96BA-994EFE79FA4B}"/>
    <cellStyle name="Normal 9 2 4 6 2 2 4" xfId="17135" xr:uid="{1F6CA077-C552-4A0C-A5D8-1F397C64D240}"/>
    <cellStyle name="Normal 9 2 4 6 2 3" xfId="29799" xr:uid="{3B8F5632-D1EF-4E77-A436-BB05FD9FA655}"/>
    <cellStyle name="Normal 9 2 4 6 2 4" xfId="21358" xr:uid="{15AB6555-A4D3-41B9-882C-BF2413D54013}"/>
    <cellStyle name="Normal 9 2 4 6 2 5" xfId="12917" xr:uid="{1C3612B6-92D6-498F-9778-E38A68A65AE8}"/>
    <cellStyle name="Normal 9 2 4 6 3" xfId="6540" xr:uid="{00000000-0005-0000-0000-0000801F0000}"/>
    <cellStyle name="Normal 9 2 4 6 3 2" xfId="31872" xr:uid="{A425FB7E-8224-41D7-A771-B9914A1312F2}"/>
    <cellStyle name="Normal 9 2 4 6 3 3" xfId="23431" xr:uid="{E77D94FD-5D21-4037-AE35-EA4853BC45B4}"/>
    <cellStyle name="Normal 9 2 4 6 3 4" xfId="14990" xr:uid="{E7CC6F7F-C31D-4436-8F00-7B342AF704A1}"/>
    <cellStyle name="Normal 9 2 4 6 4" xfId="27654" xr:uid="{ADDF6B6E-C2EB-4534-97E2-F6CA259DFE35}"/>
    <cellStyle name="Normal 9 2 4 6 5" xfId="19213" xr:uid="{886081A3-4F1D-413E-A2B7-055B6032CC36}"/>
    <cellStyle name="Normal 9 2 4 6 6" xfId="10772" xr:uid="{E9BF6659-35C7-4139-8040-2A746B0EF121}"/>
    <cellStyle name="Normal 9 2 4 7" xfId="2670" xr:uid="{00000000-0005-0000-0000-0000811F0000}"/>
    <cellStyle name="Normal 9 2 4 7 2" xfId="6953" xr:uid="{00000000-0005-0000-0000-0000821F0000}"/>
    <cellStyle name="Normal 9 2 4 7 2 2" xfId="32285" xr:uid="{84BF2A14-3F61-432E-8F06-0ABB63B7E4B3}"/>
    <cellStyle name="Normal 9 2 4 7 2 3" xfId="23844" xr:uid="{0748573E-1E49-4264-86CB-E31B8155AE3B}"/>
    <cellStyle name="Normal 9 2 4 7 2 4" xfId="15403" xr:uid="{984FB69C-36CA-4DAF-A4B6-B3873526BBD4}"/>
    <cellStyle name="Normal 9 2 4 7 3" xfId="28067" xr:uid="{BF039CF1-C5A9-4B4A-A841-F608C073FD55}"/>
    <cellStyle name="Normal 9 2 4 7 4" xfId="19626" xr:uid="{24DA3510-0F43-4BF9-A48C-824C9FA48AF0}"/>
    <cellStyle name="Normal 9 2 4 7 5" xfId="11185" xr:uid="{91EB4FCC-73FD-493E-BFE8-E58F9C8059F0}"/>
    <cellStyle name="Normal 9 2 4 8" xfId="4888" xr:uid="{00000000-0005-0000-0000-0000831F0000}"/>
    <cellStyle name="Normal 9 2 4 8 2" xfId="30220" xr:uid="{06ED5693-6823-4772-8A6F-F4AC3E11FD53}"/>
    <cellStyle name="Normal 9 2 4 8 3" xfId="21779" xr:uid="{786678EF-C85C-4A7A-B36F-0E05A345C1E9}"/>
    <cellStyle name="Normal 9 2 4 8 4" xfId="13338" xr:uid="{AF57149F-EFF7-4A7E-99D4-A447D4BDAA57}"/>
    <cellStyle name="Normal 9 2 4 9" xfId="26002" xr:uid="{2775F10C-A0D8-4308-BC76-EDA1F52323AC}"/>
    <cellStyle name="Normal 9 2 5" xfId="526" xr:uid="{00000000-0005-0000-0000-0000841F0000}"/>
    <cellStyle name="Normal 9 2 5 10" xfId="9122" xr:uid="{C1F0744E-43FB-45AF-9787-B9552211926C}"/>
    <cellStyle name="Normal 9 2 5 2" xfId="993" xr:uid="{00000000-0005-0000-0000-0000851F0000}"/>
    <cellStyle name="Normal 9 2 5 2 2" xfId="3226" xr:uid="{00000000-0005-0000-0000-0000861F0000}"/>
    <cellStyle name="Normal 9 2 5 2 2 2" xfId="7448" xr:uid="{00000000-0005-0000-0000-0000871F0000}"/>
    <cellStyle name="Normal 9 2 5 2 2 2 2" xfId="32780" xr:uid="{EC1AE5F1-CB83-4E69-BE47-294094165212}"/>
    <cellStyle name="Normal 9 2 5 2 2 2 3" xfId="24339" xr:uid="{414394CE-1BE7-4F83-874B-465402157617}"/>
    <cellStyle name="Normal 9 2 5 2 2 2 4" xfId="15898" xr:uid="{0CB5D0A6-B8A1-4DCA-BABC-178AB0CC48FB}"/>
    <cellStyle name="Normal 9 2 5 2 2 3" xfId="28562" xr:uid="{52E976DF-E052-4FE1-8D4C-167AD0FD0735}"/>
    <cellStyle name="Normal 9 2 5 2 2 4" xfId="20121" xr:uid="{D0ECF4EE-2848-40D0-9191-1C9154E997A1}"/>
    <cellStyle name="Normal 9 2 5 2 2 5" xfId="11680" xr:uid="{B0740445-F0B8-424B-93C4-DFC86565BD18}"/>
    <cellStyle name="Normal 9 2 5 2 3" xfId="5303" xr:uid="{00000000-0005-0000-0000-0000881F0000}"/>
    <cellStyle name="Normal 9 2 5 2 3 2" xfId="30635" xr:uid="{14D76B09-9277-4CF9-899B-1E21708B60AF}"/>
    <cellStyle name="Normal 9 2 5 2 3 3" xfId="22194" xr:uid="{2748B7CA-D187-4BB7-8844-4A6EBF1D75E0}"/>
    <cellStyle name="Normal 9 2 5 2 3 4" xfId="13753" xr:uid="{B15D90AE-256D-42AD-8623-8004C2C3F503}"/>
    <cellStyle name="Normal 9 2 5 2 4" xfId="26417" xr:uid="{5E90ADA1-5165-4002-99C8-342B84E7ABD7}"/>
    <cellStyle name="Normal 9 2 5 2 5" xfId="17976" xr:uid="{E68E62C6-F981-4E69-B579-CD124E9F557B}"/>
    <cellStyle name="Normal 9 2 5 2 6" xfId="9535" xr:uid="{63852E2A-CC57-4C47-8B6B-9742C71BA4C7}"/>
    <cellStyle name="Normal 9 2 5 3" xfId="1409" xr:uid="{00000000-0005-0000-0000-0000891F0000}"/>
    <cellStyle name="Normal 9 2 5 3 2" xfId="3639" xr:uid="{00000000-0005-0000-0000-00008A1F0000}"/>
    <cellStyle name="Normal 9 2 5 3 2 2" xfId="7861" xr:uid="{00000000-0005-0000-0000-00008B1F0000}"/>
    <cellStyle name="Normal 9 2 5 3 2 2 2" xfId="33193" xr:uid="{E74C92B6-0D81-4FF7-A106-5EEB611F5935}"/>
    <cellStyle name="Normal 9 2 5 3 2 2 3" xfId="24752" xr:uid="{19F5CCB3-3970-4576-AC84-4D5CDB1BC096}"/>
    <cellStyle name="Normal 9 2 5 3 2 2 4" xfId="16311" xr:uid="{FABBA978-0FEB-42F1-98D7-BEBC9C2533A4}"/>
    <cellStyle name="Normal 9 2 5 3 2 3" xfId="28975" xr:uid="{A9A1BFE9-0404-428B-91D5-A4D25AFF7542}"/>
    <cellStyle name="Normal 9 2 5 3 2 4" xfId="20534" xr:uid="{3853E896-91C8-4F4F-8834-9EAF7F48A05F}"/>
    <cellStyle name="Normal 9 2 5 3 2 5" xfId="12093" xr:uid="{15AFE2A7-B678-4948-B68E-C567912D83BC}"/>
    <cellStyle name="Normal 9 2 5 3 3" xfId="5716" xr:uid="{00000000-0005-0000-0000-00008C1F0000}"/>
    <cellStyle name="Normal 9 2 5 3 3 2" xfId="31048" xr:uid="{2A85E568-59CB-485D-AB29-2ECCC3D996C8}"/>
    <cellStyle name="Normal 9 2 5 3 3 3" xfId="22607" xr:uid="{B6547739-02F2-42AC-9E07-EF45982BCE51}"/>
    <cellStyle name="Normal 9 2 5 3 3 4" xfId="14166" xr:uid="{6B53904B-7191-4596-8E61-19953CB44AA8}"/>
    <cellStyle name="Normal 9 2 5 3 4" xfId="26830" xr:uid="{5B664CBD-658F-4281-B1A6-5B7F8776314F}"/>
    <cellStyle name="Normal 9 2 5 3 5" xfId="18389" xr:uid="{5E6BBDEE-F260-4B05-BA86-D2F8B96A430C}"/>
    <cellStyle name="Normal 9 2 5 3 6" xfId="9948" xr:uid="{0FD175B3-8B54-411F-B3E5-86350E9DB024}"/>
    <cellStyle name="Normal 9 2 5 4" xfId="1822" xr:uid="{00000000-0005-0000-0000-00008D1F0000}"/>
    <cellStyle name="Normal 9 2 5 4 2" xfId="4052" xr:uid="{00000000-0005-0000-0000-00008E1F0000}"/>
    <cellStyle name="Normal 9 2 5 4 2 2" xfId="8274" xr:uid="{00000000-0005-0000-0000-00008F1F0000}"/>
    <cellStyle name="Normal 9 2 5 4 2 2 2" xfId="33606" xr:uid="{6C498ABB-6EF2-4695-8A09-48AA0E756CAE}"/>
    <cellStyle name="Normal 9 2 5 4 2 2 3" xfId="25165" xr:uid="{6D3C4E2A-9001-4A2F-92FA-A48CBA8817A2}"/>
    <cellStyle name="Normal 9 2 5 4 2 2 4" xfId="16724" xr:uid="{E37D2160-7003-4C1A-839B-524D87F3B97B}"/>
    <cellStyle name="Normal 9 2 5 4 2 3" xfId="29388" xr:uid="{0144DBF0-25C6-4C2C-8257-CEFA8E616570}"/>
    <cellStyle name="Normal 9 2 5 4 2 4" xfId="20947" xr:uid="{F0A27B50-A096-41FA-92AE-BC69F88366FA}"/>
    <cellStyle name="Normal 9 2 5 4 2 5" xfId="12506" xr:uid="{EF7281C8-E906-4092-AEB5-C242E3F6F660}"/>
    <cellStyle name="Normal 9 2 5 4 3" xfId="6129" xr:uid="{00000000-0005-0000-0000-0000901F0000}"/>
    <cellStyle name="Normal 9 2 5 4 3 2" xfId="31461" xr:uid="{0B1B2BFB-A85D-49B4-A8C9-7AE7D3B8B4F9}"/>
    <cellStyle name="Normal 9 2 5 4 3 3" xfId="23020" xr:uid="{6D063CFC-D1AD-459C-8734-1A5CB0212D75}"/>
    <cellStyle name="Normal 9 2 5 4 3 4" xfId="14579" xr:uid="{F502ECB6-DB3E-43DC-9976-FC68E277E71F}"/>
    <cellStyle name="Normal 9 2 5 4 4" xfId="27243" xr:uid="{BB76D110-8DD4-4AE9-B7A2-641F7FC9611B}"/>
    <cellStyle name="Normal 9 2 5 4 5" xfId="18802" xr:uid="{0B69B69C-73D6-4684-8B91-F86BD5E9193A}"/>
    <cellStyle name="Normal 9 2 5 4 6" xfId="10361" xr:uid="{6FA58C05-889C-4EBA-94CF-226B860573F2}"/>
    <cellStyle name="Normal 9 2 5 5" xfId="2236" xr:uid="{00000000-0005-0000-0000-0000911F0000}"/>
    <cellStyle name="Normal 9 2 5 5 2" xfId="4465" xr:uid="{00000000-0005-0000-0000-0000921F0000}"/>
    <cellStyle name="Normal 9 2 5 5 2 2" xfId="8687" xr:uid="{00000000-0005-0000-0000-0000931F0000}"/>
    <cellStyle name="Normal 9 2 5 5 2 2 2" xfId="34019" xr:uid="{8F298A68-836C-4A7C-87CF-73E559462565}"/>
    <cellStyle name="Normal 9 2 5 5 2 2 3" xfId="25578" xr:uid="{65FB5915-2C5B-438F-A2C3-4E5706A275DF}"/>
    <cellStyle name="Normal 9 2 5 5 2 2 4" xfId="17137" xr:uid="{7742CF3B-B386-4BBE-83B5-7AA2A75603F1}"/>
    <cellStyle name="Normal 9 2 5 5 2 3" xfId="29801" xr:uid="{5F8478D1-46F8-4025-9056-50D030E8FA31}"/>
    <cellStyle name="Normal 9 2 5 5 2 4" xfId="21360" xr:uid="{E9A7A681-9C99-4015-9678-158F13167E78}"/>
    <cellStyle name="Normal 9 2 5 5 2 5" xfId="12919" xr:uid="{CB85E9E1-15FB-41FF-BCFE-55A6F60FDC50}"/>
    <cellStyle name="Normal 9 2 5 5 3" xfId="6542" xr:uid="{00000000-0005-0000-0000-0000941F0000}"/>
    <cellStyle name="Normal 9 2 5 5 3 2" xfId="31874" xr:uid="{8D9A8DEE-7849-4751-BDAA-03150336C1B7}"/>
    <cellStyle name="Normal 9 2 5 5 3 3" xfId="23433" xr:uid="{9DBA5700-98D8-4891-8E61-686D440B7D97}"/>
    <cellStyle name="Normal 9 2 5 5 3 4" xfId="14992" xr:uid="{CF13EC71-4D97-4B92-AE2A-00BDA14F32A9}"/>
    <cellStyle name="Normal 9 2 5 5 4" xfId="27656" xr:uid="{ED6EFC7F-7344-4DEE-AD87-B11A772C0811}"/>
    <cellStyle name="Normal 9 2 5 5 5" xfId="19215" xr:uid="{6721C619-5083-448B-B952-AF17B6681BA4}"/>
    <cellStyle name="Normal 9 2 5 5 6" xfId="10774" xr:uid="{F8D40277-5CC0-4969-9BC0-24D18E0268AA}"/>
    <cellStyle name="Normal 9 2 5 6" xfId="2672" xr:uid="{00000000-0005-0000-0000-0000951F0000}"/>
    <cellStyle name="Normal 9 2 5 6 2" xfId="6955" xr:uid="{00000000-0005-0000-0000-0000961F0000}"/>
    <cellStyle name="Normal 9 2 5 6 2 2" xfId="32287" xr:uid="{48B2083F-103D-4FAF-BF98-F1A1044C691E}"/>
    <cellStyle name="Normal 9 2 5 6 2 3" xfId="23846" xr:uid="{4A6EE9E5-EBD8-40F4-B309-3AB791B41003}"/>
    <cellStyle name="Normal 9 2 5 6 2 4" xfId="15405" xr:uid="{5A250115-ECC6-4842-9177-5E708ADA15FB}"/>
    <cellStyle name="Normal 9 2 5 6 3" xfId="28069" xr:uid="{F5A57F60-24C1-4712-8D87-E3C74B287C1C}"/>
    <cellStyle name="Normal 9 2 5 6 4" xfId="19628" xr:uid="{ED8ED897-2402-4ADA-A847-DDD94DA21810}"/>
    <cellStyle name="Normal 9 2 5 6 5" xfId="11187" xr:uid="{53199DF6-6540-4B40-827A-AC12C8D4A7A6}"/>
    <cellStyle name="Normal 9 2 5 7" xfId="4890" xr:uid="{00000000-0005-0000-0000-0000971F0000}"/>
    <cellStyle name="Normal 9 2 5 7 2" xfId="30222" xr:uid="{2EAD5C73-22D5-46ED-BBC2-CAAC974FFA8B}"/>
    <cellStyle name="Normal 9 2 5 7 3" xfId="21781" xr:uid="{F4840501-550E-41A4-8E87-D15EC7CF30D9}"/>
    <cellStyle name="Normal 9 2 5 7 4" xfId="13340" xr:uid="{7159A69C-BB29-47EA-88DC-FED104C113B9}"/>
    <cellStyle name="Normal 9 2 5 8" xfId="26004" xr:uid="{84FAAEB2-CBCA-412D-8977-34FDF8ABF97B}"/>
    <cellStyle name="Normal 9 2 5 9" xfId="17563" xr:uid="{F16104CD-780E-4924-AA89-38542F9491AC}"/>
    <cellStyle name="Normal 9 2 6" xfId="978" xr:uid="{00000000-0005-0000-0000-0000981F0000}"/>
    <cellStyle name="Normal 9 2 6 2" xfId="3211" xr:uid="{00000000-0005-0000-0000-0000991F0000}"/>
    <cellStyle name="Normal 9 2 6 2 2" xfId="7433" xr:uid="{00000000-0005-0000-0000-00009A1F0000}"/>
    <cellStyle name="Normal 9 2 6 2 2 2" xfId="32765" xr:uid="{60AB2592-3C35-4E6B-BA96-C51466B2B957}"/>
    <cellStyle name="Normal 9 2 6 2 2 3" xfId="24324" xr:uid="{7B21F4E1-19A5-4078-A87E-A7BE142C0CAD}"/>
    <cellStyle name="Normal 9 2 6 2 2 4" xfId="15883" xr:uid="{16B0519D-7DA4-4B69-A075-CA1EB4022552}"/>
    <cellStyle name="Normal 9 2 6 2 3" xfId="28547" xr:uid="{40FC4F26-F038-498C-BFC8-EA950BBE7E08}"/>
    <cellStyle name="Normal 9 2 6 2 4" xfId="20106" xr:uid="{B91DC365-E38A-4205-ABDD-9397D8EA3BB9}"/>
    <cellStyle name="Normal 9 2 6 2 5" xfId="11665" xr:uid="{BC338F97-0F4A-4ADC-90B1-36E519044A21}"/>
    <cellStyle name="Normal 9 2 6 3" xfId="5288" xr:uid="{00000000-0005-0000-0000-00009B1F0000}"/>
    <cellStyle name="Normal 9 2 6 3 2" xfId="30620" xr:uid="{97EE3D4D-5F1A-4B43-ABC5-BB9582BAB385}"/>
    <cellStyle name="Normal 9 2 6 3 3" xfId="22179" xr:uid="{11084E6D-B689-4165-9162-242A2A6C496D}"/>
    <cellStyle name="Normal 9 2 6 3 4" xfId="13738" xr:uid="{F2E885D7-5FC2-48D8-B1A8-3C9790767C1C}"/>
    <cellStyle name="Normal 9 2 6 4" xfId="26402" xr:uid="{E293C873-9F97-4B1F-8276-2866C33D5A63}"/>
    <cellStyle name="Normal 9 2 6 5" xfId="17961" xr:uid="{9F76FB1F-2D61-45FC-896D-20B4F4A4360A}"/>
    <cellStyle name="Normal 9 2 6 6" xfId="9520" xr:uid="{8E8ECE74-FBD2-4ADF-AE16-50A61ACCA26E}"/>
    <cellStyle name="Normal 9 2 7" xfId="1394" xr:uid="{00000000-0005-0000-0000-00009C1F0000}"/>
    <cellStyle name="Normal 9 2 7 2" xfId="3624" xr:uid="{00000000-0005-0000-0000-00009D1F0000}"/>
    <cellStyle name="Normal 9 2 7 2 2" xfId="7846" xr:uid="{00000000-0005-0000-0000-00009E1F0000}"/>
    <cellStyle name="Normal 9 2 7 2 2 2" xfId="33178" xr:uid="{A3AB531E-67B7-4C2E-AE3C-DCFFC21A8176}"/>
    <cellStyle name="Normal 9 2 7 2 2 3" xfId="24737" xr:uid="{3458A208-3459-4338-9C50-D893B5D0AAF0}"/>
    <cellStyle name="Normal 9 2 7 2 2 4" xfId="16296" xr:uid="{6CB113D2-2368-40C9-89B1-08D672E12DEE}"/>
    <cellStyle name="Normal 9 2 7 2 3" xfId="28960" xr:uid="{435B3DCD-0CA2-43F9-B187-9DBD273B1FEC}"/>
    <cellStyle name="Normal 9 2 7 2 4" xfId="20519" xr:uid="{C93F837E-BA1D-4F35-A6C8-DCD240E4BD6C}"/>
    <cellStyle name="Normal 9 2 7 2 5" xfId="12078" xr:uid="{98EEB891-C445-42B0-A1C8-3DE42D49EC37}"/>
    <cellStyle name="Normal 9 2 7 3" xfId="5701" xr:uid="{00000000-0005-0000-0000-00009F1F0000}"/>
    <cellStyle name="Normal 9 2 7 3 2" xfId="31033" xr:uid="{0D194EFC-478F-4947-B411-4232BB9ABE7A}"/>
    <cellStyle name="Normal 9 2 7 3 3" xfId="22592" xr:uid="{A043A5AC-B871-4999-A700-8A235425CEE9}"/>
    <cellStyle name="Normal 9 2 7 3 4" xfId="14151" xr:uid="{CC667727-041F-4262-B048-A1FC768ADCD6}"/>
    <cellStyle name="Normal 9 2 7 4" xfId="26815" xr:uid="{10E3471F-5AFA-4CFC-B8BD-4CE10CC73D3F}"/>
    <cellStyle name="Normal 9 2 7 5" xfId="18374" xr:uid="{E4499BA2-4712-49B1-AAE2-FE7DB0FB8B1C}"/>
    <cellStyle name="Normal 9 2 7 6" xfId="9933" xr:uid="{2ADE69AA-5FB1-4849-85BE-3A63336D273D}"/>
    <cellStyle name="Normal 9 2 8" xfId="1807" xr:uid="{00000000-0005-0000-0000-0000A01F0000}"/>
    <cellStyle name="Normal 9 2 8 2" xfId="4037" xr:uid="{00000000-0005-0000-0000-0000A11F0000}"/>
    <cellStyle name="Normal 9 2 8 2 2" xfId="8259" xr:uid="{00000000-0005-0000-0000-0000A21F0000}"/>
    <cellStyle name="Normal 9 2 8 2 2 2" xfId="33591" xr:uid="{A6A36BCA-EB1F-4F71-A2CD-1956741F94B1}"/>
    <cellStyle name="Normal 9 2 8 2 2 3" xfId="25150" xr:uid="{7D3E1762-C98B-4C50-B810-786A90795F92}"/>
    <cellStyle name="Normal 9 2 8 2 2 4" xfId="16709" xr:uid="{72A8CA14-FFB1-4176-BB37-1C1D661DE468}"/>
    <cellStyle name="Normal 9 2 8 2 3" xfId="29373" xr:uid="{3BFA1985-3DC9-4472-9FDA-09774F17AC50}"/>
    <cellStyle name="Normal 9 2 8 2 4" xfId="20932" xr:uid="{E1DBA513-8B00-4946-8349-D193FF7A033D}"/>
    <cellStyle name="Normal 9 2 8 2 5" xfId="12491" xr:uid="{91725D28-484A-4034-8B34-CA228ED6291C}"/>
    <cellStyle name="Normal 9 2 8 3" xfId="6114" xr:uid="{00000000-0005-0000-0000-0000A31F0000}"/>
    <cellStyle name="Normal 9 2 8 3 2" xfId="31446" xr:uid="{1A4F05E6-12CD-484D-B2FB-306E368BA7B6}"/>
    <cellStyle name="Normal 9 2 8 3 3" xfId="23005" xr:uid="{A7586FCA-455E-4BD3-BFDF-3141EBFA1D66}"/>
    <cellStyle name="Normal 9 2 8 3 4" xfId="14564" xr:uid="{773D6F32-5654-4A00-9985-7CE35208EEB4}"/>
    <cellStyle name="Normal 9 2 8 4" xfId="27228" xr:uid="{A35FF57A-8C86-46C0-BF29-F11B42FA33FD}"/>
    <cellStyle name="Normal 9 2 8 5" xfId="18787" xr:uid="{58DFABAC-5356-4972-BEE2-6C4165EB9E91}"/>
    <cellStyle name="Normal 9 2 8 6" xfId="10346" xr:uid="{576C7C95-3A53-48B6-AFBE-9862C62C9FA4}"/>
    <cellStyle name="Normal 9 2 9" xfId="2221" xr:uid="{00000000-0005-0000-0000-0000A41F0000}"/>
    <cellStyle name="Normal 9 2 9 2" xfId="4450" xr:uid="{00000000-0005-0000-0000-0000A51F0000}"/>
    <cellStyle name="Normal 9 2 9 2 2" xfId="8672" xr:uid="{00000000-0005-0000-0000-0000A61F0000}"/>
    <cellStyle name="Normal 9 2 9 2 2 2" xfId="34004" xr:uid="{70944D4D-FD83-44E7-B721-1D8B3D5A107C}"/>
    <cellStyle name="Normal 9 2 9 2 2 3" xfId="25563" xr:uid="{8D661230-A718-4163-92C4-384155983939}"/>
    <cellStyle name="Normal 9 2 9 2 2 4" xfId="17122" xr:uid="{4874BF2B-95AB-4C93-87C1-20114FEDAA86}"/>
    <cellStyle name="Normal 9 2 9 2 3" xfId="29786" xr:uid="{211EB669-FBB1-4587-A253-5D7A5D39BB92}"/>
    <cellStyle name="Normal 9 2 9 2 4" xfId="21345" xr:uid="{D577D9F6-3F60-4449-9427-50DFFA10D19C}"/>
    <cellStyle name="Normal 9 2 9 2 5" xfId="12904" xr:uid="{21B57BE5-F892-459E-9552-EA892887E356}"/>
    <cellStyle name="Normal 9 2 9 3" xfId="6527" xr:uid="{00000000-0005-0000-0000-0000A71F0000}"/>
    <cellStyle name="Normal 9 2 9 3 2" xfId="31859" xr:uid="{B02347F3-0421-40D5-818A-4EC712A78910}"/>
    <cellStyle name="Normal 9 2 9 3 3" xfId="23418" xr:uid="{1593372F-7A3F-4689-8A80-810482AC1AA5}"/>
    <cellStyle name="Normal 9 2 9 3 4" xfId="14977" xr:uid="{E562A84F-D4A9-4215-95A5-64328CDFC1C6}"/>
    <cellStyle name="Normal 9 2 9 4" xfId="27641" xr:uid="{700C5EBD-619C-45A9-B0ED-1CEAC9D2F7DB}"/>
    <cellStyle name="Normal 9 2 9 5" xfId="19200" xr:uid="{1E1295D3-B590-4247-ACF4-3326274C8ADA}"/>
    <cellStyle name="Normal 9 2 9 6" xfId="10759" xr:uid="{D583C164-7CA4-4999-BAE3-321514E5D0FF}"/>
    <cellStyle name="Normal 9 3" xfId="527" xr:uid="{00000000-0005-0000-0000-0000A81F0000}"/>
    <cellStyle name="Normal 9 3 10" xfId="4891" xr:uid="{00000000-0005-0000-0000-0000A91F0000}"/>
    <cellStyle name="Normal 9 3 10 2" xfId="30223" xr:uid="{B3949DFB-9F3F-4E7D-846A-28EE4D63B04F}"/>
    <cellStyle name="Normal 9 3 10 3" xfId="21782" xr:uid="{C09BCACC-8451-47D8-AD29-797FE5B13455}"/>
    <cellStyle name="Normal 9 3 10 4" xfId="13341" xr:uid="{9E32E593-8C62-4CDD-B4CE-E37F79511079}"/>
    <cellStyle name="Normal 9 3 11" xfId="26005" xr:uid="{B9783C28-B2C8-4FD5-97B7-50E675E2B606}"/>
    <cellStyle name="Normal 9 3 12" xfId="17564" xr:uid="{E1A98AA4-7083-4969-A8AF-5B724D38141C}"/>
    <cellStyle name="Normal 9 3 13" xfId="9123" xr:uid="{2C2A193D-AEFA-47DC-A2B2-9630FB13BD20}"/>
    <cellStyle name="Normal 9 3 2" xfId="528" xr:uid="{00000000-0005-0000-0000-0000AA1F0000}"/>
    <cellStyle name="Normal 9 3 2 10" xfId="26006" xr:uid="{335A9E9E-AD48-4AFD-BF6C-D45F8E43E283}"/>
    <cellStyle name="Normal 9 3 2 11" xfId="17565" xr:uid="{E2EEBC49-3DB6-45F2-9BDC-B006F35D6DBC}"/>
    <cellStyle name="Normal 9 3 2 12" xfId="9124" xr:uid="{950EE0BE-850C-489B-BE1E-F95C50D028BF}"/>
    <cellStyle name="Normal 9 3 2 2" xfId="529" xr:uid="{00000000-0005-0000-0000-0000AB1F0000}"/>
    <cellStyle name="Normal 9 3 2 2 10" xfId="17566" xr:uid="{11B55B13-FF56-4B74-B8C0-7EBC8F559184}"/>
    <cellStyle name="Normal 9 3 2 2 11" xfId="9125" xr:uid="{757E12AE-C5CA-4D0E-B427-74BA1E724D16}"/>
    <cellStyle name="Normal 9 3 2 2 2" xfId="530" xr:uid="{00000000-0005-0000-0000-0000AC1F0000}"/>
    <cellStyle name="Normal 9 3 2 2 2 10" xfId="9126" xr:uid="{BA3C76D8-9333-4FDC-8251-4BDD17B833DD}"/>
    <cellStyle name="Normal 9 3 2 2 2 2" xfId="997" xr:uid="{00000000-0005-0000-0000-0000AD1F0000}"/>
    <cellStyle name="Normal 9 3 2 2 2 2 2" xfId="3230" xr:uid="{00000000-0005-0000-0000-0000AE1F0000}"/>
    <cellStyle name="Normal 9 3 2 2 2 2 2 2" xfId="7452" xr:uid="{00000000-0005-0000-0000-0000AF1F0000}"/>
    <cellStyle name="Normal 9 3 2 2 2 2 2 2 2" xfId="32784" xr:uid="{0C8C5BA2-4BF0-4971-8312-6EC3BB74CD50}"/>
    <cellStyle name="Normal 9 3 2 2 2 2 2 2 3" xfId="24343" xr:uid="{89E14264-0E7D-47B5-9F08-B36237ABE649}"/>
    <cellStyle name="Normal 9 3 2 2 2 2 2 2 4" xfId="15902" xr:uid="{35EEEBAA-6F7E-437D-B113-129DD5CDA0F6}"/>
    <cellStyle name="Normal 9 3 2 2 2 2 2 3" xfId="28566" xr:uid="{77B8D9FE-B60F-41A3-BAC5-BDCDA86B21E4}"/>
    <cellStyle name="Normal 9 3 2 2 2 2 2 4" xfId="20125" xr:uid="{A012E910-243E-4573-821F-4779DBF8DD36}"/>
    <cellStyle name="Normal 9 3 2 2 2 2 2 5" xfId="11684" xr:uid="{E8F745AD-AB3C-46EA-8CE9-5AA17FFC9E42}"/>
    <cellStyle name="Normal 9 3 2 2 2 2 3" xfId="5307" xr:uid="{00000000-0005-0000-0000-0000B01F0000}"/>
    <cellStyle name="Normal 9 3 2 2 2 2 3 2" xfId="30639" xr:uid="{C6B38421-65AF-4A3A-8AE4-8C2D60BF17B5}"/>
    <cellStyle name="Normal 9 3 2 2 2 2 3 3" xfId="22198" xr:uid="{55F6F244-A859-45D4-AC07-17413A36D8F4}"/>
    <cellStyle name="Normal 9 3 2 2 2 2 3 4" xfId="13757" xr:uid="{792E9FA6-B0AA-4780-B064-A2E464EB17F9}"/>
    <cellStyle name="Normal 9 3 2 2 2 2 4" xfId="26421" xr:uid="{6E68C7D5-0888-4222-8404-8A56928A939C}"/>
    <cellStyle name="Normal 9 3 2 2 2 2 5" xfId="17980" xr:uid="{9FBC4C65-7F20-4640-8054-229762BA85D4}"/>
    <cellStyle name="Normal 9 3 2 2 2 2 6" xfId="9539" xr:uid="{CEB71A0A-33C7-49B2-BA9B-D151D4E70264}"/>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2 2 2" xfId="33197" xr:uid="{D7EE6535-7199-4CDD-ACF5-C1F6EAAF6D46}"/>
    <cellStyle name="Normal 9 3 2 2 2 3 2 2 3" xfId="24756" xr:uid="{41FE11C7-D04B-4FFE-9E84-42C00990763B}"/>
    <cellStyle name="Normal 9 3 2 2 2 3 2 2 4" xfId="16315" xr:uid="{2F95883A-371B-4CDA-BCEA-A810002AF19C}"/>
    <cellStyle name="Normal 9 3 2 2 2 3 2 3" xfId="28979" xr:uid="{4BDC4779-3CA5-48D0-9E4B-113E8206E60E}"/>
    <cellStyle name="Normal 9 3 2 2 2 3 2 4" xfId="20538" xr:uid="{DD898837-B06C-44CF-9E9C-FED838E11356}"/>
    <cellStyle name="Normal 9 3 2 2 2 3 2 5" xfId="12097" xr:uid="{EFA73DCD-A913-4416-BDD7-852B4AF329A1}"/>
    <cellStyle name="Normal 9 3 2 2 2 3 3" xfId="5720" xr:uid="{00000000-0005-0000-0000-0000B41F0000}"/>
    <cellStyle name="Normal 9 3 2 2 2 3 3 2" xfId="31052" xr:uid="{ACB6C9C8-C3C0-4891-AEAE-176981205268}"/>
    <cellStyle name="Normal 9 3 2 2 2 3 3 3" xfId="22611" xr:uid="{AB2D9388-BE05-41DE-97FF-AA1C1FE8E1AB}"/>
    <cellStyle name="Normal 9 3 2 2 2 3 3 4" xfId="14170" xr:uid="{8DF152C4-6EFB-41DF-84E9-B9F5C7934BC9}"/>
    <cellStyle name="Normal 9 3 2 2 2 3 4" xfId="26834" xr:uid="{A5494E92-339C-45C5-8438-8AC40973858B}"/>
    <cellStyle name="Normal 9 3 2 2 2 3 5" xfId="18393" xr:uid="{684F6C62-ED52-40C3-AA15-0E21641F1824}"/>
    <cellStyle name="Normal 9 3 2 2 2 3 6" xfId="9952" xr:uid="{95F71A7F-7365-4F82-8698-414C21699072}"/>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2 2 2" xfId="33610" xr:uid="{FFEC951D-202A-423A-AA84-82B9AEBB0937}"/>
    <cellStyle name="Normal 9 3 2 2 2 4 2 2 3" xfId="25169" xr:uid="{C04418D4-1C15-4F11-81FF-4411B10C0C9F}"/>
    <cellStyle name="Normal 9 3 2 2 2 4 2 2 4" xfId="16728" xr:uid="{A541334F-315E-4EFA-9708-5150F82E14A0}"/>
    <cellStyle name="Normal 9 3 2 2 2 4 2 3" xfId="29392" xr:uid="{29068283-EDB0-404D-A072-AADA4D138D7C}"/>
    <cellStyle name="Normal 9 3 2 2 2 4 2 4" xfId="20951" xr:uid="{39D9323D-CA34-4FAE-B078-62DDB73B9A4A}"/>
    <cellStyle name="Normal 9 3 2 2 2 4 2 5" xfId="12510" xr:uid="{C9391877-B0C0-4AF0-A937-23E5AB1F706F}"/>
    <cellStyle name="Normal 9 3 2 2 2 4 3" xfId="6133" xr:uid="{00000000-0005-0000-0000-0000B81F0000}"/>
    <cellStyle name="Normal 9 3 2 2 2 4 3 2" xfId="31465" xr:uid="{63C164EC-74B1-47D9-A0EE-728FCBCFB9E4}"/>
    <cellStyle name="Normal 9 3 2 2 2 4 3 3" xfId="23024" xr:uid="{53634487-73B1-49B1-B131-670BF780FB6B}"/>
    <cellStyle name="Normal 9 3 2 2 2 4 3 4" xfId="14583" xr:uid="{6AEEDCE7-054A-439A-823A-64CD0CFBFECC}"/>
    <cellStyle name="Normal 9 3 2 2 2 4 4" xfId="27247" xr:uid="{35EFD82E-2C9F-4ABE-B22F-D2C2095BA950}"/>
    <cellStyle name="Normal 9 3 2 2 2 4 5" xfId="18806" xr:uid="{89856C81-A3CF-48B7-911C-1D82E4587697}"/>
    <cellStyle name="Normal 9 3 2 2 2 4 6" xfId="10365" xr:uid="{9D59C0B0-41B8-4832-A55D-DB4431DCC0C7}"/>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2 2 2" xfId="34023" xr:uid="{2B1E1262-78A5-4BF0-A470-CF2B9363BCF9}"/>
    <cellStyle name="Normal 9 3 2 2 2 5 2 2 3" xfId="25582" xr:uid="{19E1E3A7-4C0B-4055-8EE3-AC066727C4AC}"/>
    <cellStyle name="Normal 9 3 2 2 2 5 2 2 4" xfId="17141" xr:uid="{83736812-003C-495C-B0F1-EECC8B0E6EAA}"/>
    <cellStyle name="Normal 9 3 2 2 2 5 2 3" xfId="29805" xr:uid="{EC3F6780-BD8C-4272-990E-105F3EC57648}"/>
    <cellStyle name="Normal 9 3 2 2 2 5 2 4" xfId="21364" xr:uid="{7F8F73F2-E565-463C-BE45-67C42306AB60}"/>
    <cellStyle name="Normal 9 3 2 2 2 5 2 5" xfId="12923" xr:uid="{CDC395C5-ABC5-408F-BF3D-C851343C6611}"/>
    <cellStyle name="Normal 9 3 2 2 2 5 3" xfId="6546" xr:uid="{00000000-0005-0000-0000-0000BC1F0000}"/>
    <cellStyle name="Normal 9 3 2 2 2 5 3 2" xfId="31878" xr:uid="{50E144D7-F8F7-406C-BC79-EA5768CD444C}"/>
    <cellStyle name="Normal 9 3 2 2 2 5 3 3" xfId="23437" xr:uid="{AB3D7E1F-06C0-44F1-8FA8-2DB7114DE774}"/>
    <cellStyle name="Normal 9 3 2 2 2 5 3 4" xfId="14996" xr:uid="{C7E7D912-AD39-4D2C-BED6-E693B622E9AE}"/>
    <cellStyle name="Normal 9 3 2 2 2 5 4" xfId="27660" xr:uid="{3473F153-D170-4A5F-BE1C-A7B175748BA4}"/>
    <cellStyle name="Normal 9 3 2 2 2 5 5" xfId="19219" xr:uid="{ED90E48B-33E8-4A17-8669-29D694D5CE81}"/>
    <cellStyle name="Normal 9 3 2 2 2 5 6" xfId="10778" xr:uid="{B94132D6-189C-4E6F-85F7-4B5C53C03C72}"/>
    <cellStyle name="Normal 9 3 2 2 2 6" xfId="2676" xr:uid="{00000000-0005-0000-0000-0000BD1F0000}"/>
    <cellStyle name="Normal 9 3 2 2 2 6 2" xfId="6959" xr:uid="{00000000-0005-0000-0000-0000BE1F0000}"/>
    <cellStyle name="Normal 9 3 2 2 2 6 2 2" xfId="32291" xr:uid="{319D788D-BAA2-476E-841D-A4F08E081458}"/>
    <cellStyle name="Normal 9 3 2 2 2 6 2 3" xfId="23850" xr:uid="{0C596AD2-8B4F-437D-8897-28A397BD5E07}"/>
    <cellStyle name="Normal 9 3 2 2 2 6 2 4" xfId="15409" xr:uid="{4A1E47B8-89E0-4EEB-9D1A-0C5A0ED1B7E1}"/>
    <cellStyle name="Normal 9 3 2 2 2 6 3" xfId="28073" xr:uid="{AEBD8DA9-D972-4CBF-921F-CCBE22B587F2}"/>
    <cellStyle name="Normal 9 3 2 2 2 6 4" xfId="19632" xr:uid="{957AA70A-6289-4F36-9B26-CF91055A561F}"/>
    <cellStyle name="Normal 9 3 2 2 2 6 5" xfId="11191" xr:uid="{876C6EB8-1071-4D18-B3EE-0574C3D4F547}"/>
    <cellStyle name="Normal 9 3 2 2 2 7" xfId="4894" xr:uid="{00000000-0005-0000-0000-0000BF1F0000}"/>
    <cellStyle name="Normal 9 3 2 2 2 7 2" xfId="30226" xr:uid="{A14F9D92-03D7-4353-BB17-A29482395EB2}"/>
    <cellStyle name="Normal 9 3 2 2 2 7 3" xfId="21785" xr:uid="{36A3BBB0-F4CC-46BF-8927-7A2B3846E1A9}"/>
    <cellStyle name="Normal 9 3 2 2 2 7 4" xfId="13344" xr:uid="{2F35795A-E655-41B6-B8CE-9240DA1529E8}"/>
    <cellStyle name="Normal 9 3 2 2 2 8" xfId="26008" xr:uid="{BFC0EE7F-DC8C-466D-870B-F52E6CD2CFAE}"/>
    <cellStyle name="Normal 9 3 2 2 2 9" xfId="17567" xr:uid="{89C545C0-D266-4460-9DE5-4C5DB7558FE3}"/>
    <cellStyle name="Normal 9 3 2 2 3" xfId="996" xr:uid="{00000000-0005-0000-0000-0000C01F0000}"/>
    <cellStyle name="Normal 9 3 2 2 3 2" xfId="3229" xr:uid="{00000000-0005-0000-0000-0000C11F0000}"/>
    <cellStyle name="Normal 9 3 2 2 3 2 2" xfId="7451" xr:uid="{00000000-0005-0000-0000-0000C21F0000}"/>
    <cellStyle name="Normal 9 3 2 2 3 2 2 2" xfId="32783" xr:uid="{16644678-BF19-4274-A3CD-B2F9C3E1B3A2}"/>
    <cellStyle name="Normal 9 3 2 2 3 2 2 3" xfId="24342" xr:uid="{B62C052A-8754-4AE1-B76B-BA926D01DCEE}"/>
    <cellStyle name="Normal 9 3 2 2 3 2 2 4" xfId="15901" xr:uid="{A04A40E2-0B43-410C-809D-8F2566F1FE19}"/>
    <cellStyle name="Normal 9 3 2 2 3 2 3" xfId="28565" xr:uid="{D7F8CC13-E596-4CE0-8339-EB1496387EC9}"/>
    <cellStyle name="Normal 9 3 2 2 3 2 4" xfId="20124" xr:uid="{6B156D81-D2ED-42B7-99DD-597F715A81D7}"/>
    <cellStyle name="Normal 9 3 2 2 3 2 5" xfId="11683" xr:uid="{5878E296-706C-4BB3-B1DC-21DD831CE0D9}"/>
    <cellStyle name="Normal 9 3 2 2 3 3" xfId="5306" xr:uid="{00000000-0005-0000-0000-0000C31F0000}"/>
    <cellStyle name="Normal 9 3 2 2 3 3 2" xfId="30638" xr:uid="{642D168A-5625-4ED4-9D45-A870CBCBCE1F}"/>
    <cellStyle name="Normal 9 3 2 2 3 3 3" xfId="22197" xr:uid="{6E6DD0BC-3988-4BFA-AB16-573CB044A158}"/>
    <cellStyle name="Normal 9 3 2 2 3 3 4" xfId="13756" xr:uid="{BAAC0B98-1CA5-433D-B3BD-94BD3ABEADA7}"/>
    <cellStyle name="Normal 9 3 2 2 3 4" xfId="26420" xr:uid="{D23581F5-9E73-4A59-B243-A1B853F92AEC}"/>
    <cellStyle name="Normal 9 3 2 2 3 5" xfId="17979" xr:uid="{D28BE2C6-4A27-4B84-A185-CCC8C06FE94A}"/>
    <cellStyle name="Normal 9 3 2 2 3 6" xfId="9538" xr:uid="{6FEE228F-EB2A-4D56-BACA-46E3B5EB6497}"/>
    <cellStyle name="Normal 9 3 2 2 4" xfId="1412" xr:uid="{00000000-0005-0000-0000-0000C41F0000}"/>
    <cellStyle name="Normal 9 3 2 2 4 2" xfId="3642" xr:uid="{00000000-0005-0000-0000-0000C51F0000}"/>
    <cellStyle name="Normal 9 3 2 2 4 2 2" xfId="7864" xr:uid="{00000000-0005-0000-0000-0000C61F0000}"/>
    <cellStyle name="Normal 9 3 2 2 4 2 2 2" xfId="33196" xr:uid="{24F14B02-9BC9-47F7-A262-B31D63D35B5E}"/>
    <cellStyle name="Normal 9 3 2 2 4 2 2 3" xfId="24755" xr:uid="{49F75B67-5DEF-481B-9F43-B46D39C7ED5C}"/>
    <cellStyle name="Normal 9 3 2 2 4 2 2 4" xfId="16314" xr:uid="{CF24340C-0323-4E64-8296-7D3EDD62C51B}"/>
    <cellStyle name="Normal 9 3 2 2 4 2 3" xfId="28978" xr:uid="{57E5C77A-D6CA-480D-8C01-D8864403F94F}"/>
    <cellStyle name="Normal 9 3 2 2 4 2 4" xfId="20537" xr:uid="{E5F57897-6AD6-40D7-B4B4-14F50924C73F}"/>
    <cellStyle name="Normal 9 3 2 2 4 2 5" xfId="12096" xr:uid="{DBE9E68C-9149-471A-B733-52DD12084857}"/>
    <cellStyle name="Normal 9 3 2 2 4 3" xfId="5719" xr:uid="{00000000-0005-0000-0000-0000C71F0000}"/>
    <cellStyle name="Normal 9 3 2 2 4 3 2" xfId="31051" xr:uid="{DAED3F8A-4DF5-4108-9962-68E39CBD6FA1}"/>
    <cellStyle name="Normal 9 3 2 2 4 3 3" xfId="22610" xr:uid="{6EE3C614-5CD8-4376-A828-5A46E7A041DD}"/>
    <cellStyle name="Normal 9 3 2 2 4 3 4" xfId="14169" xr:uid="{2242F8D3-97A0-4D01-BCE5-BB4AF8349B3E}"/>
    <cellStyle name="Normal 9 3 2 2 4 4" xfId="26833" xr:uid="{63DC1A16-4D77-42B7-AD21-D03FA0A3CD7E}"/>
    <cellStyle name="Normal 9 3 2 2 4 5" xfId="18392" xr:uid="{385019D3-D201-469A-A567-A3E36EA05BD8}"/>
    <cellStyle name="Normal 9 3 2 2 4 6" xfId="9951" xr:uid="{BBC949DB-9F5B-460C-9CF0-7B7BFA60087E}"/>
    <cellStyle name="Normal 9 3 2 2 5" xfId="1825" xr:uid="{00000000-0005-0000-0000-0000C81F0000}"/>
    <cellStyle name="Normal 9 3 2 2 5 2" xfId="4055" xr:uid="{00000000-0005-0000-0000-0000C91F0000}"/>
    <cellStyle name="Normal 9 3 2 2 5 2 2" xfId="8277" xr:uid="{00000000-0005-0000-0000-0000CA1F0000}"/>
    <cellStyle name="Normal 9 3 2 2 5 2 2 2" xfId="33609" xr:uid="{E1ED3F12-5BFB-424D-B112-B0C7DE04AF53}"/>
    <cellStyle name="Normal 9 3 2 2 5 2 2 3" xfId="25168" xr:uid="{A2B9DAF2-3283-4147-8ACF-B32075796648}"/>
    <cellStyle name="Normal 9 3 2 2 5 2 2 4" xfId="16727" xr:uid="{760273E9-C6BA-4134-B846-51776BEFEEE1}"/>
    <cellStyle name="Normal 9 3 2 2 5 2 3" xfId="29391" xr:uid="{C238B432-D955-4983-9C3F-F079D3615DE3}"/>
    <cellStyle name="Normal 9 3 2 2 5 2 4" xfId="20950" xr:uid="{F406CAD9-6369-450A-B490-DC5D8E1907E9}"/>
    <cellStyle name="Normal 9 3 2 2 5 2 5" xfId="12509" xr:uid="{016824CD-B100-4C55-ABE5-9EFADB6549E3}"/>
    <cellStyle name="Normal 9 3 2 2 5 3" xfId="6132" xr:uid="{00000000-0005-0000-0000-0000CB1F0000}"/>
    <cellStyle name="Normal 9 3 2 2 5 3 2" xfId="31464" xr:uid="{5633B63A-1018-4049-BD7B-B1BCD2563481}"/>
    <cellStyle name="Normal 9 3 2 2 5 3 3" xfId="23023" xr:uid="{779AD256-623F-4AE2-9DD5-56D8D0DDC5D9}"/>
    <cellStyle name="Normal 9 3 2 2 5 3 4" xfId="14582" xr:uid="{3C5BBF64-1280-4316-8B6F-E923080FE1CE}"/>
    <cellStyle name="Normal 9 3 2 2 5 4" xfId="27246" xr:uid="{76173D65-113A-4B06-8E57-0AC5C2C39E40}"/>
    <cellStyle name="Normal 9 3 2 2 5 5" xfId="18805" xr:uid="{1EDDEB8B-C389-4927-8933-7ABC502EFF6D}"/>
    <cellStyle name="Normal 9 3 2 2 5 6" xfId="10364" xr:uid="{6D9645E9-9110-4C47-94F3-086EAD0B24DB}"/>
    <cellStyle name="Normal 9 3 2 2 6" xfId="2239" xr:uid="{00000000-0005-0000-0000-0000CC1F0000}"/>
    <cellStyle name="Normal 9 3 2 2 6 2" xfId="4468" xr:uid="{00000000-0005-0000-0000-0000CD1F0000}"/>
    <cellStyle name="Normal 9 3 2 2 6 2 2" xfId="8690" xr:uid="{00000000-0005-0000-0000-0000CE1F0000}"/>
    <cellStyle name="Normal 9 3 2 2 6 2 2 2" xfId="34022" xr:uid="{DACDD8E1-7E81-47E5-A9D2-BB79EE73EF4D}"/>
    <cellStyle name="Normal 9 3 2 2 6 2 2 3" xfId="25581" xr:uid="{B32ED3D2-572D-4B48-8876-0ACB56359E94}"/>
    <cellStyle name="Normal 9 3 2 2 6 2 2 4" xfId="17140" xr:uid="{6A8A7C83-CD96-4B5B-BB1A-206A99058297}"/>
    <cellStyle name="Normal 9 3 2 2 6 2 3" xfId="29804" xr:uid="{41C46333-D2AB-48E0-8B2E-EFE9EADA6CB0}"/>
    <cellStyle name="Normal 9 3 2 2 6 2 4" xfId="21363" xr:uid="{7C91B999-ADE7-418C-9754-0EF5062A5826}"/>
    <cellStyle name="Normal 9 3 2 2 6 2 5" xfId="12922" xr:uid="{359EB6E0-92F0-4335-8432-7FC7FD027D25}"/>
    <cellStyle name="Normal 9 3 2 2 6 3" xfId="6545" xr:uid="{00000000-0005-0000-0000-0000CF1F0000}"/>
    <cellStyle name="Normal 9 3 2 2 6 3 2" xfId="31877" xr:uid="{F587FEAA-E626-4F89-911B-F0AC79FD5265}"/>
    <cellStyle name="Normal 9 3 2 2 6 3 3" xfId="23436" xr:uid="{A749CCFF-73D3-4C1C-8E90-CB55E22778A7}"/>
    <cellStyle name="Normal 9 3 2 2 6 3 4" xfId="14995" xr:uid="{4AC93561-DB83-4192-9A9E-03F8543B3DD2}"/>
    <cellStyle name="Normal 9 3 2 2 6 4" xfId="27659" xr:uid="{AEFE09DD-6F78-4B4E-B88B-6C6E98D82CC5}"/>
    <cellStyle name="Normal 9 3 2 2 6 5" xfId="19218" xr:uid="{9A108F73-772F-4F64-B6F6-C47E1F528281}"/>
    <cellStyle name="Normal 9 3 2 2 6 6" xfId="10777" xr:uid="{0F3998C7-DF8C-4196-98AB-A4E0DB577390}"/>
    <cellStyle name="Normal 9 3 2 2 7" xfId="2675" xr:uid="{00000000-0005-0000-0000-0000D01F0000}"/>
    <cellStyle name="Normal 9 3 2 2 7 2" xfId="6958" xr:uid="{00000000-0005-0000-0000-0000D11F0000}"/>
    <cellStyle name="Normal 9 3 2 2 7 2 2" xfId="32290" xr:uid="{B1E68B43-6065-4126-8140-81171D824938}"/>
    <cellStyle name="Normal 9 3 2 2 7 2 3" xfId="23849" xr:uid="{A9FFD63B-8194-4347-97D4-C2C641AD039E}"/>
    <cellStyle name="Normal 9 3 2 2 7 2 4" xfId="15408" xr:uid="{F832C21E-D9AB-4665-B335-97CE8C3ED0AA}"/>
    <cellStyle name="Normal 9 3 2 2 7 3" xfId="28072" xr:uid="{3EA81EF0-6E9D-4B60-9F7D-7856AD91CB15}"/>
    <cellStyle name="Normal 9 3 2 2 7 4" xfId="19631" xr:uid="{6829CD3E-52EF-4F69-AE7F-DD84F7594436}"/>
    <cellStyle name="Normal 9 3 2 2 7 5" xfId="11190" xr:uid="{8B97EA6B-EF7D-4C97-8EBC-3818898865CA}"/>
    <cellStyle name="Normal 9 3 2 2 8" xfId="4893" xr:uid="{00000000-0005-0000-0000-0000D21F0000}"/>
    <cellStyle name="Normal 9 3 2 2 8 2" xfId="30225" xr:uid="{A99A40F5-B7C5-4D8E-97EA-FA16C9A1E16C}"/>
    <cellStyle name="Normal 9 3 2 2 8 3" xfId="21784" xr:uid="{80F9F195-C3C1-41A6-AE8F-2817D421E9CC}"/>
    <cellStyle name="Normal 9 3 2 2 8 4" xfId="13343" xr:uid="{6C8A42D5-E923-46A0-A176-DDB42BF62844}"/>
    <cellStyle name="Normal 9 3 2 2 9" xfId="26007" xr:uid="{831A50F7-557E-4711-BA1C-877494924C27}"/>
    <cellStyle name="Normal 9 3 2 3" xfId="531" xr:uid="{00000000-0005-0000-0000-0000D31F0000}"/>
    <cellStyle name="Normal 9 3 2 3 10" xfId="9127" xr:uid="{1D6AE4B9-EA92-4292-9074-556C9D4319F3}"/>
    <cellStyle name="Normal 9 3 2 3 2" xfId="998" xr:uid="{00000000-0005-0000-0000-0000D41F0000}"/>
    <cellStyle name="Normal 9 3 2 3 2 2" xfId="3231" xr:uid="{00000000-0005-0000-0000-0000D51F0000}"/>
    <cellStyle name="Normal 9 3 2 3 2 2 2" xfId="7453" xr:uid="{00000000-0005-0000-0000-0000D61F0000}"/>
    <cellStyle name="Normal 9 3 2 3 2 2 2 2" xfId="32785" xr:uid="{259A3838-AC6B-45A8-B69A-78B162E02FB5}"/>
    <cellStyle name="Normal 9 3 2 3 2 2 2 3" xfId="24344" xr:uid="{CAD76478-DC87-47C2-9E34-5B8DFD5A0903}"/>
    <cellStyle name="Normal 9 3 2 3 2 2 2 4" xfId="15903" xr:uid="{207FA7E4-F5ED-4D0B-AFCF-A82693CB81C6}"/>
    <cellStyle name="Normal 9 3 2 3 2 2 3" xfId="28567" xr:uid="{29B02204-0AAC-4535-BEA1-D3FB558617D1}"/>
    <cellStyle name="Normal 9 3 2 3 2 2 4" xfId="20126" xr:uid="{0EF92027-C461-4CD7-A7D6-8455406A89E4}"/>
    <cellStyle name="Normal 9 3 2 3 2 2 5" xfId="11685" xr:uid="{11BD660A-5DFF-4905-87BB-1C4943E28760}"/>
    <cellStyle name="Normal 9 3 2 3 2 3" xfId="5308" xr:uid="{00000000-0005-0000-0000-0000D71F0000}"/>
    <cellStyle name="Normal 9 3 2 3 2 3 2" xfId="30640" xr:uid="{B41E3B6D-2DB9-42A3-9D74-BE90C65A3F9E}"/>
    <cellStyle name="Normal 9 3 2 3 2 3 3" xfId="22199" xr:uid="{3919E96F-CE4B-4397-8967-649D3FF32DE9}"/>
    <cellStyle name="Normal 9 3 2 3 2 3 4" xfId="13758" xr:uid="{675FF045-1EDD-47A3-A8F3-B7604555A842}"/>
    <cellStyle name="Normal 9 3 2 3 2 4" xfId="26422" xr:uid="{3F0BDCB0-C908-4233-83D9-56D8E638A181}"/>
    <cellStyle name="Normal 9 3 2 3 2 5" xfId="17981" xr:uid="{288FB446-AE77-4BA7-8C06-E6B64071A525}"/>
    <cellStyle name="Normal 9 3 2 3 2 6" xfId="9540" xr:uid="{CA08799D-B297-4C0F-AFB8-C42C4B423C8E}"/>
    <cellStyle name="Normal 9 3 2 3 3" xfId="1414" xr:uid="{00000000-0005-0000-0000-0000D81F0000}"/>
    <cellStyle name="Normal 9 3 2 3 3 2" xfId="3644" xr:uid="{00000000-0005-0000-0000-0000D91F0000}"/>
    <cellStyle name="Normal 9 3 2 3 3 2 2" xfId="7866" xr:uid="{00000000-0005-0000-0000-0000DA1F0000}"/>
    <cellStyle name="Normal 9 3 2 3 3 2 2 2" xfId="33198" xr:uid="{640883B9-6117-4384-B2D8-B4D4FDF31079}"/>
    <cellStyle name="Normal 9 3 2 3 3 2 2 3" xfId="24757" xr:uid="{22B254D9-3D73-4902-A5FD-1193BA830F8E}"/>
    <cellStyle name="Normal 9 3 2 3 3 2 2 4" xfId="16316" xr:uid="{B2ADD28D-E2DC-4F34-810C-778AA006B7C4}"/>
    <cellStyle name="Normal 9 3 2 3 3 2 3" xfId="28980" xr:uid="{F8D59318-124C-4C47-AB0E-017986033447}"/>
    <cellStyle name="Normal 9 3 2 3 3 2 4" xfId="20539" xr:uid="{0BCA2C58-AD36-464C-8A4B-02F1664E5549}"/>
    <cellStyle name="Normal 9 3 2 3 3 2 5" xfId="12098" xr:uid="{7FBEC45C-606D-42E4-A8F2-E0F990BD920E}"/>
    <cellStyle name="Normal 9 3 2 3 3 3" xfId="5721" xr:uid="{00000000-0005-0000-0000-0000DB1F0000}"/>
    <cellStyle name="Normal 9 3 2 3 3 3 2" xfId="31053" xr:uid="{D1F8F657-A970-43F5-A5A5-4985D3690D02}"/>
    <cellStyle name="Normal 9 3 2 3 3 3 3" xfId="22612" xr:uid="{8211ADD8-2E01-4CC2-AA7C-2842C493192B}"/>
    <cellStyle name="Normal 9 3 2 3 3 3 4" xfId="14171" xr:uid="{7ED1E2DB-D4B6-4E6C-83F3-433C5FEDE436}"/>
    <cellStyle name="Normal 9 3 2 3 3 4" xfId="26835" xr:uid="{741FCD6B-E660-4D1A-B6F7-7C7820201645}"/>
    <cellStyle name="Normal 9 3 2 3 3 5" xfId="18394" xr:uid="{49484E10-9310-481D-840C-3EA5947BE754}"/>
    <cellStyle name="Normal 9 3 2 3 3 6" xfId="9953" xr:uid="{9548911C-15E1-43A0-8DF1-F2CEEAC73086}"/>
    <cellStyle name="Normal 9 3 2 3 4" xfId="1827" xr:uid="{00000000-0005-0000-0000-0000DC1F0000}"/>
    <cellStyle name="Normal 9 3 2 3 4 2" xfId="4057" xr:uid="{00000000-0005-0000-0000-0000DD1F0000}"/>
    <cellStyle name="Normal 9 3 2 3 4 2 2" xfId="8279" xr:uid="{00000000-0005-0000-0000-0000DE1F0000}"/>
    <cellStyle name="Normal 9 3 2 3 4 2 2 2" xfId="33611" xr:uid="{F1B78B25-E149-4239-82A4-B7D21955F9DF}"/>
    <cellStyle name="Normal 9 3 2 3 4 2 2 3" xfId="25170" xr:uid="{0A1473E8-EB81-4A1B-80FE-B6353659E14E}"/>
    <cellStyle name="Normal 9 3 2 3 4 2 2 4" xfId="16729" xr:uid="{B47A1298-36AF-4228-ABD9-87B947766BC3}"/>
    <cellStyle name="Normal 9 3 2 3 4 2 3" xfId="29393" xr:uid="{033F41C4-A6F4-479F-9833-1156D1478162}"/>
    <cellStyle name="Normal 9 3 2 3 4 2 4" xfId="20952" xr:uid="{D065D83D-AC7E-4B6A-9BEA-03D68DCD4AB8}"/>
    <cellStyle name="Normal 9 3 2 3 4 2 5" xfId="12511" xr:uid="{2D575101-B095-458C-BBFB-FE7DD9AA9FE9}"/>
    <cellStyle name="Normal 9 3 2 3 4 3" xfId="6134" xr:uid="{00000000-0005-0000-0000-0000DF1F0000}"/>
    <cellStyle name="Normal 9 3 2 3 4 3 2" xfId="31466" xr:uid="{A8F4020C-7237-4056-A980-56052DF24BB5}"/>
    <cellStyle name="Normal 9 3 2 3 4 3 3" xfId="23025" xr:uid="{73A7D743-2B31-43A1-A40F-92856E53B05D}"/>
    <cellStyle name="Normal 9 3 2 3 4 3 4" xfId="14584" xr:uid="{F78CDA2D-01BA-438D-A191-E5678D154D43}"/>
    <cellStyle name="Normal 9 3 2 3 4 4" xfId="27248" xr:uid="{6FD68F24-DA78-484A-97BB-7C1BEDA342C8}"/>
    <cellStyle name="Normal 9 3 2 3 4 5" xfId="18807" xr:uid="{966D1399-8F57-439C-BEF1-A34726A1332F}"/>
    <cellStyle name="Normal 9 3 2 3 4 6" xfId="10366" xr:uid="{9D6AEF45-28D7-4D53-BBE7-7A60F589300C}"/>
    <cellStyle name="Normal 9 3 2 3 5" xfId="2241" xr:uid="{00000000-0005-0000-0000-0000E01F0000}"/>
    <cellStyle name="Normal 9 3 2 3 5 2" xfId="4470" xr:uid="{00000000-0005-0000-0000-0000E11F0000}"/>
    <cellStyle name="Normal 9 3 2 3 5 2 2" xfId="8692" xr:uid="{00000000-0005-0000-0000-0000E21F0000}"/>
    <cellStyle name="Normal 9 3 2 3 5 2 2 2" xfId="34024" xr:uid="{8ED7B73C-9985-488E-B7B4-58897706230E}"/>
    <cellStyle name="Normal 9 3 2 3 5 2 2 3" xfId="25583" xr:uid="{6C1DC161-A37C-4B42-9FD4-E98E48DF7D69}"/>
    <cellStyle name="Normal 9 3 2 3 5 2 2 4" xfId="17142" xr:uid="{68BF9E45-5929-4078-92D0-36016BED8E07}"/>
    <cellStyle name="Normal 9 3 2 3 5 2 3" xfId="29806" xr:uid="{FC0C44FA-37E8-47EB-82DB-0A165F6EB479}"/>
    <cellStyle name="Normal 9 3 2 3 5 2 4" xfId="21365" xr:uid="{22DDE648-5BA9-44AE-95CE-5F53A02A8CA7}"/>
    <cellStyle name="Normal 9 3 2 3 5 2 5" xfId="12924" xr:uid="{DCACD118-BA44-413A-910F-29A8E9D611A6}"/>
    <cellStyle name="Normal 9 3 2 3 5 3" xfId="6547" xr:uid="{00000000-0005-0000-0000-0000E31F0000}"/>
    <cellStyle name="Normal 9 3 2 3 5 3 2" xfId="31879" xr:uid="{143524B8-4441-49FA-AC1B-34C3C2ACF4BF}"/>
    <cellStyle name="Normal 9 3 2 3 5 3 3" xfId="23438" xr:uid="{F50B1F7D-0CFF-4772-9E4A-5C614DD43B6F}"/>
    <cellStyle name="Normal 9 3 2 3 5 3 4" xfId="14997" xr:uid="{FF050215-5547-4E00-A8BD-7DCF2250CEDE}"/>
    <cellStyle name="Normal 9 3 2 3 5 4" xfId="27661" xr:uid="{9659A931-EFE6-44AE-B414-AAF68212DD16}"/>
    <cellStyle name="Normal 9 3 2 3 5 5" xfId="19220" xr:uid="{1376150B-FC81-424A-8615-02F286BBB896}"/>
    <cellStyle name="Normal 9 3 2 3 5 6" xfId="10779" xr:uid="{991F4DC1-CEA8-4DE8-BA35-152F2E8C09EE}"/>
    <cellStyle name="Normal 9 3 2 3 6" xfId="2677" xr:uid="{00000000-0005-0000-0000-0000E41F0000}"/>
    <cellStyle name="Normal 9 3 2 3 6 2" xfId="6960" xr:uid="{00000000-0005-0000-0000-0000E51F0000}"/>
    <cellStyle name="Normal 9 3 2 3 6 2 2" xfId="32292" xr:uid="{23E115B0-209C-4D12-94B3-8B6709B7502D}"/>
    <cellStyle name="Normal 9 3 2 3 6 2 3" xfId="23851" xr:uid="{2DAA50B5-5220-4DCA-82E1-3832130654DA}"/>
    <cellStyle name="Normal 9 3 2 3 6 2 4" xfId="15410" xr:uid="{4BC9E7CE-A770-4298-AA1C-BC4370C2D09C}"/>
    <cellStyle name="Normal 9 3 2 3 6 3" xfId="28074" xr:uid="{B95BBC49-1F41-439B-B4BA-9224846D3F7C}"/>
    <cellStyle name="Normal 9 3 2 3 6 4" xfId="19633" xr:uid="{3AC96F57-B805-42D9-97A2-FC1E2894C470}"/>
    <cellStyle name="Normal 9 3 2 3 6 5" xfId="11192" xr:uid="{C54950C9-087E-4494-92F3-EB69102EAFF1}"/>
    <cellStyle name="Normal 9 3 2 3 7" xfId="4895" xr:uid="{00000000-0005-0000-0000-0000E61F0000}"/>
    <cellStyle name="Normal 9 3 2 3 7 2" xfId="30227" xr:uid="{6EE045CF-DC88-4D4A-80A4-24C756067562}"/>
    <cellStyle name="Normal 9 3 2 3 7 3" xfId="21786" xr:uid="{2DE498C6-30E8-4358-9CFF-0F4FB2BDDBF3}"/>
    <cellStyle name="Normal 9 3 2 3 7 4" xfId="13345" xr:uid="{97E12AB1-4D73-46F8-BCF6-C73758816BE7}"/>
    <cellStyle name="Normal 9 3 2 3 8" xfId="26009" xr:uid="{C6E5408D-E79E-40DF-9258-F6ABB78AD000}"/>
    <cellStyle name="Normal 9 3 2 3 9" xfId="17568" xr:uid="{016932D1-401A-4611-BCCA-40FDBCB97D80}"/>
    <cellStyle name="Normal 9 3 2 4" xfId="995" xr:uid="{00000000-0005-0000-0000-0000E71F0000}"/>
    <cellStyle name="Normal 9 3 2 4 2" xfId="3228" xr:uid="{00000000-0005-0000-0000-0000E81F0000}"/>
    <cellStyle name="Normal 9 3 2 4 2 2" xfId="7450" xr:uid="{00000000-0005-0000-0000-0000E91F0000}"/>
    <cellStyle name="Normal 9 3 2 4 2 2 2" xfId="32782" xr:uid="{0263DA34-9400-492D-B835-656B7C37F24C}"/>
    <cellStyle name="Normal 9 3 2 4 2 2 3" xfId="24341" xr:uid="{270DFB78-AF74-4D97-B4B8-38FD89D69B4C}"/>
    <cellStyle name="Normal 9 3 2 4 2 2 4" xfId="15900" xr:uid="{C60C1C1F-5FA9-4D35-AB3E-FF7E7D1AA05C}"/>
    <cellStyle name="Normal 9 3 2 4 2 3" xfId="28564" xr:uid="{E201950A-0628-45FD-9A94-0E1ACC1E6860}"/>
    <cellStyle name="Normal 9 3 2 4 2 4" xfId="20123" xr:uid="{DF869018-895A-4D76-8ABD-48BDC3964873}"/>
    <cellStyle name="Normal 9 3 2 4 2 5" xfId="11682" xr:uid="{6FFA0CC1-AF40-4245-A8B3-B204820DFE20}"/>
    <cellStyle name="Normal 9 3 2 4 3" xfId="5305" xr:uid="{00000000-0005-0000-0000-0000EA1F0000}"/>
    <cellStyle name="Normal 9 3 2 4 3 2" xfId="30637" xr:uid="{3EBD0B3C-35CE-4BFC-8D41-ED95F8A33AAB}"/>
    <cellStyle name="Normal 9 3 2 4 3 3" xfId="22196" xr:uid="{0825FC8F-4A5E-41B2-ABDF-A71B4C3554A3}"/>
    <cellStyle name="Normal 9 3 2 4 3 4" xfId="13755" xr:uid="{7866DDAC-DF95-40F2-A4C4-9F873D04568D}"/>
    <cellStyle name="Normal 9 3 2 4 4" xfId="26419" xr:uid="{6FB90D1B-0073-4EDE-A267-DFFF2F3F2AB7}"/>
    <cellStyle name="Normal 9 3 2 4 5" xfId="17978" xr:uid="{F34F6948-6FEA-4CBF-B0D0-0C050C080521}"/>
    <cellStyle name="Normal 9 3 2 4 6" xfId="9537" xr:uid="{BD81F324-73FE-4B65-A0A4-DD7FF4987408}"/>
    <cellStyle name="Normal 9 3 2 5" xfId="1411" xr:uid="{00000000-0005-0000-0000-0000EB1F0000}"/>
    <cellStyle name="Normal 9 3 2 5 2" xfId="3641" xr:uid="{00000000-0005-0000-0000-0000EC1F0000}"/>
    <cellStyle name="Normal 9 3 2 5 2 2" xfId="7863" xr:uid="{00000000-0005-0000-0000-0000ED1F0000}"/>
    <cellStyle name="Normal 9 3 2 5 2 2 2" xfId="33195" xr:uid="{63D47EF3-C303-4CEE-AC40-90A119B95EF3}"/>
    <cellStyle name="Normal 9 3 2 5 2 2 3" xfId="24754" xr:uid="{EBD0C01D-DC4C-4D73-810B-BD7C30F2BC15}"/>
    <cellStyle name="Normal 9 3 2 5 2 2 4" xfId="16313" xr:uid="{03E86502-A5C2-44E8-9A59-2BAB38FA7BB3}"/>
    <cellStyle name="Normal 9 3 2 5 2 3" xfId="28977" xr:uid="{60131E6C-3313-4DE5-B706-A01301112E52}"/>
    <cellStyle name="Normal 9 3 2 5 2 4" xfId="20536" xr:uid="{2D41BE4E-F835-4A3A-8E3A-E6A188898BCC}"/>
    <cellStyle name="Normal 9 3 2 5 2 5" xfId="12095" xr:uid="{7098A489-7EF7-498F-8AB6-618C5E36D3E5}"/>
    <cellStyle name="Normal 9 3 2 5 3" xfId="5718" xr:uid="{00000000-0005-0000-0000-0000EE1F0000}"/>
    <cellStyle name="Normal 9 3 2 5 3 2" xfId="31050" xr:uid="{1EB4D281-4D9E-4B7A-83B4-58534844F09D}"/>
    <cellStyle name="Normal 9 3 2 5 3 3" xfId="22609" xr:uid="{BDB01F98-16E2-4EFA-A080-26D001AEFE04}"/>
    <cellStyle name="Normal 9 3 2 5 3 4" xfId="14168" xr:uid="{B0D9D739-20D1-4707-A505-3085D2404F3B}"/>
    <cellStyle name="Normal 9 3 2 5 4" xfId="26832" xr:uid="{1E97CE8E-9443-4432-B39F-1A94BC93079A}"/>
    <cellStyle name="Normal 9 3 2 5 5" xfId="18391" xr:uid="{9E86AD99-3475-45EF-9113-3E4C7EED3983}"/>
    <cellStyle name="Normal 9 3 2 5 6" xfId="9950" xr:uid="{83D9F3F4-14CA-49EA-BA53-29659344E8F9}"/>
    <cellStyle name="Normal 9 3 2 6" xfId="1824" xr:uid="{00000000-0005-0000-0000-0000EF1F0000}"/>
    <cellStyle name="Normal 9 3 2 6 2" xfId="4054" xr:uid="{00000000-0005-0000-0000-0000F01F0000}"/>
    <cellStyle name="Normal 9 3 2 6 2 2" xfId="8276" xr:uid="{00000000-0005-0000-0000-0000F11F0000}"/>
    <cellStyle name="Normal 9 3 2 6 2 2 2" xfId="33608" xr:uid="{3BB29E32-9197-450D-AA7A-973AB0FE308B}"/>
    <cellStyle name="Normal 9 3 2 6 2 2 3" xfId="25167" xr:uid="{E2EA5B2E-77C8-4466-9554-58E8A5E9D72B}"/>
    <cellStyle name="Normal 9 3 2 6 2 2 4" xfId="16726" xr:uid="{AEFAAB4A-AF0E-43C5-9137-E3AC79166484}"/>
    <cellStyle name="Normal 9 3 2 6 2 3" xfId="29390" xr:uid="{DC375423-D217-4D2C-A9CC-077F362EBCE8}"/>
    <cellStyle name="Normal 9 3 2 6 2 4" xfId="20949" xr:uid="{8B58F859-5CD2-4F1F-9B16-E775229EECDE}"/>
    <cellStyle name="Normal 9 3 2 6 2 5" xfId="12508" xr:uid="{D25F6134-9DF0-4CBD-947D-1E070F706314}"/>
    <cellStyle name="Normal 9 3 2 6 3" xfId="6131" xr:uid="{00000000-0005-0000-0000-0000F21F0000}"/>
    <cellStyle name="Normal 9 3 2 6 3 2" xfId="31463" xr:uid="{3BB6BC32-BA2D-4BEC-8DB9-174150EE9A7F}"/>
    <cellStyle name="Normal 9 3 2 6 3 3" xfId="23022" xr:uid="{314EB44B-1267-4370-9378-A40386E43E4F}"/>
    <cellStyle name="Normal 9 3 2 6 3 4" xfId="14581" xr:uid="{E5D7B452-45E1-4B32-8D9D-8733E4CD594A}"/>
    <cellStyle name="Normal 9 3 2 6 4" xfId="27245" xr:uid="{8F385D21-696F-4F32-9C8F-D107322B9D59}"/>
    <cellStyle name="Normal 9 3 2 6 5" xfId="18804" xr:uid="{55EA4DFA-B6E3-417A-91BD-C009EA2A596F}"/>
    <cellStyle name="Normal 9 3 2 6 6" xfId="10363" xr:uid="{BA5CD79F-410C-4F3A-8792-55B3F13F2368}"/>
    <cellStyle name="Normal 9 3 2 7" xfId="2238" xr:uid="{00000000-0005-0000-0000-0000F31F0000}"/>
    <cellStyle name="Normal 9 3 2 7 2" xfId="4467" xr:uid="{00000000-0005-0000-0000-0000F41F0000}"/>
    <cellStyle name="Normal 9 3 2 7 2 2" xfId="8689" xr:uid="{00000000-0005-0000-0000-0000F51F0000}"/>
    <cellStyle name="Normal 9 3 2 7 2 2 2" xfId="34021" xr:uid="{3BA56223-287F-4378-AEE5-5CB631500420}"/>
    <cellStyle name="Normal 9 3 2 7 2 2 3" xfId="25580" xr:uid="{07176664-9AA3-455F-BBD8-D6153DBEAE40}"/>
    <cellStyle name="Normal 9 3 2 7 2 2 4" xfId="17139" xr:uid="{67EAC84B-7F96-4775-978D-EAAB641C55A6}"/>
    <cellStyle name="Normal 9 3 2 7 2 3" xfId="29803" xr:uid="{446B040E-86A4-4903-BA65-5B66C128F12C}"/>
    <cellStyle name="Normal 9 3 2 7 2 4" xfId="21362" xr:uid="{AAD9E3E4-97B1-4619-B307-F5A90B247A73}"/>
    <cellStyle name="Normal 9 3 2 7 2 5" xfId="12921" xr:uid="{68E41DE7-4C61-46E9-872A-16E1B80BE0DF}"/>
    <cellStyle name="Normal 9 3 2 7 3" xfId="6544" xr:uid="{00000000-0005-0000-0000-0000F61F0000}"/>
    <cellStyle name="Normal 9 3 2 7 3 2" xfId="31876" xr:uid="{930F8767-333A-46A0-BF16-CCF8685CA642}"/>
    <cellStyle name="Normal 9 3 2 7 3 3" xfId="23435" xr:uid="{6A0FC5A4-A619-4B0D-87C8-CA9F17E536FC}"/>
    <cellStyle name="Normal 9 3 2 7 3 4" xfId="14994" xr:uid="{42CF2D86-7B94-467F-851F-2ACBCF3D9432}"/>
    <cellStyle name="Normal 9 3 2 7 4" xfId="27658" xr:uid="{B4A7DE4E-EEE6-42DD-AF49-15BE2B936CD7}"/>
    <cellStyle name="Normal 9 3 2 7 5" xfId="19217" xr:uid="{E8EDF975-6816-4161-9FDD-1AFFA50694C9}"/>
    <cellStyle name="Normal 9 3 2 7 6" xfId="10776" xr:uid="{E485EDB4-5AE5-4C44-A940-10EC0B8361BB}"/>
    <cellStyle name="Normal 9 3 2 8" xfId="2674" xr:uid="{00000000-0005-0000-0000-0000F71F0000}"/>
    <cellStyle name="Normal 9 3 2 8 2" xfId="6957" xr:uid="{00000000-0005-0000-0000-0000F81F0000}"/>
    <cellStyle name="Normal 9 3 2 8 2 2" xfId="32289" xr:uid="{24FA6F61-1F82-4CB3-9103-50EF49767465}"/>
    <cellStyle name="Normal 9 3 2 8 2 3" xfId="23848" xr:uid="{BA0D2C48-D711-484B-8B89-6A36009F7DC3}"/>
    <cellStyle name="Normal 9 3 2 8 2 4" xfId="15407" xr:uid="{4A6693C5-2C3C-471E-A46D-311915D1F5C4}"/>
    <cellStyle name="Normal 9 3 2 8 3" xfId="28071" xr:uid="{D1F37B02-87D4-44DF-9E12-3610FC1AB6A3}"/>
    <cellStyle name="Normal 9 3 2 8 4" xfId="19630" xr:uid="{C084B68C-D5E3-4874-8C7E-458CD6E6C21D}"/>
    <cellStyle name="Normal 9 3 2 8 5" xfId="11189" xr:uid="{BE62C723-E6B9-4935-8FE0-9EB119B460DB}"/>
    <cellStyle name="Normal 9 3 2 9" xfId="4892" xr:uid="{00000000-0005-0000-0000-0000F91F0000}"/>
    <cellStyle name="Normal 9 3 2 9 2" xfId="30224" xr:uid="{F65F05B1-A758-49EE-B589-66875BE9979F}"/>
    <cellStyle name="Normal 9 3 2 9 3" xfId="21783" xr:uid="{C1DCABA5-DABE-4588-8862-976A0DE526B4}"/>
    <cellStyle name="Normal 9 3 2 9 4" xfId="13342" xr:uid="{855E2128-9908-494B-8653-E6C3140134B6}"/>
    <cellStyle name="Normal 9 3 3" xfId="532" xr:uid="{00000000-0005-0000-0000-0000FA1F0000}"/>
    <cellStyle name="Normal 9 3 3 10" xfId="17569" xr:uid="{3A44E297-144B-4A21-8BD0-6EC5B64EB197}"/>
    <cellStyle name="Normal 9 3 3 11" xfId="9128" xr:uid="{A4AD1C53-3E87-41FD-9489-6659B9E1D17D}"/>
    <cellStyle name="Normal 9 3 3 2" xfId="533" xr:uid="{00000000-0005-0000-0000-0000FB1F0000}"/>
    <cellStyle name="Normal 9 3 3 2 10" xfId="9129" xr:uid="{C7ADD07E-D45A-4747-90FF-BF490E841976}"/>
    <cellStyle name="Normal 9 3 3 2 2" xfId="1000" xr:uid="{00000000-0005-0000-0000-0000FC1F0000}"/>
    <cellStyle name="Normal 9 3 3 2 2 2" xfId="3233" xr:uid="{00000000-0005-0000-0000-0000FD1F0000}"/>
    <cellStyle name="Normal 9 3 3 2 2 2 2" xfId="7455" xr:uid="{00000000-0005-0000-0000-0000FE1F0000}"/>
    <cellStyle name="Normal 9 3 3 2 2 2 2 2" xfId="32787" xr:uid="{64BDCFB8-1D79-4E55-9C67-A4C71B8E199E}"/>
    <cellStyle name="Normal 9 3 3 2 2 2 2 3" xfId="24346" xr:uid="{E826CAB1-6BDD-4A60-8988-1749587180C8}"/>
    <cellStyle name="Normal 9 3 3 2 2 2 2 4" xfId="15905" xr:uid="{658B3CFF-01D5-4161-A674-199A4A8AE3D0}"/>
    <cellStyle name="Normal 9 3 3 2 2 2 3" xfId="28569" xr:uid="{B005FE46-ACC4-49BB-8450-8904BBE74273}"/>
    <cellStyle name="Normal 9 3 3 2 2 2 4" xfId="20128" xr:uid="{6E935A08-1DFF-49CC-A623-A32E356FA07D}"/>
    <cellStyle name="Normal 9 3 3 2 2 2 5" xfId="11687" xr:uid="{710686A2-0602-41B7-A2F3-7CE6A0538388}"/>
    <cellStyle name="Normal 9 3 3 2 2 3" xfId="5310" xr:uid="{00000000-0005-0000-0000-0000FF1F0000}"/>
    <cellStyle name="Normal 9 3 3 2 2 3 2" xfId="30642" xr:uid="{C453FE7B-D7D0-4808-A588-1292D20E0CBC}"/>
    <cellStyle name="Normal 9 3 3 2 2 3 3" xfId="22201" xr:uid="{362CB643-1615-48DC-AF07-0BEF4FF8873C}"/>
    <cellStyle name="Normal 9 3 3 2 2 3 4" xfId="13760" xr:uid="{00A1B186-7869-41EF-AF87-8C59A1C7C2A9}"/>
    <cellStyle name="Normal 9 3 3 2 2 4" xfId="26424" xr:uid="{2ACF56BF-EE3F-407B-A8E2-11B50A4D0EAA}"/>
    <cellStyle name="Normal 9 3 3 2 2 5" xfId="17983" xr:uid="{52F07BED-EA2C-4605-B99C-DD6B9DA00D93}"/>
    <cellStyle name="Normal 9 3 3 2 2 6" xfId="9542" xr:uid="{3D520BE4-06B7-4C13-9CA2-960DF8EC18A5}"/>
    <cellStyle name="Normal 9 3 3 2 3" xfId="1416" xr:uid="{00000000-0005-0000-0000-000000200000}"/>
    <cellStyle name="Normal 9 3 3 2 3 2" xfId="3646" xr:uid="{00000000-0005-0000-0000-000001200000}"/>
    <cellStyle name="Normal 9 3 3 2 3 2 2" xfId="7868" xr:uid="{00000000-0005-0000-0000-000002200000}"/>
    <cellStyle name="Normal 9 3 3 2 3 2 2 2" xfId="33200" xr:uid="{7F9A9BFB-DDCC-4ED3-8043-4CAC7C521302}"/>
    <cellStyle name="Normal 9 3 3 2 3 2 2 3" xfId="24759" xr:uid="{83D76B50-B7AB-494B-A457-28B97D7F6E88}"/>
    <cellStyle name="Normal 9 3 3 2 3 2 2 4" xfId="16318" xr:uid="{0246279D-DBA5-46E4-94FB-284C0249F30C}"/>
    <cellStyle name="Normal 9 3 3 2 3 2 3" xfId="28982" xr:uid="{F158083B-B45C-4070-AC21-F41D0E57C8B9}"/>
    <cellStyle name="Normal 9 3 3 2 3 2 4" xfId="20541" xr:uid="{FD39D417-A9E7-47FF-9C17-7BABFA3FFD73}"/>
    <cellStyle name="Normal 9 3 3 2 3 2 5" xfId="12100" xr:uid="{DD4281CB-7D8A-4C27-BC92-8B826EB09D27}"/>
    <cellStyle name="Normal 9 3 3 2 3 3" xfId="5723" xr:uid="{00000000-0005-0000-0000-000003200000}"/>
    <cellStyle name="Normal 9 3 3 2 3 3 2" xfId="31055" xr:uid="{810C7117-E4EF-4B4B-A122-3BCCE543467C}"/>
    <cellStyle name="Normal 9 3 3 2 3 3 3" xfId="22614" xr:uid="{5361E2D0-D907-4F75-A866-0E89B48AB657}"/>
    <cellStyle name="Normal 9 3 3 2 3 3 4" xfId="14173" xr:uid="{190CDC28-044C-4D55-A245-58471F24B302}"/>
    <cellStyle name="Normal 9 3 3 2 3 4" xfId="26837" xr:uid="{BCEF29F5-F332-4259-A752-A38F0AC06881}"/>
    <cellStyle name="Normal 9 3 3 2 3 5" xfId="18396" xr:uid="{6A2C05D9-7D4E-4C9B-A5DE-EB20A87D206D}"/>
    <cellStyle name="Normal 9 3 3 2 3 6" xfId="9955" xr:uid="{115D892F-F977-47E3-849C-4AAEFD3AEA55}"/>
    <cellStyle name="Normal 9 3 3 2 4" xfId="1829" xr:uid="{00000000-0005-0000-0000-000004200000}"/>
    <cellStyle name="Normal 9 3 3 2 4 2" xfId="4059" xr:uid="{00000000-0005-0000-0000-000005200000}"/>
    <cellStyle name="Normal 9 3 3 2 4 2 2" xfId="8281" xr:uid="{00000000-0005-0000-0000-000006200000}"/>
    <cellStyle name="Normal 9 3 3 2 4 2 2 2" xfId="33613" xr:uid="{FA6FA23B-FFA3-47B6-BF15-69A5E7A9DCC2}"/>
    <cellStyle name="Normal 9 3 3 2 4 2 2 3" xfId="25172" xr:uid="{304C9486-5BE4-46AA-BE44-1872195BE193}"/>
    <cellStyle name="Normal 9 3 3 2 4 2 2 4" xfId="16731" xr:uid="{23B14077-2F07-49F6-9A92-8892E9BF6F22}"/>
    <cellStyle name="Normal 9 3 3 2 4 2 3" xfId="29395" xr:uid="{579908D7-A75F-4E11-B62A-8BF29438F399}"/>
    <cellStyle name="Normal 9 3 3 2 4 2 4" xfId="20954" xr:uid="{0EA338C4-F812-4359-AA70-BCB9D7FEC980}"/>
    <cellStyle name="Normal 9 3 3 2 4 2 5" xfId="12513" xr:uid="{A3E86103-4C18-4804-B85C-DC791CC26E18}"/>
    <cellStyle name="Normal 9 3 3 2 4 3" xfId="6136" xr:uid="{00000000-0005-0000-0000-000007200000}"/>
    <cellStyle name="Normal 9 3 3 2 4 3 2" xfId="31468" xr:uid="{03CAD8E7-D417-43EC-9A63-020720AD8EE8}"/>
    <cellStyle name="Normal 9 3 3 2 4 3 3" xfId="23027" xr:uid="{EB3CE9F0-E5BE-4AF6-B145-55847C23E39E}"/>
    <cellStyle name="Normal 9 3 3 2 4 3 4" xfId="14586" xr:uid="{898FA21E-B1E3-4AE3-9AE1-D996A0ECB9AE}"/>
    <cellStyle name="Normal 9 3 3 2 4 4" xfId="27250" xr:uid="{AD47F768-56F2-42F2-BE2B-C9D535F0B78B}"/>
    <cellStyle name="Normal 9 3 3 2 4 5" xfId="18809" xr:uid="{5A324B2A-E048-4496-999E-64D32549E35A}"/>
    <cellStyle name="Normal 9 3 3 2 4 6" xfId="10368" xr:uid="{FE0FDBC5-8CC5-4F4B-8ECE-BD3280D82772}"/>
    <cellStyle name="Normal 9 3 3 2 5" xfId="2243" xr:uid="{00000000-0005-0000-0000-000008200000}"/>
    <cellStyle name="Normal 9 3 3 2 5 2" xfId="4472" xr:uid="{00000000-0005-0000-0000-000009200000}"/>
    <cellStyle name="Normal 9 3 3 2 5 2 2" xfId="8694" xr:uid="{00000000-0005-0000-0000-00000A200000}"/>
    <cellStyle name="Normal 9 3 3 2 5 2 2 2" xfId="34026" xr:uid="{B75B7790-D0CF-429C-AA27-62FAC45318FD}"/>
    <cellStyle name="Normal 9 3 3 2 5 2 2 3" xfId="25585" xr:uid="{BE1A6622-74A3-4227-A8CF-58C2260FD2FD}"/>
    <cellStyle name="Normal 9 3 3 2 5 2 2 4" xfId="17144" xr:uid="{07528308-A286-44F3-8B46-ECA14355D9C9}"/>
    <cellStyle name="Normal 9 3 3 2 5 2 3" xfId="29808" xr:uid="{AB70BDAD-2A0B-4255-9B08-B7CF86EBB679}"/>
    <cellStyle name="Normal 9 3 3 2 5 2 4" xfId="21367" xr:uid="{7D8B89A0-8417-4341-8C11-FBE0945146A8}"/>
    <cellStyle name="Normal 9 3 3 2 5 2 5" xfId="12926" xr:uid="{AE5710A7-AFF1-4449-85A9-A907F0A4BD00}"/>
    <cellStyle name="Normal 9 3 3 2 5 3" xfId="6549" xr:uid="{00000000-0005-0000-0000-00000B200000}"/>
    <cellStyle name="Normal 9 3 3 2 5 3 2" xfId="31881" xr:uid="{2E96FF15-B1E5-4A48-B5EB-52AC2661F600}"/>
    <cellStyle name="Normal 9 3 3 2 5 3 3" xfId="23440" xr:uid="{DFE13330-7EA3-4E89-B5A0-5EDD79D00FFE}"/>
    <cellStyle name="Normal 9 3 3 2 5 3 4" xfId="14999" xr:uid="{8AB7857E-03DC-4BBC-9D66-9D3991CBC598}"/>
    <cellStyle name="Normal 9 3 3 2 5 4" xfId="27663" xr:uid="{FEE5FFA1-ED2C-4DE3-87A9-E09FB3ACE342}"/>
    <cellStyle name="Normal 9 3 3 2 5 5" xfId="19222" xr:uid="{EED29028-EE1E-46D4-9BC9-E6CC2CCF3D4D}"/>
    <cellStyle name="Normal 9 3 3 2 5 6" xfId="10781" xr:uid="{BF95B0DA-3A12-4C66-9D1C-8636CFEC1993}"/>
    <cellStyle name="Normal 9 3 3 2 6" xfId="2679" xr:uid="{00000000-0005-0000-0000-00000C200000}"/>
    <cellStyle name="Normal 9 3 3 2 6 2" xfId="6962" xr:uid="{00000000-0005-0000-0000-00000D200000}"/>
    <cellStyle name="Normal 9 3 3 2 6 2 2" xfId="32294" xr:uid="{E6E1B5AB-E798-4396-9EB0-48AB41C4583A}"/>
    <cellStyle name="Normal 9 3 3 2 6 2 3" xfId="23853" xr:uid="{3396D647-423C-4AEA-82F2-2B4669D1871B}"/>
    <cellStyle name="Normal 9 3 3 2 6 2 4" xfId="15412" xr:uid="{A6509E41-D39E-4CFD-BACD-02962B8E0B4C}"/>
    <cellStyle name="Normal 9 3 3 2 6 3" xfId="28076" xr:uid="{BAB223C1-DC85-4558-877A-6B057823A2C7}"/>
    <cellStyle name="Normal 9 3 3 2 6 4" xfId="19635" xr:uid="{87A59096-DD0D-4842-86FF-3F92CEC36001}"/>
    <cellStyle name="Normal 9 3 3 2 6 5" xfId="11194" xr:uid="{52159AC8-FF42-4FCA-AEA3-5523CCA877EC}"/>
    <cellStyle name="Normal 9 3 3 2 7" xfId="4897" xr:uid="{00000000-0005-0000-0000-00000E200000}"/>
    <cellStyle name="Normal 9 3 3 2 7 2" xfId="30229" xr:uid="{11A6F015-7BBE-44FF-B98A-8286BC6D1576}"/>
    <cellStyle name="Normal 9 3 3 2 7 3" xfId="21788" xr:uid="{F19C9982-E9FE-4E48-8A10-DB5AF6706999}"/>
    <cellStyle name="Normal 9 3 3 2 7 4" xfId="13347" xr:uid="{4B0F23B0-672B-46D4-BE62-CEE4BFF70C16}"/>
    <cellStyle name="Normal 9 3 3 2 8" xfId="26011" xr:uid="{A7607261-9145-4B98-82B5-125C1B54EC27}"/>
    <cellStyle name="Normal 9 3 3 2 9" xfId="17570" xr:uid="{24F10215-3EF9-416C-B401-12D954F0030F}"/>
    <cellStyle name="Normal 9 3 3 3" xfId="999" xr:uid="{00000000-0005-0000-0000-00000F200000}"/>
    <cellStyle name="Normal 9 3 3 3 2" xfId="3232" xr:uid="{00000000-0005-0000-0000-000010200000}"/>
    <cellStyle name="Normal 9 3 3 3 2 2" xfId="7454" xr:uid="{00000000-0005-0000-0000-000011200000}"/>
    <cellStyle name="Normal 9 3 3 3 2 2 2" xfId="32786" xr:uid="{E6E88A14-C3E1-4FAE-8AEF-54C3A2F33C72}"/>
    <cellStyle name="Normal 9 3 3 3 2 2 3" xfId="24345" xr:uid="{EBB6E78A-262E-491F-944C-A4A7BAECCCD3}"/>
    <cellStyle name="Normal 9 3 3 3 2 2 4" xfId="15904" xr:uid="{94BD045F-51AC-4453-84C8-54213D72759C}"/>
    <cellStyle name="Normal 9 3 3 3 2 3" xfId="28568" xr:uid="{A07DF275-FFD6-451F-84F7-A6B1C9611565}"/>
    <cellStyle name="Normal 9 3 3 3 2 4" xfId="20127" xr:uid="{AD9D1F29-ADA0-4C51-85B0-F06AD6AF6F7B}"/>
    <cellStyle name="Normal 9 3 3 3 2 5" xfId="11686" xr:uid="{7862A94F-34E4-4F3B-B2EB-8CCD1D5E9B8B}"/>
    <cellStyle name="Normal 9 3 3 3 3" xfId="5309" xr:uid="{00000000-0005-0000-0000-000012200000}"/>
    <cellStyle name="Normal 9 3 3 3 3 2" xfId="30641" xr:uid="{4E09CC57-9F36-4ADB-809C-41C6AB66847A}"/>
    <cellStyle name="Normal 9 3 3 3 3 3" xfId="22200" xr:uid="{1925E9B1-EF5B-435F-81EA-F6339D513211}"/>
    <cellStyle name="Normal 9 3 3 3 3 4" xfId="13759" xr:uid="{A2C71334-498E-4D18-AD29-030E26402DEC}"/>
    <cellStyle name="Normal 9 3 3 3 4" xfId="26423" xr:uid="{163F5AA8-B2B8-4B62-9F26-7027449F091C}"/>
    <cellStyle name="Normal 9 3 3 3 5" xfId="17982" xr:uid="{D464FA43-0CD1-494B-83D6-F9E90E29FF0F}"/>
    <cellStyle name="Normal 9 3 3 3 6" xfId="9541" xr:uid="{8FCD2EC4-5012-4D74-9D64-4239EA5AD41F}"/>
    <cellStyle name="Normal 9 3 3 4" xfId="1415" xr:uid="{00000000-0005-0000-0000-000013200000}"/>
    <cellStyle name="Normal 9 3 3 4 2" xfId="3645" xr:uid="{00000000-0005-0000-0000-000014200000}"/>
    <cellStyle name="Normal 9 3 3 4 2 2" xfId="7867" xr:uid="{00000000-0005-0000-0000-000015200000}"/>
    <cellStyle name="Normal 9 3 3 4 2 2 2" xfId="33199" xr:uid="{C7B05390-2905-464E-9EA6-9F6EC3FF79B1}"/>
    <cellStyle name="Normal 9 3 3 4 2 2 3" xfId="24758" xr:uid="{5EBF331B-454D-4273-84DC-237E5EFCF800}"/>
    <cellStyle name="Normal 9 3 3 4 2 2 4" xfId="16317" xr:uid="{011E711A-9565-44F6-9067-FC6509D62C1E}"/>
    <cellStyle name="Normal 9 3 3 4 2 3" xfId="28981" xr:uid="{0429120A-8D35-4BA5-B776-9F3DFBE7AB13}"/>
    <cellStyle name="Normal 9 3 3 4 2 4" xfId="20540" xr:uid="{54AD1D55-0C39-4BE1-82AF-E27179EC9217}"/>
    <cellStyle name="Normal 9 3 3 4 2 5" xfId="12099" xr:uid="{600F8301-3686-4A37-9478-03CB1AC23610}"/>
    <cellStyle name="Normal 9 3 3 4 3" xfId="5722" xr:uid="{00000000-0005-0000-0000-000016200000}"/>
    <cellStyle name="Normal 9 3 3 4 3 2" xfId="31054" xr:uid="{1A1B132D-FDCE-45E2-A04B-4B96B4CA3733}"/>
    <cellStyle name="Normal 9 3 3 4 3 3" xfId="22613" xr:uid="{9C1B7430-AA21-44D6-8514-416D0328F0CC}"/>
    <cellStyle name="Normal 9 3 3 4 3 4" xfId="14172" xr:uid="{B5F5F907-42A3-41AA-9289-077D944602BF}"/>
    <cellStyle name="Normal 9 3 3 4 4" xfId="26836" xr:uid="{7B08269D-5A65-4D65-9BA6-482C88AA75A3}"/>
    <cellStyle name="Normal 9 3 3 4 5" xfId="18395" xr:uid="{49925F46-6E8F-4D0D-BE7E-49103C1B4259}"/>
    <cellStyle name="Normal 9 3 3 4 6" xfId="9954" xr:uid="{D81832F8-EAB2-487D-9B50-289C485B20FB}"/>
    <cellStyle name="Normal 9 3 3 5" xfId="1828" xr:uid="{00000000-0005-0000-0000-000017200000}"/>
    <cellStyle name="Normal 9 3 3 5 2" xfId="4058" xr:uid="{00000000-0005-0000-0000-000018200000}"/>
    <cellStyle name="Normal 9 3 3 5 2 2" xfId="8280" xr:uid="{00000000-0005-0000-0000-000019200000}"/>
    <cellStyle name="Normal 9 3 3 5 2 2 2" xfId="33612" xr:uid="{B85E5D55-D4C0-471E-927B-419D7C17A79C}"/>
    <cellStyle name="Normal 9 3 3 5 2 2 3" xfId="25171" xr:uid="{13189B97-FD3C-4B92-8FA5-9ECD9D1721B1}"/>
    <cellStyle name="Normal 9 3 3 5 2 2 4" xfId="16730" xr:uid="{8A79AFF8-6193-4DA3-A079-DD28F22D5498}"/>
    <cellStyle name="Normal 9 3 3 5 2 3" xfId="29394" xr:uid="{C578E033-993F-4202-91D9-399434E5C64A}"/>
    <cellStyle name="Normal 9 3 3 5 2 4" xfId="20953" xr:uid="{E4E9CB99-2D72-4BC6-9B2B-E9EC550D5F7A}"/>
    <cellStyle name="Normal 9 3 3 5 2 5" xfId="12512" xr:uid="{D74E1BB6-F954-4861-9383-67D1A96BEF69}"/>
    <cellStyle name="Normal 9 3 3 5 3" xfId="6135" xr:uid="{00000000-0005-0000-0000-00001A200000}"/>
    <cellStyle name="Normal 9 3 3 5 3 2" xfId="31467" xr:uid="{DECD94E1-072D-4D6B-846A-D3380AE503E7}"/>
    <cellStyle name="Normal 9 3 3 5 3 3" xfId="23026" xr:uid="{7E9B3947-EDCF-43EF-AB32-2CB1C2FF5F9D}"/>
    <cellStyle name="Normal 9 3 3 5 3 4" xfId="14585" xr:uid="{53A5BE83-3A21-41C2-B0B7-70E9A5DA1850}"/>
    <cellStyle name="Normal 9 3 3 5 4" xfId="27249" xr:uid="{C4F52A9B-638B-40E6-949A-32D1A5BAE6B2}"/>
    <cellStyle name="Normal 9 3 3 5 5" xfId="18808" xr:uid="{FA977E0D-1C12-4465-A7C5-1369AC8C34DB}"/>
    <cellStyle name="Normal 9 3 3 5 6" xfId="10367" xr:uid="{65552216-2735-4D7C-9D1A-B75D9AF9351F}"/>
    <cellStyle name="Normal 9 3 3 6" xfId="2242" xr:uid="{00000000-0005-0000-0000-00001B200000}"/>
    <cellStyle name="Normal 9 3 3 6 2" xfId="4471" xr:uid="{00000000-0005-0000-0000-00001C200000}"/>
    <cellStyle name="Normal 9 3 3 6 2 2" xfId="8693" xr:uid="{00000000-0005-0000-0000-00001D200000}"/>
    <cellStyle name="Normal 9 3 3 6 2 2 2" xfId="34025" xr:uid="{0995AA1E-6E57-43CB-9CF8-ED80271C4FB9}"/>
    <cellStyle name="Normal 9 3 3 6 2 2 3" xfId="25584" xr:uid="{52A2DB97-CC19-46F8-9542-410B5581BB89}"/>
    <cellStyle name="Normal 9 3 3 6 2 2 4" xfId="17143" xr:uid="{5FAF3475-C1D4-44A0-83D4-05DF2AC1D689}"/>
    <cellStyle name="Normal 9 3 3 6 2 3" xfId="29807" xr:uid="{4E32D5A7-8DFE-4333-89E4-EBFEFDEA5C1E}"/>
    <cellStyle name="Normal 9 3 3 6 2 4" xfId="21366" xr:uid="{1B9B829E-B4A0-4B3D-BC32-0B18004CB20A}"/>
    <cellStyle name="Normal 9 3 3 6 2 5" xfId="12925" xr:uid="{B2BFEB0E-F4F7-42CA-BE71-54BB0F1B98C2}"/>
    <cellStyle name="Normal 9 3 3 6 3" xfId="6548" xr:uid="{00000000-0005-0000-0000-00001E200000}"/>
    <cellStyle name="Normal 9 3 3 6 3 2" xfId="31880" xr:uid="{54930F2C-D2E1-4564-BC03-3FCFBCC9B957}"/>
    <cellStyle name="Normal 9 3 3 6 3 3" xfId="23439" xr:uid="{BA5728C0-6B57-4DB3-8015-58C79DE67C47}"/>
    <cellStyle name="Normal 9 3 3 6 3 4" xfId="14998" xr:uid="{686A7846-6BD8-4789-B996-D7768EC04F2B}"/>
    <cellStyle name="Normal 9 3 3 6 4" xfId="27662" xr:uid="{CC1FD922-B496-434E-A958-28707E920164}"/>
    <cellStyle name="Normal 9 3 3 6 5" xfId="19221" xr:uid="{0D04E986-D947-45E6-B6B3-F12321556A70}"/>
    <cellStyle name="Normal 9 3 3 6 6" xfId="10780" xr:uid="{7618E690-887A-45E8-8751-9F854A541A53}"/>
    <cellStyle name="Normal 9 3 3 7" xfId="2678" xr:uid="{00000000-0005-0000-0000-00001F200000}"/>
    <cellStyle name="Normal 9 3 3 7 2" xfId="6961" xr:uid="{00000000-0005-0000-0000-000020200000}"/>
    <cellStyle name="Normal 9 3 3 7 2 2" xfId="32293" xr:uid="{248477CA-6D5D-4425-8F9D-4E414E6C79E7}"/>
    <cellStyle name="Normal 9 3 3 7 2 3" xfId="23852" xr:uid="{9BE4359D-59E0-452A-88DE-C9AF1AF37A3A}"/>
    <cellStyle name="Normal 9 3 3 7 2 4" xfId="15411" xr:uid="{BBA48976-A238-4780-BEF1-4E8FBECE9B4C}"/>
    <cellStyle name="Normal 9 3 3 7 3" xfId="28075" xr:uid="{C6FED4CD-86EE-4DE2-8029-109AE55C4E1B}"/>
    <cellStyle name="Normal 9 3 3 7 4" xfId="19634" xr:uid="{E9FE7F87-D460-40EB-85DA-C1923D52C6FD}"/>
    <cellStyle name="Normal 9 3 3 7 5" xfId="11193" xr:uid="{54FE9D46-DAAA-4291-915D-2359B5ED25DD}"/>
    <cellStyle name="Normal 9 3 3 8" xfId="4896" xr:uid="{00000000-0005-0000-0000-000021200000}"/>
    <cellStyle name="Normal 9 3 3 8 2" xfId="30228" xr:uid="{BF54FAE7-A0A6-4F3F-8FA1-73E268A2CDE2}"/>
    <cellStyle name="Normal 9 3 3 8 3" xfId="21787" xr:uid="{89CDD34E-B95B-40A2-A1DB-276420F5A673}"/>
    <cellStyle name="Normal 9 3 3 8 4" xfId="13346" xr:uid="{9CF1DF51-3665-42EB-ADAE-8C65F5465C0D}"/>
    <cellStyle name="Normal 9 3 3 9" xfId="26010" xr:uid="{6C6AB324-A85C-40C6-B161-3BE0391F4A85}"/>
    <cellStyle name="Normal 9 3 4" xfId="534" xr:uid="{00000000-0005-0000-0000-000022200000}"/>
    <cellStyle name="Normal 9 3 4 10" xfId="9130" xr:uid="{1F2074FB-E8DC-4267-9002-E06B36902DE5}"/>
    <cellStyle name="Normal 9 3 4 2" xfId="1001" xr:uid="{00000000-0005-0000-0000-000023200000}"/>
    <cellStyle name="Normal 9 3 4 2 2" xfId="3234" xr:uid="{00000000-0005-0000-0000-000024200000}"/>
    <cellStyle name="Normal 9 3 4 2 2 2" xfId="7456" xr:uid="{00000000-0005-0000-0000-000025200000}"/>
    <cellStyle name="Normal 9 3 4 2 2 2 2" xfId="32788" xr:uid="{8F3C668E-4CC1-4943-B446-D4DBC4B10F70}"/>
    <cellStyle name="Normal 9 3 4 2 2 2 3" xfId="24347" xr:uid="{E90A215C-1F70-42AA-9DD3-CAE762A40300}"/>
    <cellStyle name="Normal 9 3 4 2 2 2 4" xfId="15906" xr:uid="{9D0EDFD1-7E81-4143-B893-88EC83CEC535}"/>
    <cellStyle name="Normal 9 3 4 2 2 3" xfId="28570" xr:uid="{C492180A-2153-4282-A0FE-FDBB6374AC5B}"/>
    <cellStyle name="Normal 9 3 4 2 2 4" xfId="20129" xr:uid="{5865F525-C227-4C88-B9EF-E92FD8571713}"/>
    <cellStyle name="Normal 9 3 4 2 2 5" xfId="11688" xr:uid="{2E4E9EFF-A83E-4524-B103-8B16C174A205}"/>
    <cellStyle name="Normal 9 3 4 2 3" xfId="5311" xr:uid="{00000000-0005-0000-0000-000026200000}"/>
    <cellStyle name="Normal 9 3 4 2 3 2" xfId="30643" xr:uid="{B9BED160-F804-405C-8B42-C9885F3B0129}"/>
    <cellStyle name="Normal 9 3 4 2 3 3" xfId="22202" xr:uid="{FC3EF295-C5DB-4FAF-8CE3-962D1A75A63D}"/>
    <cellStyle name="Normal 9 3 4 2 3 4" xfId="13761" xr:uid="{46D52958-DE20-4D4A-BB32-275614ECB277}"/>
    <cellStyle name="Normal 9 3 4 2 4" xfId="26425" xr:uid="{0631549A-306E-4CD0-93F5-584E7C634961}"/>
    <cellStyle name="Normal 9 3 4 2 5" xfId="17984" xr:uid="{8A5018F5-1126-414F-9DFC-CB3EEF1EF58C}"/>
    <cellStyle name="Normal 9 3 4 2 6" xfId="9543" xr:uid="{5F4740B6-61A4-4541-883D-47CD3B8DBFB7}"/>
    <cellStyle name="Normal 9 3 4 3" xfId="1417" xr:uid="{00000000-0005-0000-0000-000027200000}"/>
    <cellStyle name="Normal 9 3 4 3 2" xfId="3647" xr:uid="{00000000-0005-0000-0000-000028200000}"/>
    <cellStyle name="Normal 9 3 4 3 2 2" xfId="7869" xr:uid="{00000000-0005-0000-0000-000029200000}"/>
    <cellStyle name="Normal 9 3 4 3 2 2 2" xfId="33201" xr:uid="{DC8E9BDC-B613-4CBD-A00D-45664F6226AC}"/>
    <cellStyle name="Normal 9 3 4 3 2 2 3" xfId="24760" xr:uid="{DD50CCEB-0B71-43D7-8722-E94327363A40}"/>
    <cellStyle name="Normal 9 3 4 3 2 2 4" xfId="16319" xr:uid="{06328365-53B0-4D5E-8E5B-A9A8F16423DC}"/>
    <cellStyle name="Normal 9 3 4 3 2 3" xfId="28983" xr:uid="{626C4B3E-036F-4558-BBA4-08D0DE4AFAED}"/>
    <cellStyle name="Normal 9 3 4 3 2 4" xfId="20542" xr:uid="{FC0CA35D-941B-4E69-9C61-3469157AE899}"/>
    <cellStyle name="Normal 9 3 4 3 2 5" xfId="12101" xr:uid="{69270F7A-9366-42E2-8929-8A960289C5DC}"/>
    <cellStyle name="Normal 9 3 4 3 3" xfId="5724" xr:uid="{00000000-0005-0000-0000-00002A200000}"/>
    <cellStyle name="Normal 9 3 4 3 3 2" xfId="31056" xr:uid="{F5603472-CB2B-4180-B112-6FC1A60CEEA0}"/>
    <cellStyle name="Normal 9 3 4 3 3 3" xfId="22615" xr:uid="{023B232F-F33A-4507-A331-76EE450AFEAA}"/>
    <cellStyle name="Normal 9 3 4 3 3 4" xfId="14174" xr:uid="{E112DBFE-600B-4D7F-A7FB-0CCEC7BC7296}"/>
    <cellStyle name="Normal 9 3 4 3 4" xfId="26838" xr:uid="{16DAA999-6274-4676-B87E-45BDFA7426C2}"/>
    <cellStyle name="Normal 9 3 4 3 5" xfId="18397" xr:uid="{669B4F10-C340-4DAD-B9DE-B13DD57F5850}"/>
    <cellStyle name="Normal 9 3 4 3 6" xfId="9956" xr:uid="{91BA72A7-65F9-4094-8645-1D0F9D78A926}"/>
    <cellStyle name="Normal 9 3 4 4" xfId="1830" xr:uid="{00000000-0005-0000-0000-00002B200000}"/>
    <cellStyle name="Normal 9 3 4 4 2" xfId="4060" xr:uid="{00000000-0005-0000-0000-00002C200000}"/>
    <cellStyle name="Normal 9 3 4 4 2 2" xfId="8282" xr:uid="{00000000-0005-0000-0000-00002D200000}"/>
    <cellStyle name="Normal 9 3 4 4 2 2 2" xfId="33614" xr:uid="{F67FBB4F-8948-415D-AA07-FEB2394F7379}"/>
    <cellStyle name="Normal 9 3 4 4 2 2 3" xfId="25173" xr:uid="{A6A509A5-739A-496F-92F3-2735A81327BA}"/>
    <cellStyle name="Normal 9 3 4 4 2 2 4" xfId="16732" xr:uid="{CFB9A3FB-CC0A-4B8F-B9C5-8E61FEC6724F}"/>
    <cellStyle name="Normal 9 3 4 4 2 3" xfId="29396" xr:uid="{B3EA3DF9-8D97-49EC-822C-CC6D4B9BCCD8}"/>
    <cellStyle name="Normal 9 3 4 4 2 4" xfId="20955" xr:uid="{76BF9DE1-267C-41A3-ABF7-80C037307CB8}"/>
    <cellStyle name="Normal 9 3 4 4 2 5" xfId="12514" xr:uid="{F9338263-2AC0-4E66-88B3-935A45CEC710}"/>
    <cellStyle name="Normal 9 3 4 4 3" xfId="6137" xr:uid="{00000000-0005-0000-0000-00002E200000}"/>
    <cellStyle name="Normal 9 3 4 4 3 2" xfId="31469" xr:uid="{4CCDF051-A421-4822-BB01-8806F6C970C4}"/>
    <cellStyle name="Normal 9 3 4 4 3 3" xfId="23028" xr:uid="{B9F3DC1D-107A-473C-964F-C82B19B157A3}"/>
    <cellStyle name="Normal 9 3 4 4 3 4" xfId="14587" xr:uid="{1C759788-7728-46F4-BAC0-0EF5CF65D4B0}"/>
    <cellStyle name="Normal 9 3 4 4 4" xfId="27251" xr:uid="{D1D1D5C3-B71D-4E45-8D22-4C7DFF69D56C}"/>
    <cellStyle name="Normal 9 3 4 4 5" xfId="18810" xr:uid="{08272A3C-19FC-4A9C-9573-9A47B979E99D}"/>
    <cellStyle name="Normal 9 3 4 4 6" xfId="10369" xr:uid="{46C6F89A-0CE0-4C6E-8BEB-07E34B23662C}"/>
    <cellStyle name="Normal 9 3 4 5" xfId="2244" xr:uid="{00000000-0005-0000-0000-00002F200000}"/>
    <cellStyle name="Normal 9 3 4 5 2" xfId="4473" xr:uid="{00000000-0005-0000-0000-000030200000}"/>
    <cellStyle name="Normal 9 3 4 5 2 2" xfId="8695" xr:uid="{00000000-0005-0000-0000-000031200000}"/>
    <cellStyle name="Normal 9 3 4 5 2 2 2" xfId="34027" xr:uid="{33788996-9981-435A-A980-B94787FDE498}"/>
    <cellStyle name="Normal 9 3 4 5 2 2 3" xfId="25586" xr:uid="{4E7D8F5A-BF34-4CA4-84CF-7A66DAF60A35}"/>
    <cellStyle name="Normal 9 3 4 5 2 2 4" xfId="17145" xr:uid="{5BFD56A6-13BA-43C1-AAC1-D0E6AB6E0CC6}"/>
    <cellStyle name="Normal 9 3 4 5 2 3" xfId="29809" xr:uid="{7FDA8147-82C1-4736-94A1-1A97E4E4C8FC}"/>
    <cellStyle name="Normal 9 3 4 5 2 4" xfId="21368" xr:uid="{B341A0BF-2E17-4EA1-8827-1EE97CF91A4B}"/>
    <cellStyle name="Normal 9 3 4 5 2 5" xfId="12927" xr:uid="{6B5B01E8-6D57-4B5F-9FDE-6115DAE59328}"/>
    <cellStyle name="Normal 9 3 4 5 3" xfId="6550" xr:uid="{00000000-0005-0000-0000-000032200000}"/>
    <cellStyle name="Normal 9 3 4 5 3 2" xfId="31882" xr:uid="{38728E1C-04E4-4525-9159-E83ED839308E}"/>
    <cellStyle name="Normal 9 3 4 5 3 3" xfId="23441" xr:uid="{7527C209-B449-485E-A8E8-79E4631C3906}"/>
    <cellStyle name="Normal 9 3 4 5 3 4" xfId="15000" xr:uid="{086A43AE-B132-49D0-8CCF-F0A34B0389D6}"/>
    <cellStyle name="Normal 9 3 4 5 4" xfId="27664" xr:uid="{3038631E-E950-4364-B31D-3DEB7A6CD8C7}"/>
    <cellStyle name="Normal 9 3 4 5 5" xfId="19223" xr:uid="{20A1D0D9-59F9-41BA-B452-D6766022DBDE}"/>
    <cellStyle name="Normal 9 3 4 5 6" xfId="10782" xr:uid="{46591E83-E92C-45B7-9DB3-45DAAD069B76}"/>
    <cellStyle name="Normal 9 3 4 6" xfId="2680" xr:uid="{00000000-0005-0000-0000-000033200000}"/>
    <cellStyle name="Normal 9 3 4 6 2" xfId="6963" xr:uid="{00000000-0005-0000-0000-000034200000}"/>
    <cellStyle name="Normal 9 3 4 6 2 2" xfId="32295" xr:uid="{AB1A8492-EB43-4BB7-B64F-FF7BED7239AD}"/>
    <cellStyle name="Normal 9 3 4 6 2 3" xfId="23854" xr:uid="{D1D0BEF3-2FA4-4134-BDA8-AA5AE332E732}"/>
    <cellStyle name="Normal 9 3 4 6 2 4" xfId="15413" xr:uid="{44922497-6332-482B-AC53-079134A8BB12}"/>
    <cellStyle name="Normal 9 3 4 6 3" xfId="28077" xr:uid="{CECC6C5B-E05A-44DA-AB70-0AEABFDB3B9F}"/>
    <cellStyle name="Normal 9 3 4 6 4" xfId="19636" xr:uid="{5BDBFDE4-E9B3-4C7F-BB5F-00031C64A226}"/>
    <cellStyle name="Normal 9 3 4 6 5" xfId="11195" xr:uid="{7B0A96AC-4ECE-4CCA-95A8-1A7B0D5CEC32}"/>
    <cellStyle name="Normal 9 3 4 7" xfId="4898" xr:uid="{00000000-0005-0000-0000-000035200000}"/>
    <cellStyle name="Normal 9 3 4 7 2" xfId="30230" xr:uid="{FF36B489-FBED-4C6E-9FD2-486D220BFEAC}"/>
    <cellStyle name="Normal 9 3 4 7 3" xfId="21789" xr:uid="{335C4A55-C4FC-4939-9178-37B93E84959F}"/>
    <cellStyle name="Normal 9 3 4 7 4" xfId="13348" xr:uid="{A48A24AE-1A54-4AFD-A0DC-2016E75C3369}"/>
    <cellStyle name="Normal 9 3 4 8" xfId="26012" xr:uid="{07DEDCE3-7950-4681-90E5-B2F6E4FC940C}"/>
    <cellStyle name="Normal 9 3 4 9" xfId="17571" xr:uid="{34E3F5D9-9DE5-4281-BA69-6F9171116769}"/>
    <cellStyle name="Normal 9 3 5" xfId="994" xr:uid="{00000000-0005-0000-0000-000036200000}"/>
    <cellStyle name="Normal 9 3 5 2" xfId="3227" xr:uid="{00000000-0005-0000-0000-000037200000}"/>
    <cellStyle name="Normal 9 3 5 2 2" xfId="7449" xr:uid="{00000000-0005-0000-0000-000038200000}"/>
    <cellStyle name="Normal 9 3 5 2 2 2" xfId="32781" xr:uid="{511B6FBE-69E8-4D68-AEF1-2DAEFDE278D9}"/>
    <cellStyle name="Normal 9 3 5 2 2 3" xfId="24340" xr:uid="{C26BC60B-1105-485B-9832-18826A02BAF3}"/>
    <cellStyle name="Normal 9 3 5 2 2 4" xfId="15899" xr:uid="{030A94CC-AD09-4CAC-8392-A82EC8798074}"/>
    <cellStyle name="Normal 9 3 5 2 3" xfId="28563" xr:uid="{9652F3FF-7DD4-4B80-BE8C-76F1EF809220}"/>
    <cellStyle name="Normal 9 3 5 2 4" xfId="20122" xr:uid="{925CEDCF-310B-4A67-B8B4-BA9670AE8E3F}"/>
    <cellStyle name="Normal 9 3 5 2 5" xfId="11681" xr:uid="{73C4D5CF-82A8-4B73-9B3E-38FBDAFB4329}"/>
    <cellStyle name="Normal 9 3 5 3" xfId="5304" xr:uid="{00000000-0005-0000-0000-000039200000}"/>
    <cellStyle name="Normal 9 3 5 3 2" xfId="30636" xr:uid="{5974BF4E-89D3-4681-B7B9-5CD28870D69A}"/>
    <cellStyle name="Normal 9 3 5 3 3" xfId="22195" xr:uid="{A533AE33-3F77-4586-8098-92E62FA34613}"/>
    <cellStyle name="Normal 9 3 5 3 4" xfId="13754" xr:uid="{2A342315-7C77-4956-B195-36848363D9D3}"/>
    <cellStyle name="Normal 9 3 5 4" xfId="26418" xr:uid="{32D12FC2-C5D5-4B49-ACFF-8741BC5FD707}"/>
    <cellStyle name="Normal 9 3 5 5" xfId="17977" xr:uid="{6E10F8C1-D0B8-4533-BBC3-48E83D51D835}"/>
    <cellStyle name="Normal 9 3 5 6" xfId="9536" xr:uid="{2920C2FE-BE1E-4903-85B9-55E77D1DA50F}"/>
    <cellStyle name="Normal 9 3 6" xfId="1410" xr:uid="{00000000-0005-0000-0000-00003A200000}"/>
    <cellStyle name="Normal 9 3 6 2" xfId="3640" xr:uid="{00000000-0005-0000-0000-00003B200000}"/>
    <cellStyle name="Normal 9 3 6 2 2" xfId="7862" xr:uid="{00000000-0005-0000-0000-00003C200000}"/>
    <cellStyle name="Normal 9 3 6 2 2 2" xfId="33194" xr:uid="{B4E2A4E0-F116-4BC6-83C6-CA74B62F0535}"/>
    <cellStyle name="Normal 9 3 6 2 2 3" xfId="24753" xr:uid="{4CD424C4-D1D1-4C80-A653-F8F388B1D13E}"/>
    <cellStyle name="Normal 9 3 6 2 2 4" xfId="16312" xr:uid="{815360D4-4D0A-4838-8C0E-CE42DF690FBB}"/>
    <cellStyle name="Normal 9 3 6 2 3" xfId="28976" xr:uid="{0BACB21A-491A-4F6D-9DFE-11D6A06B1690}"/>
    <cellStyle name="Normal 9 3 6 2 4" xfId="20535" xr:uid="{662D3C3C-BD5E-4EB0-80A5-17AD0897B404}"/>
    <cellStyle name="Normal 9 3 6 2 5" xfId="12094" xr:uid="{88BA7087-E14B-49CE-80F8-9F0314301BE3}"/>
    <cellStyle name="Normal 9 3 6 3" xfId="5717" xr:uid="{00000000-0005-0000-0000-00003D200000}"/>
    <cellStyle name="Normal 9 3 6 3 2" xfId="31049" xr:uid="{2A93AAD0-5190-4714-AAD7-436C43FBC417}"/>
    <cellStyle name="Normal 9 3 6 3 3" xfId="22608" xr:uid="{403021E1-74B6-47EA-8253-F64125F46002}"/>
    <cellStyle name="Normal 9 3 6 3 4" xfId="14167" xr:uid="{ED05C0A8-93B7-44A5-A47E-2D68F3228B6F}"/>
    <cellStyle name="Normal 9 3 6 4" xfId="26831" xr:uid="{6156A303-C40E-4384-AA2E-91399ACE9496}"/>
    <cellStyle name="Normal 9 3 6 5" xfId="18390" xr:uid="{870B49AC-5ABC-4D7B-83EF-0B52221170D0}"/>
    <cellStyle name="Normal 9 3 6 6" xfId="9949" xr:uid="{57CC14F9-A22D-44AF-9D3E-9ED0AF735A1B}"/>
    <cellStyle name="Normal 9 3 7" xfId="1823" xr:uid="{00000000-0005-0000-0000-00003E200000}"/>
    <cellStyle name="Normal 9 3 7 2" xfId="4053" xr:uid="{00000000-0005-0000-0000-00003F200000}"/>
    <cellStyle name="Normal 9 3 7 2 2" xfId="8275" xr:uid="{00000000-0005-0000-0000-000040200000}"/>
    <cellStyle name="Normal 9 3 7 2 2 2" xfId="33607" xr:uid="{368F1439-072A-41CA-97C3-F51BBF23EA81}"/>
    <cellStyle name="Normal 9 3 7 2 2 3" xfId="25166" xr:uid="{BC0FA4D9-59B0-47FB-B60D-1BA3234E0A7B}"/>
    <cellStyle name="Normal 9 3 7 2 2 4" xfId="16725" xr:uid="{FB3A29EC-F5F3-454C-804D-114A248E77D7}"/>
    <cellStyle name="Normal 9 3 7 2 3" xfId="29389" xr:uid="{154DBE40-09BC-42ED-9883-49AC771E8F1F}"/>
    <cellStyle name="Normal 9 3 7 2 4" xfId="20948" xr:uid="{E34F091A-89B8-4B89-8D0F-20A555AB3576}"/>
    <cellStyle name="Normal 9 3 7 2 5" xfId="12507" xr:uid="{9237755C-CDF8-47EB-B26F-D1005FFCA692}"/>
    <cellStyle name="Normal 9 3 7 3" xfId="6130" xr:uid="{00000000-0005-0000-0000-000041200000}"/>
    <cellStyle name="Normal 9 3 7 3 2" xfId="31462" xr:uid="{EA37508B-943C-4DA4-BF65-19AB163DF392}"/>
    <cellStyle name="Normal 9 3 7 3 3" xfId="23021" xr:uid="{772FD73A-5B09-4B67-B92E-8BA7BFAA1A1D}"/>
    <cellStyle name="Normal 9 3 7 3 4" xfId="14580" xr:uid="{6AEC3373-1A13-4238-82DC-6BCB4626B743}"/>
    <cellStyle name="Normal 9 3 7 4" xfId="27244" xr:uid="{CA8B3F30-434B-49D0-B502-B1A56D4B72D6}"/>
    <cellStyle name="Normal 9 3 7 5" xfId="18803" xr:uid="{AD05C475-D38D-4304-90EE-FAA7514A04F8}"/>
    <cellStyle name="Normal 9 3 7 6" xfId="10362" xr:uid="{A861D7FA-79B6-4564-9B73-DEBBA3D5CA5B}"/>
    <cellStyle name="Normal 9 3 8" xfId="2237" xr:uid="{00000000-0005-0000-0000-000042200000}"/>
    <cellStyle name="Normal 9 3 8 2" xfId="4466" xr:uid="{00000000-0005-0000-0000-000043200000}"/>
    <cellStyle name="Normal 9 3 8 2 2" xfId="8688" xr:uid="{00000000-0005-0000-0000-000044200000}"/>
    <cellStyle name="Normal 9 3 8 2 2 2" xfId="34020" xr:uid="{FE1EDC6D-2E0F-49E2-8240-B05DC5C0B76B}"/>
    <cellStyle name="Normal 9 3 8 2 2 3" xfId="25579" xr:uid="{1B6A26D1-D918-4915-8943-A34A68A84BBA}"/>
    <cellStyle name="Normal 9 3 8 2 2 4" xfId="17138" xr:uid="{FDA32970-A514-4C55-AA00-9A8B000472E5}"/>
    <cellStyle name="Normal 9 3 8 2 3" xfId="29802" xr:uid="{8751A1B9-B162-4D91-9250-40CD70D61A13}"/>
    <cellStyle name="Normal 9 3 8 2 4" xfId="21361" xr:uid="{452791B2-4F8B-471A-841C-69097339BE94}"/>
    <cellStyle name="Normal 9 3 8 2 5" xfId="12920" xr:uid="{49B9ADC3-84F6-429A-8CB0-EE5E062F1CDF}"/>
    <cellStyle name="Normal 9 3 8 3" xfId="6543" xr:uid="{00000000-0005-0000-0000-000045200000}"/>
    <cellStyle name="Normal 9 3 8 3 2" xfId="31875" xr:uid="{119F626A-7B96-4379-9486-A78501AE79FE}"/>
    <cellStyle name="Normal 9 3 8 3 3" xfId="23434" xr:uid="{0DC2960D-6D2A-4146-A2B0-37BD861E7340}"/>
    <cellStyle name="Normal 9 3 8 3 4" xfId="14993" xr:uid="{A3338C2F-4089-42F8-99F7-19993EEDA40F}"/>
    <cellStyle name="Normal 9 3 8 4" xfId="27657" xr:uid="{ED23E74F-BC25-4FB7-B305-B8C7D044191A}"/>
    <cellStyle name="Normal 9 3 8 5" xfId="19216" xr:uid="{54593519-3C2A-44F0-B5AE-FCE73160B5B7}"/>
    <cellStyle name="Normal 9 3 8 6" xfId="10775" xr:uid="{AF92CBCE-3C13-49F4-9216-3C4E895E885B}"/>
    <cellStyle name="Normal 9 3 9" xfId="2673" xr:uid="{00000000-0005-0000-0000-000046200000}"/>
    <cellStyle name="Normal 9 3 9 2" xfId="6956" xr:uid="{00000000-0005-0000-0000-000047200000}"/>
    <cellStyle name="Normal 9 3 9 2 2" xfId="32288" xr:uid="{C62198AF-7E53-4E63-8406-0EA379EB756D}"/>
    <cellStyle name="Normal 9 3 9 2 3" xfId="23847" xr:uid="{76A15FE5-DB98-41B9-8E46-28EF7CBDE4A8}"/>
    <cellStyle name="Normal 9 3 9 2 4" xfId="15406" xr:uid="{D59B451C-0A36-48F5-870E-2959F0328BDD}"/>
    <cellStyle name="Normal 9 3 9 3" xfId="28070" xr:uid="{D495FF0C-CBCD-425F-B597-D3E72C6E6A97}"/>
    <cellStyle name="Normal 9 3 9 4" xfId="19629" xr:uid="{4412CEEA-02B6-4158-A1E0-5F742706F417}"/>
    <cellStyle name="Normal 9 3 9 5" xfId="11188" xr:uid="{D37D13E9-245B-477A-9B70-36A7093FED15}"/>
    <cellStyle name="Normal 9 4" xfId="535" xr:uid="{00000000-0005-0000-0000-000048200000}"/>
    <cellStyle name="Normal 9 4 2" xfId="1002" xr:uid="{00000000-0005-0000-0000-000049200000}"/>
    <cellStyle name="Normal 9 5" xfId="536" xr:uid="{00000000-0005-0000-0000-00004A200000}"/>
    <cellStyle name="Normal 9 5 10" xfId="17572" xr:uid="{C844ED27-256A-4EA4-95C7-69DA28911765}"/>
    <cellStyle name="Normal 9 5 11" xfId="9131" xr:uid="{480A82AA-37EE-4FAB-A213-E6703AB67921}"/>
    <cellStyle name="Normal 9 5 2" xfId="537" xr:uid="{00000000-0005-0000-0000-00004B200000}"/>
    <cellStyle name="Normal 9 5 2 10" xfId="9132" xr:uid="{BBDB2D27-FE0A-4336-9383-6018579806AF}"/>
    <cellStyle name="Normal 9 5 2 2" xfId="1004" xr:uid="{00000000-0005-0000-0000-00004C200000}"/>
    <cellStyle name="Normal 9 5 2 2 2" xfId="3236" xr:uid="{00000000-0005-0000-0000-00004D200000}"/>
    <cellStyle name="Normal 9 5 2 2 2 2" xfId="7458" xr:uid="{00000000-0005-0000-0000-00004E200000}"/>
    <cellStyle name="Normal 9 5 2 2 2 2 2" xfId="32790" xr:uid="{C1CDAD34-964D-402E-A045-2E3D61B9BE95}"/>
    <cellStyle name="Normal 9 5 2 2 2 2 3" xfId="24349" xr:uid="{116CE067-EF60-4C5B-A544-A179DA1F7948}"/>
    <cellStyle name="Normal 9 5 2 2 2 2 4" xfId="15908" xr:uid="{15AE6D7D-3E26-4729-9BB2-7A19ADD43C21}"/>
    <cellStyle name="Normal 9 5 2 2 2 3" xfId="28572" xr:uid="{A43A6A6D-9374-4C90-AA25-A7AC68BA9316}"/>
    <cellStyle name="Normal 9 5 2 2 2 4" xfId="20131" xr:uid="{7D203B10-52B8-4434-92E7-DE287D7D74BC}"/>
    <cellStyle name="Normal 9 5 2 2 2 5" xfId="11690" xr:uid="{0BC9D869-0265-4B6B-A372-0B00DEEC3980}"/>
    <cellStyle name="Normal 9 5 2 2 3" xfId="5313" xr:uid="{00000000-0005-0000-0000-00004F200000}"/>
    <cellStyle name="Normal 9 5 2 2 3 2" xfId="30645" xr:uid="{594B2953-6E72-4223-98C0-18F61E82EBA3}"/>
    <cellStyle name="Normal 9 5 2 2 3 3" xfId="22204" xr:uid="{724F1519-34EF-4197-BE80-F370B1204E92}"/>
    <cellStyle name="Normal 9 5 2 2 3 4" xfId="13763" xr:uid="{9D714539-5BD1-4FF2-ACC6-C12A2B950D1B}"/>
    <cellStyle name="Normal 9 5 2 2 4" xfId="26427" xr:uid="{82D8F466-7A6F-4C3F-929C-45C217941D8F}"/>
    <cellStyle name="Normal 9 5 2 2 5" xfId="17986" xr:uid="{9A2FE45F-96BC-4092-BD03-A89BE045FD53}"/>
    <cellStyle name="Normal 9 5 2 2 6" xfId="9545" xr:uid="{2E061C31-604C-484D-9991-60B8BB3AA918}"/>
    <cellStyle name="Normal 9 5 2 3" xfId="1419" xr:uid="{00000000-0005-0000-0000-000050200000}"/>
    <cellStyle name="Normal 9 5 2 3 2" xfId="3649" xr:uid="{00000000-0005-0000-0000-000051200000}"/>
    <cellStyle name="Normal 9 5 2 3 2 2" xfId="7871" xr:uid="{00000000-0005-0000-0000-000052200000}"/>
    <cellStyle name="Normal 9 5 2 3 2 2 2" xfId="33203" xr:uid="{6003C933-283F-4489-B90A-BAB7CF433664}"/>
    <cellStyle name="Normal 9 5 2 3 2 2 3" xfId="24762" xr:uid="{B4B9A2BB-2B72-46A3-B39B-2C3D9D90D1DD}"/>
    <cellStyle name="Normal 9 5 2 3 2 2 4" xfId="16321" xr:uid="{236C062A-9070-480A-8B2A-9F3D32E69BF6}"/>
    <cellStyle name="Normal 9 5 2 3 2 3" xfId="28985" xr:uid="{EB3E5C2F-671B-4BC9-A65C-AB6A4B0CAA71}"/>
    <cellStyle name="Normal 9 5 2 3 2 4" xfId="20544" xr:uid="{4C4E7FDE-B03D-4F03-BB1F-750847D2B6C6}"/>
    <cellStyle name="Normal 9 5 2 3 2 5" xfId="12103" xr:uid="{2246B4EB-2643-4890-B845-6134E54C0F73}"/>
    <cellStyle name="Normal 9 5 2 3 3" xfId="5726" xr:uid="{00000000-0005-0000-0000-000053200000}"/>
    <cellStyle name="Normal 9 5 2 3 3 2" xfId="31058" xr:uid="{5ECE1A24-C1B9-4619-897A-5392CCF020FE}"/>
    <cellStyle name="Normal 9 5 2 3 3 3" xfId="22617" xr:uid="{0B894FF4-A246-40D7-8F17-12024F898CC3}"/>
    <cellStyle name="Normal 9 5 2 3 3 4" xfId="14176" xr:uid="{59417185-DDC5-49CD-AF7C-35C309662959}"/>
    <cellStyle name="Normal 9 5 2 3 4" xfId="26840" xr:uid="{E05D9BCB-AD9B-4CFD-801E-020940A03810}"/>
    <cellStyle name="Normal 9 5 2 3 5" xfId="18399" xr:uid="{5197214C-5AED-402F-8162-441BA1835116}"/>
    <cellStyle name="Normal 9 5 2 3 6" xfId="9958" xr:uid="{2D46D1DB-0D47-403D-A46A-F0387B91EC38}"/>
    <cellStyle name="Normal 9 5 2 4" xfId="1832" xr:uid="{00000000-0005-0000-0000-000054200000}"/>
    <cellStyle name="Normal 9 5 2 4 2" xfId="4062" xr:uid="{00000000-0005-0000-0000-000055200000}"/>
    <cellStyle name="Normal 9 5 2 4 2 2" xfId="8284" xr:uid="{00000000-0005-0000-0000-000056200000}"/>
    <cellStyle name="Normal 9 5 2 4 2 2 2" xfId="33616" xr:uid="{A686D08B-A301-437F-85F7-B1F8EA0CF2A3}"/>
    <cellStyle name="Normal 9 5 2 4 2 2 3" xfId="25175" xr:uid="{C8989A37-A242-4B14-8021-C4F51B6234D8}"/>
    <cellStyle name="Normal 9 5 2 4 2 2 4" xfId="16734" xr:uid="{9BFCA2E0-2A9A-47D2-A3DC-A04EF52CF4A6}"/>
    <cellStyle name="Normal 9 5 2 4 2 3" xfId="29398" xr:uid="{E7E96A9B-917B-48AB-BDE0-516D3C1DE7A1}"/>
    <cellStyle name="Normal 9 5 2 4 2 4" xfId="20957" xr:uid="{8D6AAEB6-80FF-4AFB-9FD9-DBE75090C967}"/>
    <cellStyle name="Normal 9 5 2 4 2 5" xfId="12516" xr:uid="{79855DF0-47AA-49B1-8923-13C7751B956D}"/>
    <cellStyle name="Normal 9 5 2 4 3" xfId="6139" xr:uid="{00000000-0005-0000-0000-000057200000}"/>
    <cellStyle name="Normal 9 5 2 4 3 2" xfId="31471" xr:uid="{6E7D3D69-6739-4844-B7F9-41D86C5BBAE8}"/>
    <cellStyle name="Normal 9 5 2 4 3 3" xfId="23030" xr:uid="{61A230DE-C177-465F-8B62-E8447E241EAC}"/>
    <cellStyle name="Normal 9 5 2 4 3 4" xfId="14589" xr:uid="{3B2996F2-0460-4CDF-BBB1-5E0DCBF2E53A}"/>
    <cellStyle name="Normal 9 5 2 4 4" xfId="27253" xr:uid="{7BA899A4-C864-4681-B90E-AB6AB4A748F7}"/>
    <cellStyle name="Normal 9 5 2 4 5" xfId="18812" xr:uid="{789E58AE-339D-4669-A595-2E0FD3619838}"/>
    <cellStyle name="Normal 9 5 2 4 6" xfId="10371" xr:uid="{B0AE458A-0B2C-4BBE-B8B6-5650BA37345A}"/>
    <cellStyle name="Normal 9 5 2 5" xfId="2246" xr:uid="{00000000-0005-0000-0000-000058200000}"/>
    <cellStyle name="Normal 9 5 2 5 2" xfId="4475" xr:uid="{00000000-0005-0000-0000-000059200000}"/>
    <cellStyle name="Normal 9 5 2 5 2 2" xfId="8697" xr:uid="{00000000-0005-0000-0000-00005A200000}"/>
    <cellStyle name="Normal 9 5 2 5 2 2 2" xfId="34029" xr:uid="{795CC129-8826-492A-BCE4-610E69042738}"/>
    <cellStyle name="Normal 9 5 2 5 2 2 3" xfId="25588" xr:uid="{D05A7E35-4601-4627-A2EB-223B0363D7F3}"/>
    <cellStyle name="Normal 9 5 2 5 2 2 4" xfId="17147" xr:uid="{5C4C2B54-4EED-4F33-9F05-6806EAF7D8FB}"/>
    <cellStyle name="Normal 9 5 2 5 2 3" xfId="29811" xr:uid="{CA668290-72A8-410D-ADBD-66B81D57B7F3}"/>
    <cellStyle name="Normal 9 5 2 5 2 4" xfId="21370" xr:uid="{DDE75F0F-88EE-4334-B217-CCFEDE64AE6E}"/>
    <cellStyle name="Normal 9 5 2 5 2 5" xfId="12929" xr:uid="{64A633BA-DDD1-43C0-ABEE-446F29AEB570}"/>
    <cellStyle name="Normal 9 5 2 5 3" xfId="6552" xr:uid="{00000000-0005-0000-0000-00005B200000}"/>
    <cellStyle name="Normal 9 5 2 5 3 2" xfId="31884" xr:uid="{6943028E-CB0B-4270-8BCC-0BA66B518C06}"/>
    <cellStyle name="Normal 9 5 2 5 3 3" xfId="23443" xr:uid="{8901CB3F-AF97-4D1B-B97F-06A443DBEA45}"/>
    <cellStyle name="Normal 9 5 2 5 3 4" xfId="15002" xr:uid="{D21FF7EC-ACF7-491E-A918-BB74C288A5CC}"/>
    <cellStyle name="Normal 9 5 2 5 4" xfId="27666" xr:uid="{4691CAB8-8A93-48FF-A8E2-63A68F74C4CE}"/>
    <cellStyle name="Normal 9 5 2 5 5" xfId="19225" xr:uid="{E6E5DAC7-B49A-4A0C-9E24-A9610E19B20F}"/>
    <cellStyle name="Normal 9 5 2 5 6" xfId="10784" xr:uid="{494CCB8C-FFAA-40E1-A0CD-CAE6A684AE33}"/>
    <cellStyle name="Normal 9 5 2 6" xfId="2682" xr:uid="{00000000-0005-0000-0000-00005C200000}"/>
    <cellStyle name="Normal 9 5 2 6 2" xfId="6965" xr:uid="{00000000-0005-0000-0000-00005D200000}"/>
    <cellStyle name="Normal 9 5 2 6 2 2" xfId="32297" xr:uid="{5B8DACE8-B5D2-4E18-8F6B-E6579681E50B}"/>
    <cellStyle name="Normal 9 5 2 6 2 3" xfId="23856" xr:uid="{A391BF81-6609-4E04-9FE5-F6FC167583C2}"/>
    <cellStyle name="Normal 9 5 2 6 2 4" xfId="15415" xr:uid="{682B0FC1-86DF-43B2-B222-C5E5A23449CE}"/>
    <cellStyle name="Normal 9 5 2 6 3" xfId="28079" xr:uid="{8AAFF4C9-698D-42AC-8635-AC8A914E2466}"/>
    <cellStyle name="Normal 9 5 2 6 4" xfId="19638" xr:uid="{6DD12278-63A2-4511-B629-ACEEA9B5A9DA}"/>
    <cellStyle name="Normal 9 5 2 6 5" xfId="11197" xr:uid="{3C72F37D-4AC0-412B-917E-D9508DFFBB21}"/>
    <cellStyle name="Normal 9 5 2 7" xfId="4900" xr:uid="{00000000-0005-0000-0000-00005E200000}"/>
    <cellStyle name="Normal 9 5 2 7 2" xfId="30232" xr:uid="{402EE35F-5716-408A-B6DF-D9630D668EA1}"/>
    <cellStyle name="Normal 9 5 2 7 3" xfId="21791" xr:uid="{852FB7E6-DE34-4495-9654-C96E1D666C53}"/>
    <cellStyle name="Normal 9 5 2 7 4" xfId="13350" xr:uid="{A5EEEB09-525A-4901-A48A-BC29FF6337A2}"/>
    <cellStyle name="Normal 9 5 2 8" xfId="26014" xr:uid="{0FEAA7D9-EE6C-4E9C-ACC0-5DF155014426}"/>
    <cellStyle name="Normal 9 5 2 9" xfId="17573" xr:uid="{16498DE3-2DFD-4C66-9C07-21F2725D44B6}"/>
    <cellStyle name="Normal 9 5 3" xfId="1003" xr:uid="{00000000-0005-0000-0000-00005F200000}"/>
    <cellStyle name="Normal 9 5 3 2" xfId="3235" xr:uid="{00000000-0005-0000-0000-000060200000}"/>
    <cellStyle name="Normal 9 5 3 2 2" xfId="7457" xr:uid="{00000000-0005-0000-0000-000061200000}"/>
    <cellStyle name="Normal 9 5 3 2 2 2" xfId="32789" xr:uid="{21947C53-951D-473B-9645-9F4FFFF78EA4}"/>
    <cellStyle name="Normal 9 5 3 2 2 3" xfId="24348" xr:uid="{7B9338E9-8B82-46F5-8A3D-68962BF7372B}"/>
    <cellStyle name="Normal 9 5 3 2 2 4" xfId="15907" xr:uid="{F60D92FA-0AFD-4E58-A6CE-780D6FF6CC1E}"/>
    <cellStyle name="Normal 9 5 3 2 3" xfId="28571" xr:uid="{3A659E33-4A55-41D8-A7BF-DB06D65D9943}"/>
    <cellStyle name="Normal 9 5 3 2 4" xfId="20130" xr:uid="{D1797EFE-4A0D-44E0-83C0-EF4BC57545D0}"/>
    <cellStyle name="Normal 9 5 3 2 5" xfId="11689" xr:uid="{8DDBD6BC-300B-4F38-AFAC-460622428D8E}"/>
    <cellStyle name="Normal 9 5 3 3" xfId="5312" xr:uid="{00000000-0005-0000-0000-000062200000}"/>
    <cellStyle name="Normal 9 5 3 3 2" xfId="30644" xr:uid="{F0E2A8E6-D9E4-484E-B820-ED546C73F5A6}"/>
    <cellStyle name="Normal 9 5 3 3 3" xfId="22203" xr:uid="{7F4EA48A-98F3-4D54-98FD-327723E73197}"/>
    <cellStyle name="Normal 9 5 3 3 4" xfId="13762" xr:uid="{72A76821-7919-4E39-9FB7-9329CB862FE0}"/>
    <cellStyle name="Normal 9 5 3 4" xfId="26426" xr:uid="{2BE05257-882B-414E-B4D0-D04D58CF246E}"/>
    <cellStyle name="Normal 9 5 3 5" xfId="17985" xr:uid="{176E8641-D63E-4E0F-8514-1554B2CFFC8F}"/>
    <cellStyle name="Normal 9 5 3 6" xfId="9544" xr:uid="{D3034DAB-508F-4312-9DE2-AECE871D5663}"/>
    <cellStyle name="Normal 9 5 4" xfId="1418" xr:uid="{00000000-0005-0000-0000-000063200000}"/>
    <cellStyle name="Normal 9 5 4 2" xfId="3648" xr:uid="{00000000-0005-0000-0000-000064200000}"/>
    <cellStyle name="Normal 9 5 4 2 2" xfId="7870" xr:uid="{00000000-0005-0000-0000-000065200000}"/>
    <cellStyle name="Normal 9 5 4 2 2 2" xfId="33202" xr:uid="{4D67C9ED-1108-4523-A070-22D85B7EC3FE}"/>
    <cellStyle name="Normal 9 5 4 2 2 3" xfId="24761" xr:uid="{0B9D8012-6E46-4BA3-AF99-2AC8EBD2B32C}"/>
    <cellStyle name="Normal 9 5 4 2 2 4" xfId="16320" xr:uid="{7E0B609B-6B39-4B08-B7F9-7C5A440002CD}"/>
    <cellStyle name="Normal 9 5 4 2 3" xfId="28984" xr:uid="{5AEBC713-EEFF-4A76-9409-A2E3CA4CD4AD}"/>
    <cellStyle name="Normal 9 5 4 2 4" xfId="20543" xr:uid="{88799751-5B1C-422F-836C-29633A709D5E}"/>
    <cellStyle name="Normal 9 5 4 2 5" xfId="12102" xr:uid="{6899602E-DD33-43E1-8E8A-6CA4CBD75C4A}"/>
    <cellStyle name="Normal 9 5 4 3" xfId="5725" xr:uid="{00000000-0005-0000-0000-000066200000}"/>
    <cellStyle name="Normal 9 5 4 3 2" xfId="31057" xr:uid="{F7B11E10-7D77-4583-9999-C8BC32578BBE}"/>
    <cellStyle name="Normal 9 5 4 3 3" xfId="22616" xr:uid="{7E14EBAD-0E0B-43BD-A21E-778BA6E6841C}"/>
    <cellStyle name="Normal 9 5 4 3 4" xfId="14175" xr:uid="{A40664C1-805E-45A8-8045-8D24FA24E2E0}"/>
    <cellStyle name="Normal 9 5 4 4" xfId="26839" xr:uid="{408403D2-C253-4150-BF30-2A2F9772E075}"/>
    <cellStyle name="Normal 9 5 4 5" xfId="18398" xr:uid="{82B602DB-1243-47DB-BDF2-BBBE576E2544}"/>
    <cellStyle name="Normal 9 5 4 6" xfId="9957" xr:uid="{98A6D732-DCA2-4200-9804-7568B5EE24E2}"/>
    <cellStyle name="Normal 9 5 5" xfId="1831" xr:uid="{00000000-0005-0000-0000-000067200000}"/>
    <cellStyle name="Normal 9 5 5 2" xfId="4061" xr:uid="{00000000-0005-0000-0000-000068200000}"/>
    <cellStyle name="Normal 9 5 5 2 2" xfId="8283" xr:uid="{00000000-0005-0000-0000-000069200000}"/>
    <cellStyle name="Normal 9 5 5 2 2 2" xfId="33615" xr:uid="{618C6A1F-A141-471B-9C1C-3CA9E4DEFD5A}"/>
    <cellStyle name="Normal 9 5 5 2 2 3" xfId="25174" xr:uid="{4A54D5B0-2312-4603-BCB5-F9BDE28F6C9F}"/>
    <cellStyle name="Normal 9 5 5 2 2 4" xfId="16733" xr:uid="{8809DCA7-618D-427F-807C-9A352DC334BA}"/>
    <cellStyle name="Normal 9 5 5 2 3" xfId="29397" xr:uid="{8470E16C-8750-4F62-A0B2-48E1E6C451F9}"/>
    <cellStyle name="Normal 9 5 5 2 4" xfId="20956" xr:uid="{27CEFF2B-1966-4DF9-B4F4-A26E9BBD914C}"/>
    <cellStyle name="Normal 9 5 5 2 5" xfId="12515" xr:uid="{6E0251E9-A255-4A03-B4E9-A6443F6831C1}"/>
    <cellStyle name="Normal 9 5 5 3" xfId="6138" xr:uid="{00000000-0005-0000-0000-00006A200000}"/>
    <cellStyle name="Normal 9 5 5 3 2" xfId="31470" xr:uid="{EFBC8AE6-4DAB-4132-9978-A3B562B41B0E}"/>
    <cellStyle name="Normal 9 5 5 3 3" xfId="23029" xr:uid="{01C806BB-DEEB-40D1-A8FB-273C3AD9529D}"/>
    <cellStyle name="Normal 9 5 5 3 4" xfId="14588" xr:uid="{A23EBED6-62A8-499A-98F6-94BB497ECDC2}"/>
    <cellStyle name="Normal 9 5 5 4" xfId="27252" xr:uid="{322E2888-D119-4EB9-BDB5-5DC7BF7A7879}"/>
    <cellStyle name="Normal 9 5 5 5" xfId="18811" xr:uid="{338FB025-6746-4907-A2C1-869B2E54601D}"/>
    <cellStyle name="Normal 9 5 5 6" xfId="10370" xr:uid="{EDE8C114-A8E4-4FE7-93E2-EABD284291CE}"/>
    <cellStyle name="Normal 9 5 6" xfId="2245" xr:uid="{00000000-0005-0000-0000-00006B200000}"/>
    <cellStyle name="Normal 9 5 6 2" xfId="4474" xr:uid="{00000000-0005-0000-0000-00006C200000}"/>
    <cellStyle name="Normal 9 5 6 2 2" xfId="8696" xr:uid="{00000000-0005-0000-0000-00006D200000}"/>
    <cellStyle name="Normal 9 5 6 2 2 2" xfId="34028" xr:uid="{5E64A957-565B-4803-8EB0-3F92721A75A3}"/>
    <cellStyle name="Normal 9 5 6 2 2 3" xfId="25587" xr:uid="{505E2526-65B8-43A7-9A56-FC74452E274C}"/>
    <cellStyle name="Normal 9 5 6 2 2 4" xfId="17146" xr:uid="{925E98CE-5721-464F-9D91-734AFBA153F3}"/>
    <cellStyle name="Normal 9 5 6 2 3" xfId="29810" xr:uid="{CBAEDA07-C385-4027-8DD9-0BC6E455DEBF}"/>
    <cellStyle name="Normal 9 5 6 2 4" xfId="21369" xr:uid="{E3545A04-458A-4BD5-8D60-D69C9955E9AD}"/>
    <cellStyle name="Normal 9 5 6 2 5" xfId="12928" xr:uid="{4B810111-A4C4-459C-A069-23CAC027C0BE}"/>
    <cellStyle name="Normal 9 5 6 3" xfId="6551" xr:uid="{00000000-0005-0000-0000-00006E200000}"/>
    <cellStyle name="Normal 9 5 6 3 2" xfId="31883" xr:uid="{C829A37A-9499-47C1-A2A5-421D9AD19E88}"/>
    <cellStyle name="Normal 9 5 6 3 3" xfId="23442" xr:uid="{D427B127-85DF-499F-B0EB-BE5DDB305D0B}"/>
    <cellStyle name="Normal 9 5 6 3 4" xfId="15001" xr:uid="{91E018CD-9C4F-47FA-A40E-B70296E03BA7}"/>
    <cellStyle name="Normal 9 5 6 4" xfId="27665" xr:uid="{C43E2C3F-5030-41D1-9EB5-BC9AD7A69330}"/>
    <cellStyle name="Normal 9 5 6 5" xfId="19224" xr:uid="{2C0B9C74-1408-4A11-A8CA-C8781DD7DCFD}"/>
    <cellStyle name="Normal 9 5 6 6" xfId="10783" xr:uid="{38013146-78A5-4010-952A-04A450D6EEE0}"/>
    <cellStyle name="Normal 9 5 7" xfId="2681" xr:uid="{00000000-0005-0000-0000-00006F200000}"/>
    <cellStyle name="Normal 9 5 7 2" xfId="6964" xr:uid="{00000000-0005-0000-0000-000070200000}"/>
    <cellStyle name="Normal 9 5 7 2 2" xfId="32296" xr:uid="{91B045F2-4380-4707-8EBD-0EA2FA0056A8}"/>
    <cellStyle name="Normal 9 5 7 2 3" xfId="23855" xr:uid="{B0338ECB-F30D-4D89-9EF9-D7078AD210C2}"/>
    <cellStyle name="Normal 9 5 7 2 4" xfId="15414" xr:uid="{F3D8C273-1331-4A6A-8418-616631D81A33}"/>
    <cellStyle name="Normal 9 5 7 3" xfId="28078" xr:uid="{24CC6BAA-15F5-4FAD-9606-924ECEFD906B}"/>
    <cellStyle name="Normal 9 5 7 4" xfId="19637" xr:uid="{40A12476-6B26-4A81-9967-86E579331588}"/>
    <cellStyle name="Normal 9 5 7 5" xfId="11196" xr:uid="{A43B6BCC-E534-41D2-B1F1-BCA691FD8AE0}"/>
    <cellStyle name="Normal 9 5 8" xfId="4899" xr:uid="{00000000-0005-0000-0000-000071200000}"/>
    <cellStyle name="Normal 9 5 8 2" xfId="30231" xr:uid="{9E233ED3-FB96-423C-967A-5C852D64E53B}"/>
    <cellStyle name="Normal 9 5 8 3" xfId="21790" xr:uid="{CEBD4357-1F62-45AB-ACC2-C876A9D3A4C8}"/>
    <cellStyle name="Normal 9 5 8 4" xfId="13349" xr:uid="{E9256162-2A82-4617-AAF1-DBABE51F5962}"/>
    <cellStyle name="Normal 9 5 9" xfId="26013" xr:uid="{88FBB267-4837-4384-BC4E-0290EBF83827}"/>
    <cellStyle name="Normal 9 6" xfId="538" xr:uid="{00000000-0005-0000-0000-000072200000}"/>
    <cellStyle name="Normal 9 6 10" xfId="9133" xr:uid="{32A3563B-064C-4875-A2F4-C38B748E1D89}"/>
    <cellStyle name="Normal 9 6 2" xfId="1005" xr:uid="{00000000-0005-0000-0000-000073200000}"/>
    <cellStyle name="Normal 9 6 2 2" xfId="3237" xr:uid="{00000000-0005-0000-0000-000074200000}"/>
    <cellStyle name="Normal 9 6 2 2 2" xfId="7459" xr:uid="{00000000-0005-0000-0000-000075200000}"/>
    <cellStyle name="Normal 9 6 2 2 2 2" xfId="32791" xr:uid="{F99FE9CE-276F-433E-9FCF-D290D41BCD50}"/>
    <cellStyle name="Normal 9 6 2 2 2 3" xfId="24350" xr:uid="{33EE7E7F-8E77-4BBB-9402-B02F4788CD80}"/>
    <cellStyle name="Normal 9 6 2 2 2 4" xfId="15909" xr:uid="{C46E55D7-0CCA-4EC8-AE46-A3B84E3346DA}"/>
    <cellStyle name="Normal 9 6 2 2 3" xfId="28573" xr:uid="{7C6A9075-98D0-4439-9EE2-3DDEE0184178}"/>
    <cellStyle name="Normal 9 6 2 2 4" xfId="20132" xr:uid="{D6499FF2-573A-452D-A742-56785DFC6891}"/>
    <cellStyle name="Normal 9 6 2 2 5" xfId="11691" xr:uid="{279F6C04-F051-4D45-A077-B8B81147E704}"/>
    <cellStyle name="Normal 9 6 2 3" xfId="5314" xr:uid="{00000000-0005-0000-0000-000076200000}"/>
    <cellStyle name="Normal 9 6 2 3 2" xfId="30646" xr:uid="{A065A354-34F9-4FA7-BF3A-16C388609D5D}"/>
    <cellStyle name="Normal 9 6 2 3 3" xfId="22205" xr:uid="{7BCC202D-E051-468A-8412-3A62BF54B768}"/>
    <cellStyle name="Normal 9 6 2 3 4" xfId="13764" xr:uid="{86FDCF77-833B-43F3-9E9D-F7D1DCE7F5E9}"/>
    <cellStyle name="Normal 9 6 2 4" xfId="26428" xr:uid="{3C4F7C28-6889-487B-BF25-BA1ACD1DEDAC}"/>
    <cellStyle name="Normal 9 6 2 5" xfId="17987" xr:uid="{0276A2D3-6EC8-4398-9C09-956C0DAA45CB}"/>
    <cellStyle name="Normal 9 6 2 6" xfId="9546" xr:uid="{E94E83FB-7A91-4F1C-8FF1-BA6E280B0605}"/>
    <cellStyle name="Normal 9 6 3" xfId="1420" xr:uid="{00000000-0005-0000-0000-000077200000}"/>
    <cellStyle name="Normal 9 6 3 2" xfId="3650" xr:uid="{00000000-0005-0000-0000-000078200000}"/>
    <cellStyle name="Normal 9 6 3 2 2" xfId="7872" xr:uid="{00000000-0005-0000-0000-000079200000}"/>
    <cellStyle name="Normal 9 6 3 2 2 2" xfId="33204" xr:uid="{360665BE-3A14-4006-A4A1-A15E38C66E4F}"/>
    <cellStyle name="Normal 9 6 3 2 2 3" xfId="24763" xr:uid="{14C0FA33-B35E-4780-A437-A354D1796EFA}"/>
    <cellStyle name="Normal 9 6 3 2 2 4" xfId="16322" xr:uid="{BA5C6E0E-DA25-4B6D-9367-B375AD0CEE76}"/>
    <cellStyle name="Normal 9 6 3 2 3" xfId="28986" xr:uid="{082C27AA-E310-44D7-9721-F334D7812E0C}"/>
    <cellStyle name="Normal 9 6 3 2 4" xfId="20545" xr:uid="{B7994F92-2878-4C7E-8B23-7D756284782F}"/>
    <cellStyle name="Normal 9 6 3 2 5" xfId="12104" xr:uid="{3ABFC940-056F-4E84-8103-6D23536B97C1}"/>
    <cellStyle name="Normal 9 6 3 3" xfId="5727" xr:uid="{00000000-0005-0000-0000-00007A200000}"/>
    <cellStyle name="Normal 9 6 3 3 2" xfId="31059" xr:uid="{17374D85-F0D1-4225-8ADA-D15CB278B70B}"/>
    <cellStyle name="Normal 9 6 3 3 3" xfId="22618" xr:uid="{7A28A839-1FBB-4812-893A-1B4D7B44EEB9}"/>
    <cellStyle name="Normal 9 6 3 3 4" xfId="14177" xr:uid="{D92897A4-0B88-4F7E-A35A-0FBD58BCB435}"/>
    <cellStyle name="Normal 9 6 3 4" xfId="26841" xr:uid="{FE3A310F-326D-405F-872A-8797BF0EF2EB}"/>
    <cellStyle name="Normal 9 6 3 5" xfId="18400" xr:uid="{EEA72CEF-D248-4A37-BE3B-403A9EE890D5}"/>
    <cellStyle name="Normal 9 6 3 6" xfId="9959" xr:uid="{11501EE2-7690-439A-B8A2-C4C8A5F9BB5A}"/>
    <cellStyle name="Normal 9 6 4" xfId="1833" xr:uid="{00000000-0005-0000-0000-00007B200000}"/>
    <cellStyle name="Normal 9 6 4 2" xfId="4063" xr:uid="{00000000-0005-0000-0000-00007C200000}"/>
    <cellStyle name="Normal 9 6 4 2 2" xfId="8285" xr:uid="{00000000-0005-0000-0000-00007D200000}"/>
    <cellStyle name="Normal 9 6 4 2 2 2" xfId="33617" xr:uid="{256102E3-0E3F-4A0A-9315-FF67107FD25E}"/>
    <cellStyle name="Normal 9 6 4 2 2 3" xfId="25176" xr:uid="{C1AF1B4F-6F3C-4FDC-8663-AB9DC6419B0D}"/>
    <cellStyle name="Normal 9 6 4 2 2 4" xfId="16735" xr:uid="{74DF2E43-399A-4A65-90AF-C4ACBF9FA017}"/>
    <cellStyle name="Normal 9 6 4 2 3" xfId="29399" xr:uid="{FBA09966-E6F5-4C7C-8EC4-03495C6DC7C6}"/>
    <cellStyle name="Normal 9 6 4 2 4" xfId="20958" xr:uid="{4305610C-7909-43B2-A8A9-10DFAE831B54}"/>
    <cellStyle name="Normal 9 6 4 2 5" xfId="12517" xr:uid="{43DC80EE-C695-4A95-8905-FFB3AA758E97}"/>
    <cellStyle name="Normal 9 6 4 3" xfId="6140" xr:uid="{00000000-0005-0000-0000-00007E200000}"/>
    <cellStyle name="Normal 9 6 4 3 2" xfId="31472" xr:uid="{B07188DF-5D9C-45D1-A911-00F0F9C7A2A2}"/>
    <cellStyle name="Normal 9 6 4 3 3" xfId="23031" xr:uid="{E9450930-DEFF-4810-97EC-F11FC8864812}"/>
    <cellStyle name="Normal 9 6 4 3 4" xfId="14590" xr:uid="{539BA539-4E31-4B86-9625-E10DFBD19242}"/>
    <cellStyle name="Normal 9 6 4 4" xfId="27254" xr:uid="{FB038CC8-ED22-430C-95AD-F699B5F8465F}"/>
    <cellStyle name="Normal 9 6 4 5" xfId="18813" xr:uid="{6BF69BFC-A199-43CF-8A57-A79CA81E5E9E}"/>
    <cellStyle name="Normal 9 6 4 6" xfId="10372" xr:uid="{8125CDD7-B861-41B6-A485-D31650D7CFD9}"/>
    <cellStyle name="Normal 9 6 5" xfId="2247" xr:uid="{00000000-0005-0000-0000-00007F200000}"/>
    <cellStyle name="Normal 9 6 5 2" xfId="4476" xr:uid="{00000000-0005-0000-0000-000080200000}"/>
    <cellStyle name="Normal 9 6 5 2 2" xfId="8698" xr:uid="{00000000-0005-0000-0000-000081200000}"/>
    <cellStyle name="Normal 9 6 5 2 2 2" xfId="34030" xr:uid="{A2F3CB7C-608B-48C5-8C96-02D48FCD1435}"/>
    <cellStyle name="Normal 9 6 5 2 2 3" xfId="25589" xr:uid="{656D52CA-A115-40F2-9A2B-6882EF551868}"/>
    <cellStyle name="Normal 9 6 5 2 2 4" xfId="17148" xr:uid="{B66F7D18-8CD8-4792-92D2-3B88AE30880B}"/>
    <cellStyle name="Normal 9 6 5 2 3" xfId="29812" xr:uid="{A2C01AE9-DC17-4202-A879-E767968A3E93}"/>
    <cellStyle name="Normal 9 6 5 2 4" xfId="21371" xr:uid="{B84950B7-45FA-493D-8183-64B7F2FD903D}"/>
    <cellStyle name="Normal 9 6 5 2 5" xfId="12930" xr:uid="{71EC48C0-BC93-4C99-BC35-4DC8C953C2EB}"/>
    <cellStyle name="Normal 9 6 5 3" xfId="6553" xr:uid="{00000000-0005-0000-0000-000082200000}"/>
    <cellStyle name="Normal 9 6 5 3 2" xfId="31885" xr:uid="{00826255-0392-4EF6-8559-CF97C41695FF}"/>
    <cellStyle name="Normal 9 6 5 3 3" xfId="23444" xr:uid="{B12938D5-10D4-484D-9142-37A5714E191A}"/>
    <cellStyle name="Normal 9 6 5 3 4" xfId="15003" xr:uid="{A4C80E71-D275-4C64-81E7-9C4882420B44}"/>
    <cellStyle name="Normal 9 6 5 4" xfId="27667" xr:uid="{50D01B40-2D97-47FF-944F-3F408634735A}"/>
    <cellStyle name="Normal 9 6 5 5" xfId="19226" xr:uid="{2B3772A0-59EA-4D48-A33B-09EF69252038}"/>
    <cellStyle name="Normal 9 6 5 6" xfId="10785" xr:uid="{97C0CC2D-D892-473C-A7C9-F262C372A01F}"/>
    <cellStyle name="Normal 9 6 6" xfId="2683" xr:uid="{00000000-0005-0000-0000-000083200000}"/>
    <cellStyle name="Normal 9 6 6 2" xfId="6966" xr:uid="{00000000-0005-0000-0000-000084200000}"/>
    <cellStyle name="Normal 9 6 6 2 2" xfId="32298" xr:uid="{709CAB19-F7AE-40B1-84B7-075CF3DA228E}"/>
    <cellStyle name="Normal 9 6 6 2 3" xfId="23857" xr:uid="{9AABD7A8-0864-4763-9228-4521C233FB05}"/>
    <cellStyle name="Normal 9 6 6 2 4" xfId="15416" xr:uid="{9E5E49DD-CFBF-40EA-BD7C-CA849E504A1D}"/>
    <cellStyle name="Normal 9 6 6 3" xfId="28080" xr:uid="{856025C8-73BF-445F-AA4A-F9E9569990A7}"/>
    <cellStyle name="Normal 9 6 6 4" xfId="19639" xr:uid="{77E0AB7B-052E-45F4-8C96-6BCB5E7616AF}"/>
    <cellStyle name="Normal 9 6 6 5" xfId="11198" xr:uid="{AE7EC32C-AB16-43CC-A3EA-5801B6E58AD0}"/>
    <cellStyle name="Normal 9 6 7" xfId="4901" xr:uid="{00000000-0005-0000-0000-000085200000}"/>
    <cellStyle name="Normal 9 6 7 2" xfId="30233" xr:uid="{B92916E9-6396-455B-950C-78A91F464A95}"/>
    <cellStyle name="Normal 9 6 7 3" xfId="21792" xr:uid="{9F55E627-99B9-42F9-9D2B-9CF99F08D2FD}"/>
    <cellStyle name="Normal 9 6 7 4" xfId="13351" xr:uid="{CCD1256F-012B-477B-B68E-9ADCBEAD2EB7}"/>
    <cellStyle name="Normal 9 6 8" xfId="26015" xr:uid="{691E5447-254A-49DE-8265-78A18FEBD9B6}"/>
    <cellStyle name="Normal 9 6 9" xfId="17574" xr:uid="{A12A618D-06BB-4362-838D-F39EBA5D1A1D}"/>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0 2 2" xfId="32379" xr:uid="{CF9DDC77-B0E6-4B1F-B069-FA6EBF51B6FA}"/>
    <cellStyle name="Note 2 2 10 2 3" xfId="23938" xr:uid="{9C378F33-AD2F-4163-AC2C-E4435981034B}"/>
    <cellStyle name="Note 2 2 10 2 4" xfId="15497" xr:uid="{F3B80D77-16E3-4F4A-90B8-6AA3FB06E877}"/>
    <cellStyle name="Note 2 2 10 3" xfId="28161" xr:uid="{12D1E334-A2C8-4916-B906-94542D556A9B}"/>
    <cellStyle name="Note 2 2 10 4" xfId="19720" xr:uid="{2331DCB4-3C48-4EF9-AAD0-3820F5CB5ECE}"/>
    <cellStyle name="Note 2 2 10 5" xfId="11279" xr:uid="{3793BDC2-69C7-4185-884E-1F8F68038A22}"/>
    <cellStyle name="Note 2 2 11" xfId="4902" xr:uid="{00000000-0005-0000-0000-000094200000}"/>
    <cellStyle name="Note 2 2 11 2" xfId="30234" xr:uid="{04CFD158-D01A-44E8-8CB5-E410F6DC8DA0}"/>
    <cellStyle name="Note 2 2 11 3" xfId="21793" xr:uid="{85977086-3272-4AFB-A470-72E249C16CC3}"/>
    <cellStyle name="Note 2 2 11 4" xfId="13352" xr:uid="{F03FC747-3AF4-4578-AAC2-DAC5763A6F10}"/>
    <cellStyle name="Note 2 2 12" xfId="26016" xr:uid="{446560DD-BE31-4694-9CC9-952141A5DE36}"/>
    <cellStyle name="Note 2 2 13" xfId="17575" xr:uid="{59BF4C78-46A1-4849-B1D6-1F5E1F842FB2}"/>
    <cellStyle name="Note 2 2 14" xfId="9134" xr:uid="{37D4BAF6-3BE2-4362-A319-67B21B76456E}"/>
    <cellStyle name="Note 2 2 2" xfId="546" xr:uid="{00000000-0005-0000-0000-000095200000}"/>
    <cellStyle name="Note 2 2 2 10" xfId="4903" xr:uid="{00000000-0005-0000-0000-000096200000}"/>
    <cellStyle name="Note 2 2 2 10 2" xfId="30235" xr:uid="{1524F5E1-5686-4453-B819-375F9F2C282A}"/>
    <cellStyle name="Note 2 2 2 10 3" xfId="21794" xr:uid="{57AD8903-B06F-487B-B9FA-20E9B00072D0}"/>
    <cellStyle name="Note 2 2 2 10 4" xfId="13353" xr:uid="{A9B9DF12-8A58-4975-B1A2-5B0561C49B40}"/>
    <cellStyle name="Note 2 2 2 11" xfId="26017" xr:uid="{4E0242DC-1D97-4656-95BD-A81D29607423}"/>
    <cellStyle name="Note 2 2 2 12" xfId="17576" xr:uid="{5BAE4405-8134-47B8-8324-363EA54C862B}"/>
    <cellStyle name="Note 2 2 2 13" xfId="9135" xr:uid="{0CB13668-CBD0-484D-9294-04E65FCEAF3D}"/>
    <cellStyle name="Note 2 2 2 2" xfId="547" xr:uid="{00000000-0005-0000-0000-000097200000}"/>
    <cellStyle name="Note 2 2 2 2 10" xfId="26018" xr:uid="{66F739BC-97B1-4130-846D-247B65538374}"/>
    <cellStyle name="Note 2 2 2 2 11" xfId="17577" xr:uid="{1FCD748F-3434-4446-AC32-B36D93290AC3}"/>
    <cellStyle name="Note 2 2 2 2 12" xfId="9136" xr:uid="{6E2CBBA5-206B-4731-8BFA-7C3AD4B9A544}"/>
    <cellStyle name="Note 2 2 2 2 2" xfId="1008" xr:uid="{00000000-0005-0000-0000-000098200000}"/>
    <cellStyle name="Note 2 2 2 2 2 2" xfId="3240" xr:uid="{00000000-0005-0000-0000-000099200000}"/>
    <cellStyle name="Note 2 2 2 2 2 2 2" xfId="7462" xr:uid="{00000000-0005-0000-0000-00009A200000}"/>
    <cellStyle name="Note 2 2 2 2 2 2 2 2" xfId="32794" xr:uid="{00F7D985-5E66-469B-9879-4521301EE88E}"/>
    <cellStyle name="Note 2 2 2 2 2 2 2 3" xfId="24353" xr:uid="{9A40E187-1C37-4C3D-AE64-B4EFCD9A9D72}"/>
    <cellStyle name="Note 2 2 2 2 2 2 2 4" xfId="15912" xr:uid="{71906775-48DA-4053-A244-E4423FEA77BE}"/>
    <cellStyle name="Note 2 2 2 2 2 2 3" xfId="28576" xr:uid="{5D643109-026B-47D9-9DCB-C00C16A5F20C}"/>
    <cellStyle name="Note 2 2 2 2 2 2 4" xfId="20135" xr:uid="{2ECC6257-FA65-4C9B-B688-E0A38D32BD6D}"/>
    <cellStyle name="Note 2 2 2 2 2 2 5" xfId="11694" xr:uid="{787C53D8-2CFD-47D7-B6B8-14AC7C2DA945}"/>
    <cellStyle name="Note 2 2 2 2 2 3" xfId="5317" xr:uid="{00000000-0005-0000-0000-00009B200000}"/>
    <cellStyle name="Note 2 2 2 2 2 3 2" xfId="30649" xr:uid="{7A509F88-5E92-4C85-8E2D-A54B87911512}"/>
    <cellStyle name="Note 2 2 2 2 2 3 3" xfId="22208" xr:uid="{FA1D91AE-7664-4351-8739-760BF77B263F}"/>
    <cellStyle name="Note 2 2 2 2 2 3 4" xfId="13767" xr:uid="{D4AA23F5-51BB-4D5E-83C6-28206D347444}"/>
    <cellStyle name="Note 2 2 2 2 2 4" xfId="26431" xr:uid="{B5E81018-647F-486F-8151-D66D8291681F}"/>
    <cellStyle name="Note 2 2 2 2 2 5" xfId="17990" xr:uid="{294346C2-6F29-44E2-A198-124F3AA75623}"/>
    <cellStyle name="Note 2 2 2 2 2 6" xfId="9549" xr:uid="{1200D7D3-ADFD-4AE1-9F15-4077C9222210}"/>
    <cellStyle name="Note 2 2 2 2 3" xfId="1423" xr:uid="{00000000-0005-0000-0000-00009C200000}"/>
    <cellStyle name="Note 2 2 2 2 3 2" xfId="3653" xr:uid="{00000000-0005-0000-0000-00009D200000}"/>
    <cellStyle name="Note 2 2 2 2 3 2 2" xfId="7875" xr:uid="{00000000-0005-0000-0000-00009E200000}"/>
    <cellStyle name="Note 2 2 2 2 3 2 2 2" xfId="33207" xr:uid="{50B749DA-BF4C-409E-826C-F7D3A6686AF2}"/>
    <cellStyle name="Note 2 2 2 2 3 2 2 3" xfId="24766" xr:uid="{6BD392C9-3C02-454C-AA09-7CF06F5D15D9}"/>
    <cellStyle name="Note 2 2 2 2 3 2 2 4" xfId="16325" xr:uid="{876CDC6B-421E-4EBF-A69D-F064FE275004}"/>
    <cellStyle name="Note 2 2 2 2 3 2 3" xfId="28989" xr:uid="{03A20332-3CFB-4E30-BB50-523655DB5A12}"/>
    <cellStyle name="Note 2 2 2 2 3 2 4" xfId="20548" xr:uid="{B69D81F5-AA2A-43A1-8654-E6635F1424CD}"/>
    <cellStyle name="Note 2 2 2 2 3 2 5" xfId="12107" xr:uid="{BEFFF8D5-9751-4286-AF66-0BEEFC199D27}"/>
    <cellStyle name="Note 2 2 2 2 3 3" xfId="5730" xr:uid="{00000000-0005-0000-0000-00009F200000}"/>
    <cellStyle name="Note 2 2 2 2 3 3 2" xfId="31062" xr:uid="{36D1ADAD-1B18-4E5F-A7F0-DC52D7EF9DB9}"/>
    <cellStyle name="Note 2 2 2 2 3 3 3" xfId="22621" xr:uid="{8D8959EE-7219-4E78-8734-4AFAAFD32DE5}"/>
    <cellStyle name="Note 2 2 2 2 3 3 4" xfId="14180" xr:uid="{F810C2ED-F32D-4E08-A39E-5CD94140B7CD}"/>
    <cellStyle name="Note 2 2 2 2 3 4" xfId="26844" xr:uid="{BCA8FC1B-8D47-4D34-9530-ADBF351FAE8B}"/>
    <cellStyle name="Note 2 2 2 2 3 5" xfId="18403" xr:uid="{3B13C72F-8E52-4DE1-85A1-D3A03EC1DF30}"/>
    <cellStyle name="Note 2 2 2 2 3 6" xfId="9962" xr:uid="{20362EB7-118C-469F-A608-27FBCB9F83A8}"/>
    <cellStyle name="Note 2 2 2 2 4" xfId="1837" xr:uid="{00000000-0005-0000-0000-0000A0200000}"/>
    <cellStyle name="Note 2 2 2 2 4 2" xfId="4066" xr:uid="{00000000-0005-0000-0000-0000A1200000}"/>
    <cellStyle name="Note 2 2 2 2 4 2 2" xfId="8288" xr:uid="{00000000-0005-0000-0000-0000A2200000}"/>
    <cellStyle name="Note 2 2 2 2 4 2 2 2" xfId="33620" xr:uid="{4A212F15-F1D8-4D05-A7C9-236AF6CE18F2}"/>
    <cellStyle name="Note 2 2 2 2 4 2 2 3" xfId="25179" xr:uid="{05A38992-30B5-49B5-BCC3-19C564A61FA5}"/>
    <cellStyle name="Note 2 2 2 2 4 2 2 4" xfId="16738" xr:uid="{49863DC1-964D-4A0D-B1A2-C1CE2E165688}"/>
    <cellStyle name="Note 2 2 2 2 4 2 3" xfId="29402" xr:uid="{B45774CA-FB2F-4CAC-A070-55242ED375B1}"/>
    <cellStyle name="Note 2 2 2 2 4 2 4" xfId="20961" xr:uid="{59C935D4-C663-4506-85A8-1720C082E392}"/>
    <cellStyle name="Note 2 2 2 2 4 2 5" xfId="12520" xr:uid="{DC8C50AA-B202-40E4-BBDA-2DCDBFA6B29F}"/>
    <cellStyle name="Note 2 2 2 2 4 3" xfId="6143" xr:uid="{00000000-0005-0000-0000-0000A3200000}"/>
    <cellStyle name="Note 2 2 2 2 4 3 2" xfId="31475" xr:uid="{2D1B63E7-67A8-4F67-9BF3-EFA4805090FF}"/>
    <cellStyle name="Note 2 2 2 2 4 3 3" xfId="23034" xr:uid="{F0B3CBC5-A6AD-4D33-8390-4B5F05539134}"/>
    <cellStyle name="Note 2 2 2 2 4 3 4" xfId="14593" xr:uid="{6AEE4D41-AAEB-4492-80B2-9BDF0BEAF5AF}"/>
    <cellStyle name="Note 2 2 2 2 4 4" xfId="27257" xr:uid="{BE3B687A-D81F-493C-8FE6-C7D8140875B3}"/>
    <cellStyle name="Note 2 2 2 2 4 5" xfId="18816" xr:uid="{716FEE07-DA87-4F5E-8EEE-DDCC200CB179}"/>
    <cellStyle name="Note 2 2 2 2 4 6" xfId="10375" xr:uid="{E5CC1B93-5D63-4767-8614-9EA58D9FEBD6}"/>
    <cellStyle name="Note 2 2 2 2 5" xfId="2250" xr:uid="{00000000-0005-0000-0000-0000A4200000}"/>
    <cellStyle name="Note 2 2 2 2 5 2" xfId="4479" xr:uid="{00000000-0005-0000-0000-0000A5200000}"/>
    <cellStyle name="Note 2 2 2 2 5 2 2" xfId="8701" xr:uid="{00000000-0005-0000-0000-0000A6200000}"/>
    <cellStyle name="Note 2 2 2 2 5 2 2 2" xfId="34033" xr:uid="{020117AA-36A1-4E34-9E82-1CEFD25E91E8}"/>
    <cellStyle name="Note 2 2 2 2 5 2 2 3" xfId="25592" xr:uid="{E4C28893-B2A1-4F2B-9950-18B0740DEDED}"/>
    <cellStyle name="Note 2 2 2 2 5 2 2 4" xfId="17151" xr:uid="{B6F76419-DCA1-48D3-91A2-FAFB573B4EB8}"/>
    <cellStyle name="Note 2 2 2 2 5 2 3" xfId="29815" xr:uid="{0590E79C-18F9-4FAD-B91F-564CAC47DE81}"/>
    <cellStyle name="Note 2 2 2 2 5 2 4" xfId="21374" xr:uid="{783F1ABA-1C55-4AA6-AD04-EFCCF96481C2}"/>
    <cellStyle name="Note 2 2 2 2 5 2 5" xfId="12933" xr:uid="{169FE05A-DF38-4435-A9D4-FCEFFD5C1C2D}"/>
    <cellStyle name="Note 2 2 2 2 5 3" xfId="6556" xr:uid="{00000000-0005-0000-0000-0000A7200000}"/>
    <cellStyle name="Note 2 2 2 2 5 3 2" xfId="31888" xr:uid="{8EABC623-9A23-40D8-848D-CF4425009742}"/>
    <cellStyle name="Note 2 2 2 2 5 3 3" xfId="23447" xr:uid="{0ACED780-AE66-4F23-AD71-79EBF4F610B9}"/>
    <cellStyle name="Note 2 2 2 2 5 3 4" xfId="15006" xr:uid="{8070F2F3-C026-44A5-B02F-61FE4F467ABF}"/>
    <cellStyle name="Note 2 2 2 2 5 4" xfId="27670" xr:uid="{1A96CEF1-C07C-439B-AD9B-AB8FF6C55404}"/>
    <cellStyle name="Note 2 2 2 2 5 5" xfId="19229" xr:uid="{9F2831AA-4322-4DC3-BA46-7D0E01D4EC25}"/>
    <cellStyle name="Note 2 2 2 2 5 6" xfId="10788" xr:uid="{3B937309-F795-4224-86CA-3115A33AE8B2}"/>
    <cellStyle name="Note 2 2 2 2 6" xfId="2686" xr:uid="{00000000-0005-0000-0000-0000A8200000}"/>
    <cellStyle name="Note 2 2 2 2 6 2" xfId="6969" xr:uid="{00000000-0005-0000-0000-0000A9200000}"/>
    <cellStyle name="Note 2 2 2 2 6 2 2" xfId="32301" xr:uid="{B11A4CDA-AB24-4CEB-A6EE-739D292C62B9}"/>
    <cellStyle name="Note 2 2 2 2 6 2 3" xfId="23860" xr:uid="{96965ECF-2915-4638-9AA7-C4D1B97EB895}"/>
    <cellStyle name="Note 2 2 2 2 6 2 4" xfId="15419" xr:uid="{BDE7B728-9E72-4697-B4DD-B010DB8C4A0D}"/>
    <cellStyle name="Note 2 2 2 2 6 3" xfId="28083" xr:uid="{4B996FDE-8904-4244-A1C4-34582D39B9CE}"/>
    <cellStyle name="Note 2 2 2 2 6 4" xfId="19642" xr:uid="{FB5BE7D0-1E01-4C49-BA41-9FC6D67BD263}"/>
    <cellStyle name="Note 2 2 2 2 6 5" xfId="11201" xr:uid="{EEB4D085-32EF-4A82-9427-72E7EA7A9D0F}"/>
    <cellStyle name="Note 2 2 2 2 7" xfId="2745" xr:uid="{00000000-0005-0000-0000-0000AA200000}"/>
    <cellStyle name="Note 2 2 2 2 8" xfId="2826" xr:uid="{00000000-0005-0000-0000-0000AB200000}"/>
    <cellStyle name="Note 2 2 2 2 8 2" xfId="7049" xr:uid="{00000000-0005-0000-0000-0000AC200000}"/>
    <cellStyle name="Note 2 2 2 2 8 2 2" xfId="32381" xr:uid="{7A9B1D68-48B3-4DB0-99D2-535BF40C5475}"/>
    <cellStyle name="Note 2 2 2 2 8 2 3" xfId="23940" xr:uid="{1BC88186-B7ED-4A4E-81D2-60062104B224}"/>
    <cellStyle name="Note 2 2 2 2 8 2 4" xfId="15499" xr:uid="{F924C7F2-C548-4D22-A95E-FC8BCC8831DF}"/>
    <cellStyle name="Note 2 2 2 2 8 3" xfId="28163" xr:uid="{F9444574-5EC9-4644-BE8A-9954635DB037}"/>
    <cellStyle name="Note 2 2 2 2 8 4" xfId="19722" xr:uid="{51982993-E346-423B-9C13-AE7386478376}"/>
    <cellStyle name="Note 2 2 2 2 8 5" xfId="11281" xr:uid="{437636A3-AE4D-41E9-826F-28B42A60E7BB}"/>
    <cellStyle name="Note 2 2 2 2 9" xfId="4904" xr:uid="{00000000-0005-0000-0000-0000AD200000}"/>
    <cellStyle name="Note 2 2 2 2 9 2" xfId="30236" xr:uid="{FBA0478D-1A19-4453-A8D7-F1EB1AAB078E}"/>
    <cellStyle name="Note 2 2 2 2 9 3" xfId="21795" xr:uid="{092BB845-80C2-47C5-8E4C-C8B88DEFA02A}"/>
    <cellStyle name="Note 2 2 2 2 9 4" xfId="13354" xr:uid="{F7CF500A-9BE5-49FF-B7E9-10A4414FDC1E}"/>
    <cellStyle name="Note 2 2 2 3" xfId="1007" xr:uid="{00000000-0005-0000-0000-0000AE200000}"/>
    <cellStyle name="Note 2 2 2 3 2" xfId="3239" xr:uid="{00000000-0005-0000-0000-0000AF200000}"/>
    <cellStyle name="Note 2 2 2 3 2 2" xfId="7461" xr:uid="{00000000-0005-0000-0000-0000B0200000}"/>
    <cellStyle name="Note 2 2 2 3 2 2 2" xfId="32793" xr:uid="{D09C74F4-7F38-464E-A983-34F05E4EEF55}"/>
    <cellStyle name="Note 2 2 2 3 2 2 3" xfId="24352" xr:uid="{23319E10-EA45-41AE-A519-E4C9A7593047}"/>
    <cellStyle name="Note 2 2 2 3 2 2 4" xfId="15911" xr:uid="{ABDCDF18-6658-4D47-9412-A2036D760BC3}"/>
    <cellStyle name="Note 2 2 2 3 2 3" xfId="28575" xr:uid="{DF1BAAB5-EAC3-4F98-8D3A-A99750D07C66}"/>
    <cellStyle name="Note 2 2 2 3 2 4" xfId="20134" xr:uid="{925BCEFC-74E6-4177-8D7C-50B1804E25F4}"/>
    <cellStyle name="Note 2 2 2 3 2 5" xfId="11693" xr:uid="{09DEE257-26C9-4AFB-B155-28B0D8AB5446}"/>
    <cellStyle name="Note 2 2 2 3 3" xfId="5316" xr:uid="{00000000-0005-0000-0000-0000B1200000}"/>
    <cellStyle name="Note 2 2 2 3 3 2" xfId="30648" xr:uid="{3FB0AB36-F1BE-46D9-A407-AC830110E5E2}"/>
    <cellStyle name="Note 2 2 2 3 3 3" xfId="22207" xr:uid="{30C92A69-84F4-4B28-9D6B-CE72D5B6B962}"/>
    <cellStyle name="Note 2 2 2 3 3 4" xfId="13766" xr:uid="{EDED035E-C7F9-4A9C-BEEE-CA15AED2886C}"/>
    <cellStyle name="Note 2 2 2 3 4" xfId="26430" xr:uid="{F65367D4-9DDE-407E-B297-A9B45BC60B9B}"/>
    <cellStyle name="Note 2 2 2 3 5" xfId="17989" xr:uid="{C8CB2CA5-5E02-47C0-99D9-AFEA592D7AAE}"/>
    <cellStyle name="Note 2 2 2 3 6" xfId="9548" xr:uid="{A46CE735-0981-4574-BA60-08D0CDEB6C00}"/>
    <cellStyle name="Note 2 2 2 4" xfId="1422" xr:uid="{00000000-0005-0000-0000-0000B2200000}"/>
    <cellStyle name="Note 2 2 2 4 2" xfId="3652" xr:uid="{00000000-0005-0000-0000-0000B3200000}"/>
    <cellStyle name="Note 2 2 2 4 2 2" xfId="7874" xr:uid="{00000000-0005-0000-0000-0000B4200000}"/>
    <cellStyle name="Note 2 2 2 4 2 2 2" xfId="33206" xr:uid="{EFFBE5EC-4A43-40BE-9972-82686C493753}"/>
    <cellStyle name="Note 2 2 2 4 2 2 3" xfId="24765" xr:uid="{1DC9CE3C-B499-458F-8AD7-ABDB35E6D0AD}"/>
    <cellStyle name="Note 2 2 2 4 2 2 4" xfId="16324" xr:uid="{8B574836-26FF-401F-9ED6-42A9D084398C}"/>
    <cellStyle name="Note 2 2 2 4 2 3" xfId="28988" xr:uid="{A35D0842-EE51-4EC7-AF2F-53186682233F}"/>
    <cellStyle name="Note 2 2 2 4 2 4" xfId="20547" xr:uid="{B0385F25-DC2D-4171-8726-DD9ECCFD765F}"/>
    <cellStyle name="Note 2 2 2 4 2 5" xfId="12106" xr:uid="{47B2E6EB-B5C0-48B7-B4C8-3D63F1038DA3}"/>
    <cellStyle name="Note 2 2 2 4 3" xfId="5729" xr:uid="{00000000-0005-0000-0000-0000B5200000}"/>
    <cellStyle name="Note 2 2 2 4 3 2" xfId="31061" xr:uid="{58BBE6E7-31C7-4FE8-92C0-9A24CA54AC90}"/>
    <cellStyle name="Note 2 2 2 4 3 3" xfId="22620" xr:uid="{3A86B34F-291C-47B4-B4D6-08DE2F8D9413}"/>
    <cellStyle name="Note 2 2 2 4 3 4" xfId="14179" xr:uid="{DA2F7FEE-375B-49BC-B707-3F584B2A7307}"/>
    <cellStyle name="Note 2 2 2 4 4" xfId="26843" xr:uid="{BCAD6419-F9F8-40F1-811A-6817B68F8C57}"/>
    <cellStyle name="Note 2 2 2 4 5" xfId="18402" xr:uid="{04551E50-954E-4909-B025-6CDE137674A6}"/>
    <cellStyle name="Note 2 2 2 4 6" xfId="9961" xr:uid="{EAC997CE-87FE-465A-B191-BE4859BFC1F2}"/>
    <cellStyle name="Note 2 2 2 5" xfId="1836" xr:uid="{00000000-0005-0000-0000-0000B6200000}"/>
    <cellStyle name="Note 2 2 2 5 2" xfId="4065" xr:uid="{00000000-0005-0000-0000-0000B7200000}"/>
    <cellStyle name="Note 2 2 2 5 2 2" xfId="8287" xr:uid="{00000000-0005-0000-0000-0000B8200000}"/>
    <cellStyle name="Note 2 2 2 5 2 2 2" xfId="33619" xr:uid="{913178F1-606D-4935-A2A5-BE3F028BFB5E}"/>
    <cellStyle name="Note 2 2 2 5 2 2 3" xfId="25178" xr:uid="{F7037E28-C46F-4BC7-860B-4D044F4B4386}"/>
    <cellStyle name="Note 2 2 2 5 2 2 4" xfId="16737" xr:uid="{66EDD109-3CEB-4E01-AAC0-3CA41D96C152}"/>
    <cellStyle name="Note 2 2 2 5 2 3" xfId="29401" xr:uid="{B25BABE0-8F38-4F00-A1E0-C0083897419B}"/>
    <cellStyle name="Note 2 2 2 5 2 4" xfId="20960" xr:uid="{7B716422-D78D-4EEA-9572-2E33DE4D2523}"/>
    <cellStyle name="Note 2 2 2 5 2 5" xfId="12519" xr:uid="{5A7EFEB3-9FB5-4389-BC8F-C3FB26E0E0DB}"/>
    <cellStyle name="Note 2 2 2 5 3" xfId="6142" xr:uid="{00000000-0005-0000-0000-0000B9200000}"/>
    <cellStyle name="Note 2 2 2 5 3 2" xfId="31474" xr:uid="{33B2C676-929D-4DBF-AF6F-5997374B8B62}"/>
    <cellStyle name="Note 2 2 2 5 3 3" xfId="23033" xr:uid="{01ACDA07-EF4B-4F9C-AD3E-6C7EC0AE4A1A}"/>
    <cellStyle name="Note 2 2 2 5 3 4" xfId="14592" xr:uid="{2684A862-D0D4-42EB-B980-FFC934D9D117}"/>
    <cellStyle name="Note 2 2 2 5 4" xfId="27256" xr:uid="{9AC91CC0-912F-4A8B-94D5-B2343B2CC2BE}"/>
    <cellStyle name="Note 2 2 2 5 5" xfId="18815" xr:uid="{BB9705EB-203A-4BB4-B9CB-576CE3A516CE}"/>
    <cellStyle name="Note 2 2 2 5 6" xfId="10374" xr:uid="{95C9A04E-2F4E-4105-8071-8B95C4016D8A}"/>
    <cellStyle name="Note 2 2 2 6" xfId="2249" xr:uid="{00000000-0005-0000-0000-0000BA200000}"/>
    <cellStyle name="Note 2 2 2 6 2" xfId="4478" xr:uid="{00000000-0005-0000-0000-0000BB200000}"/>
    <cellStyle name="Note 2 2 2 6 2 2" xfId="8700" xr:uid="{00000000-0005-0000-0000-0000BC200000}"/>
    <cellStyle name="Note 2 2 2 6 2 2 2" xfId="34032" xr:uid="{2038639C-E515-4B96-82E7-471E676E24CF}"/>
    <cellStyle name="Note 2 2 2 6 2 2 3" xfId="25591" xr:uid="{E48C5F38-4C7A-4B2B-BB44-AAF10606AF6B}"/>
    <cellStyle name="Note 2 2 2 6 2 2 4" xfId="17150" xr:uid="{044BF6A0-5ACC-4D85-95F9-CA62A844306D}"/>
    <cellStyle name="Note 2 2 2 6 2 3" xfId="29814" xr:uid="{2614F019-1F6C-4CD4-BEDB-6D71B279A42F}"/>
    <cellStyle name="Note 2 2 2 6 2 4" xfId="21373" xr:uid="{5EDC34DF-5ED3-4328-9F78-C2188EC07EA4}"/>
    <cellStyle name="Note 2 2 2 6 2 5" xfId="12932" xr:uid="{835AB098-5CFA-4627-BA43-4B98A12335F4}"/>
    <cellStyle name="Note 2 2 2 6 3" xfId="6555" xr:uid="{00000000-0005-0000-0000-0000BD200000}"/>
    <cellStyle name="Note 2 2 2 6 3 2" xfId="31887" xr:uid="{90999392-2FA2-4E8A-B7D7-BB134197A392}"/>
    <cellStyle name="Note 2 2 2 6 3 3" xfId="23446" xr:uid="{8012510E-0005-4F1C-9EAC-892FF5DD472E}"/>
    <cellStyle name="Note 2 2 2 6 3 4" xfId="15005" xr:uid="{8CE2019A-E7C3-4923-9FB6-AC28C0AACF80}"/>
    <cellStyle name="Note 2 2 2 6 4" xfId="27669" xr:uid="{73A42918-61EE-4A05-88AC-E5E63FA80A3C}"/>
    <cellStyle name="Note 2 2 2 6 5" xfId="19228" xr:uid="{0CD6CC9A-979F-4590-8569-922798810A35}"/>
    <cellStyle name="Note 2 2 2 6 6" xfId="10787" xr:uid="{A7B69503-3185-4BD6-A9BA-D9A54F7B2CB6}"/>
    <cellStyle name="Note 2 2 2 7" xfId="2685" xr:uid="{00000000-0005-0000-0000-0000BE200000}"/>
    <cellStyle name="Note 2 2 2 7 2" xfId="6968" xr:uid="{00000000-0005-0000-0000-0000BF200000}"/>
    <cellStyle name="Note 2 2 2 7 2 2" xfId="32300" xr:uid="{DCF37EB7-3999-4BA7-B23C-0B35C68DED14}"/>
    <cellStyle name="Note 2 2 2 7 2 3" xfId="23859" xr:uid="{64BB82F5-42F1-4DC7-8E9F-9FAC374EF740}"/>
    <cellStyle name="Note 2 2 2 7 2 4" xfId="15418" xr:uid="{4B41B35A-D99D-438A-B5AB-265671562A5C}"/>
    <cellStyle name="Note 2 2 2 7 3" xfId="28082" xr:uid="{B56167F6-0E1F-4503-8804-FF0F221EA4D8}"/>
    <cellStyle name="Note 2 2 2 7 4" xfId="19641" xr:uid="{BFF5F647-F594-4EEC-B171-B6D22B123A0A}"/>
    <cellStyle name="Note 2 2 2 7 5" xfId="11200" xr:uid="{24099DC1-F5F4-4525-AB48-78A073381B53}"/>
    <cellStyle name="Note 2 2 2 8" xfId="2744" xr:uid="{00000000-0005-0000-0000-0000C0200000}"/>
    <cellStyle name="Note 2 2 2 9" xfId="2825" xr:uid="{00000000-0005-0000-0000-0000C1200000}"/>
    <cellStyle name="Note 2 2 2 9 2" xfId="7048" xr:uid="{00000000-0005-0000-0000-0000C2200000}"/>
    <cellStyle name="Note 2 2 2 9 2 2" xfId="32380" xr:uid="{837AA41B-789E-4E3A-B317-602F44B19856}"/>
    <cellStyle name="Note 2 2 2 9 2 3" xfId="23939" xr:uid="{A73B0EBE-E4E0-4AE4-92DA-98D04FEFFC38}"/>
    <cellStyle name="Note 2 2 2 9 2 4" xfId="15498" xr:uid="{07697954-924A-4939-B6E4-62BD644741C9}"/>
    <cellStyle name="Note 2 2 2 9 3" xfId="28162" xr:uid="{FD285CE0-51F8-4C07-B747-44FBEF3A661B}"/>
    <cellStyle name="Note 2 2 2 9 4" xfId="19721" xr:uid="{46F32A28-0710-40E9-A9A6-0E1662905777}"/>
    <cellStyle name="Note 2 2 2 9 5" xfId="11280" xr:uid="{6E642D7D-7250-4F31-A8A7-752182A5D8CA}"/>
    <cellStyle name="Note 2 2 3" xfId="548" xr:uid="{00000000-0005-0000-0000-0000C3200000}"/>
    <cellStyle name="Note 2 2 3 10" xfId="26019" xr:uid="{0C2CE220-375C-4343-AF91-8433E9AF9D8C}"/>
    <cellStyle name="Note 2 2 3 11" xfId="17578" xr:uid="{2E67FDB2-6D7B-42DC-9F83-B8C6AC9A595C}"/>
    <cellStyle name="Note 2 2 3 12" xfId="9137" xr:uid="{E0D357F2-9000-467F-A378-D36F346D9BA9}"/>
    <cellStyle name="Note 2 2 3 2" xfId="1009" xr:uid="{00000000-0005-0000-0000-0000C4200000}"/>
    <cellStyle name="Note 2 2 3 2 2" xfId="3241" xr:uid="{00000000-0005-0000-0000-0000C5200000}"/>
    <cellStyle name="Note 2 2 3 2 2 2" xfId="7463" xr:uid="{00000000-0005-0000-0000-0000C6200000}"/>
    <cellStyle name="Note 2 2 3 2 2 2 2" xfId="32795" xr:uid="{9A1D5205-C3FF-46F1-AE13-782AEF38D05B}"/>
    <cellStyle name="Note 2 2 3 2 2 2 3" xfId="24354" xr:uid="{7F5336A1-22C5-4692-A648-2AF9979F5BF8}"/>
    <cellStyle name="Note 2 2 3 2 2 2 4" xfId="15913" xr:uid="{7FF84E46-7D0A-4D42-8C2A-42B5271831DE}"/>
    <cellStyle name="Note 2 2 3 2 2 3" xfId="28577" xr:uid="{A1520CA3-6075-4E11-9DF8-52D4AA3F76CF}"/>
    <cellStyle name="Note 2 2 3 2 2 4" xfId="20136" xr:uid="{038C2A78-B762-44D6-B28D-EA3829D86667}"/>
    <cellStyle name="Note 2 2 3 2 2 5" xfId="11695" xr:uid="{5C3F810E-A52C-4084-B0FC-9E900B667AE4}"/>
    <cellStyle name="Note 2 2 3 2 3" xfId="5318" xr:uid="{00000000-0005-0000-0000-0000C7200000}"/>
    <cellStyle name="Note 2 2 3 2 3 2" xfId="30650" xr:uid="{CF2A0F61-E893-45B9-BCC8-9D935E9C1265}"/>
    <cellStyle name="Note 2 2 3 2 3 3" xfId="22209" xr:uid="{E38E6DF9-CB3E-49A3-B13C-7992E621B6E3}"/>
    <cellStyle name="Note 2 2 3 2 3 4" xfId="13768" xr:uid="{81783C6F-1E0D-4AFB-A066-82BD057295B2}"/>
    <cellStyle name="Note 2 2 3 2 4" xfId="26432" xr:uid="{FB1BB563-2164-4C78-BEFA-A28B87F2FAA3}"/>
    <cellStyle name="Note 2 2 3 2 5" xfId="17991" xr:uid="{26E70F1A-6B0D-42DC-A782-F112FBD4071A}"/>
    <cellStyle name="Note 2 2 3 2 6" xfId="9550" xr:uid="{BC15CA51-0AA3-493E-93AD-DBECBE09EE27}"/>
    <cellStyle name="Note 2 2 3 3" xfId="1424" xr:uid="{00000000-0005-0000-0000-0000C8200000}"/>
    <cellStyle name="Note 2 2 3 3 2" xfId="3654" xr:uid="{00000000-0005-0000-0000-0000C9200000}"/>
    <cellStyle name="Note 2 2 3 3 2 2" xfId="7876" xr:uid="{00000000-0005-0000-0000-0000CA200000}"/>
    <cellStyle name="Note 2 2 3 3 2 2 2" xfId="33208" xr:uid="{DBF0421E-7434-4483-8596-DA04F85081C2}"/>
    <cellStyle name="Note 2 2 3 3 2 2 3" xfId="24767" xr:uid="{562E4712-D922-4E4C-A422-BD931EE1E041}"/>
    <cellStyle name="Note 2 2 3 3 2 2 4" xfId="16326" xr:uid="{4C6A3083-8A2B-4011-80D1-F176289699BD}"/>
    <cellStyle name="Note 2 2 3 3 2 3" xfId="28990" xr:uid="{17A657F6-B16B-4A46-AA44-5D8983ADE060}"/>
    <cellStyle name="Note 2 2 3 3 2 4" xfId="20549" xr:uid="{7934EDF2-CB0B-4736-8AD3-A825A2C600BE}"/>
    <cellStyle name="Note 2 2 3 3 2 5" xfId="12108" xr:uid="{B1A4A03D-F847-49D8-A906-BAADB30E338D}"/>
    <cellStyle name="Note 2 2 3 3 3" xfId="5731" xr:uid="{00000000-0005-0000-0000-0000CB200000}"/>
    <cellStyle name="Note 2 2 3 3 3 2" xfId="31063" xr:uid="{ABAF688B-85F9-4080-8910-C7DC11C8D505}"/>
    <cellStyle name="Note 2 2 3 3 3 3" xfId="22622" xr:uid="{EBA868AA-4445-4597-A1E3-79EFD017EBFC}"/>
    <cellStyle name="Note 2 2 3 3 3 4" xfId="14181" xr:uid="{447AD9E8-13E3-428E-A9F5-200A5AE4B258}"/>
    <cellStyle name="Note 2 2 3 3 4" xfId="26845" xr:uid="{AE01EB74-64B2-4D24-B817-74EC87B38B8E}"/>
    <cellStyle name="Note 2 2 3 3 5" xfId="18404" xr:uid="{91EA3105-F772-45B3-A095-C1E5496A8472}"/>
    <cellStyle name="Note 2 2 3 3 6" xfId="9963" xr:uid="{5D11F5EB-DA2C-4CD8-825B-D0B64A37FEFB}"/>
    <cellStyle name="Note 2 2 3 4" xfId="1838" xr:uid="{00000000-0005-0000-0000-0000CC200000}"/>
    <cellStyle name="Note 2 2 3 4 2" xfId="4067" xr:uid="{00000000-0005-0000-0000-0000CD200000}"/>
    <cellStyle name="Note 2 2 3 4 2 2" xfId="8289" xr:uid="{00000000-0005-0000-0000-0000CE200000}"/>
    <cellStyle name="Note 2 2 3 4 2 2 2" xfId="33621" xr:uid="{4E88E115-5F7E-4F08-9B9A-219CF0E78EF8}"/>
    <cellStyle name="Note 2 2 3 4 2 2 3" xfId="25180" xr:uid="{C2453AAB-F9B9-4F29-9975-104D9678A3A3}"/>
    <cellStyle name="Note 2 2 3 4 2 2 4" xfId="16739" xr:uid="{2FB849C9-1381-4989-A29A-90715FCAE2AE}"/>
    <cellStyle name="Note 2 2 3 4 2 3" xfId="29403" xr:uid="{DCC60E5A-AE1E-43BA-80C6-2B84FB13FC05}"/>
    <cellStyle name="Note 2 2 3 4 2 4" xfId="20962" xr:uid="{1526000C-4826-41AB-A885-AC1FF53B4E8F}"/>
    <cellStyle name="Note 2 2 3 4 2 5" xfId="12521" xr:uid="{4345A194-21CC-42CE-818E-69F954B8A71D}"/>
    <cellStyle name="Note 2 2 3 4 3" xfId="6144" xr:uid="{00000000-0005-0000-0000-0000CF200000}"/>
    <cellStyle name="Note 2 2 3 4 3 2" xfId="31476" xr:uid="{578CC578-AF5A-4EA3-996D-45804A44EFAE}"/>
    <cellStyle name="Note 2 2 3 4 3 3" xfId="23035" xr:uid="{67BB96C9-C938-4DBD-94D4-7683A3C90C64}"/>
    <cellStyle name="Note 2 2 3 4 3 4" xfId="14594" xr:uid="{9A6DB5C4-7E8B-4F79-8B68-0365307667A5}"/>
    <cellStyle name="Note 2 2 3 4 4" xfId="27258" xr:uid="{02636FD3-8871-407F-B944-E2CF9A75F9EB}"/>
    <cellStyle name="Note 2 2 3 4 5" xfId="18817" xr:uid="{F6433B4C-A67B-4449-94DA-03198205083F}"/>
    <cellStyle name="Note 2 2 3 4 6" xfId="10376" xr:uid="{5EB0F91F-81DE-4A8C-9CB1-B84E3DF117DC}"/>
    <cellStyle name="Note 2 2 3 5" xfId="2251" xr:uid="{00000000-0005-0000-0000-0000D0200000}"/>
    <cellStyle name="Note 2 2 3 5 2" xfId="4480" xr:uid="{00000000-0005-0000-0000-0000D1200000}"/>
    <cellStyle name="Note 2 2 3 5 2 2" xfId="8702" xr:uid="{00000000-0005-0000-0000-0000D2200000}"/>
    <cellStyle name="Note 2 2 3 5 2 2 2" xfId="34034" xr:uid="{FD7070A5-A7E3-468D-A164-C8EB7CC6D871}"/>
    <cellStyle name="Note 2 2 3 5 2 2 3" xfId="25593" xr:uid="{A119C217-AD5D-4881-AB4E-71149F27DECB}"/>
    <cellStyle name="Note 2 2 3 5 2 2 4" xfId="17152" xr:uid="{366CEC56-1F8A-4136-8B84-8D20DD14D906}"/>
    <cellStyle name="Note 2 2 3 5 2 3" xfId="29816" xr:uid="{62423F14-4B27-415E-AA14-85E4DE827698}"/>
    <cellStyle name="Note 2 2 3 5 2 4" xfId="21375" xr:uid="{E3EF05EC-96CF-49E3-BD0E-EC4F0DE45F99}"/>
    <cellStyle name="Note 2 2 3 5 2 5" xfId="12934" xr:uid="{DCBBDE7B-67DC-42D4-B89D-3D01D194937A}"/>
    <cellStyle name="Note 2 2 3 5 3" xfId="6557" xr:uid="{00000000-0005-0000-0000-0000D3200000}"/>
    <cellStyle name="Note 2 2 3 5 3 2" xfId="31889" xr:uid="{023AC045-C3D5-45CA-A95D-1EC551D9B104}"/>
    <cellStyle name="Note 2 2 3 5 3 3" xfId="23448" xr:uid="{8901D24E-BFBA-4317-BF08-9C26D99BEE22}"/>
    <cellStyle name="Note 2 2 3 5 3 4" xfId="15007" xr:uid="{07F1C417-B770-48C4-B57A-D42250993437}"/>
    <cellStyle name="Note 2 2 3 5 4" xfId="27671" xr:uid="{8C710BB5-1168-4F8C-8B43-3F1E3CEF02B1}"/>
    <cellStyle name="Note 2 2 3 5 5" xfId="19230" xr:uid="{B90ED585-1B23-43E2-B063-C1DE363B33CC}"/>
    <cellStyle name="Note 2 2 3 5 6" xfId="10789" xr:uid="{AD29ECF6-3B53-4D5E-8160-7E9DF2D64213}"/>
    <cellStyle name="Note 2 2 3 6" xfId="2687" xr:uid="{00000000-0005-0000-0000-0000D4200000}"/>
    <cellStyle name="Note 2 2 3 6 2" xfId="6970" xr:uid="{00000000-0005-0000-0000-0000D5200000}"/>
    <cellStyle name="Note 2 2 3 6 2 2" xfId="32302" xr:uid="{C8F1E4BA-29C7-4922-B9DD-5C7E98FD1B71}"/>
    <cellStyle name="Note 2 2 3 6 2 3" xfId="23861" xr:uid="{289AD1E9-3875-4A01-8E21-038DC7CF0CFF}"/>
    <cellStyle name="Note 2 2 3 6 2 4" xfId="15420" xr:uid="{E4BB4899-44C5-4C41-A2BE-C418AFEB3C77}"/>
    <cellStyle name="Note 2 2 3 6 3" xfId="28084" xr:uid="{FE5B2922-439B-4BC0-9478-40F578BC5DD6}"/>
    <cellStyle name="Note 2 2 3 6 4" xfId="19643" xr:uid="{179E516A-C36E-42D9-8892-E673495F50A5}"/>
    <cellStyle name="Note 2 2 3 6 5" xfId="11202" xr:uid="{3EEE505E-EC7C-4140-9F37-F6AC2C1153BE}"/>
    <cellStyle name="Note 2 2 3 7" xfId="2746" xr:uid="{00000000-0005-0000-0000-0000D6200000}"/>
    <cellStyle name="Note 2 2 3 8" xfId="2827" xr:uid="{00000000-0005-0000-0000-0000D7200000}"/>
    <cellStyle name="Note 2 2 3 8 2" xfId="7050" xr:uid="{00000000-0005-0000-0000-0000D8200000}"/>
    <cellStyle name="Note 2 2 3 8 2 2" xfId="32382" xr:uid="{CCD0E958-8B69-4F7E-9D84-90B4240D9C19}"/>
    <cellStyle name="Note 2 2 3 8 2 3" xfId="23941" xr:uid="{19D120AD-075D-42AD-8A1C-A81AFFC5556A}"/>
    <cellStyle name="Note 2 2 3 8 2 4" xfId="15500" xr:uid="{ED9FB7D5-DD1F-4983-B6F2-2E73644944AA}"/>
    <cellStyle name="Note 2 2 3 8 3" xfId="28164" xr:uid="{B2DA5666-3738-411E-B5EF-23810AC3CE4C}"/>
    <cellStyle name="Note 2 2 3 8 4" xfId="19723" xr:uid="{791AF488-F90E-4760-9F3D-7ED91183D4D4}"/>
    <cellStyle name="Note 2 2 3 8 5" xfId="11282" xr:uid="{B36DE7F8-D952-49B8-844B-6F5BE5FC4264}"/>
    <cellStyle name="Note 2 2 3 9" xfId="4905" xr:uid="{00000000-0005-0000-0000-0000D9200000}"/>
    <cellStyle name="Note 2 2 3 9 2" xfId="30237" xr:uid="{A2089D8A-C755-434C-8FB9-BCD7C719E350}"/>
    <cellStyle name="Note 2 2 3 9 3" xfId="21796" xr:uid="{2AFD9989-D062-4539-B593-B4EFC688CB5D}"/>
    <cellStyle name="Note 2 2 3 9 4" xfId="13355" xr:uid="{C44328E5-0557-4A39-8B43-56C690BBFE77}"/>
    <cellStyle name="Note 2 2 4" xfId="1006" xr:uid="{00000000-0005-0000-0000-0000DA200000}"/>
    <cellStyle name="Note 2 2 4 2" xfId="3238" xr:uid="{00000000-0005-0000-0000-0000DB200000}"/>
    <cellStyle name="Note 2 2 4 2 2" xfId="7460" xr:uid="{00000000-0005-0000-0000-0000DC200000}"/>
    <cellStyle name="Note 2 2 4 2 2 2" xfId="32792" xr:uid="{BA99EF66-D116-4C92-9654-AB6B5FB610EF}"/>
    <cellStyle name="Note 2 2 4 2 2 3" xfId="24351" xr:uid="{5914F078-8701-4584-B49E-18E21D297846}"/>
    <cellStyle name="Note 2 2 4 2 2 4" xfId="15910" xr:uid="{D31C58F0-D2B4-46E3-AC29-0CFDAA41784E}"/>
    <cellStyle name="Note 2 2 4 2 3" xfId="28574" xr:uid="{4DC239E6-D72F-4D4B-AD46-EE24091C211C}"/>
    <cellStyle name="Note 2 2 4 2 4" xfId="20133" xr:uid="{4209DDE7-0720-4A08-A999-E37E60182D54}"/>
    <cellStyle name="Note 2 2 4 2 5" xfId="11692" xr:uid="{3FB7871D-245C-495D-B863-A30727F79006}"/>
    <cellStyle name="Note 2 2 4 3" xfId="5315" xr:uid="{00000000-0005-0000-0000-0000DD200000}"/>
    <cellStyle name="Note 2 2 4 3 2" xfId="30647" xr:uid="{0A750301-B5F6-4E53-92C6-23DDF37CD7AD}"/>
    <cellStyle name="Note 2 2 4 3 3" xfId="22206" xr:uid="{EB755487-B390-4167-8AD4-052A5CD90986}"/>
    <cellStyle name="Note 2 2 4 3 4" xfId="13765" xr:uid="{A2D23A4B-ABB5-41DB-B133-014AFC70ACB1}"/>
    <cellStyle name="Note 2 2 4 4" xfId="26429" xr:uid="{F1301785-A35D-4CA2-9B01-4F9BB946161D}"/>
    <cellStyle name="Note 2 2 4 5" xfId="17988" xr:uid="{02F280B2-1D15-4A80-A675-22C30D37F191}"/>
    <cellStyle name="Note 2 2 4 6" xfId="9547" xr:uid="{5130D00E-D4C5-416E-AA0D-A78DC24A0908}"/>
    <cellStyle name="Note 2 2 5" xfId="1421" xr:uid="{00000000-0005-0000-0000-0000DE200000}"/>
    <cellStyle name="Note 2 2 5 2" xfId="3651" xr:uid="{00000000-0005-0000-0000-0000DF200000}"/>
    <cellStyle name="Note 2 2 5 2 2" xfId="7873" xr:uid="{00000000-0005-0000-0000-0000E0200000}"/>
    <cellStyle name="Note 2 2 5 2 2 2" xfId="33205" xr:uid="{EFB915CD-7EAD-47C3-A0BD-AC2CCD69431C}"/>
    <cellStyle name="Note 2 2 5 2 2 3" xfId="24764" xr:uid="{59EE3AEE-4626-4011-9604-013743B59AD5}"/>
    <cellStyle name="Note 2 2 5 2 2 4" xfId="16323" xr:uid="{EB1C72BE-3212-453C-A182-9DCAC1F2D316}"/>
    <cellStyle name="Note 2 2 5 2 3" xfId="28987" xr:uid="{73E2476B-9645-4622-821E-6D8FAAA83FA8}"/>
    <cellStyle name="Note 2 2 5 2 4" xfId="20546" xr:uid="{DF9EA491-D48A-4F0D-BEC0-ECC96F04AFDA}"/>
    <cellStyle name="Note 2 2 5 2 5" xfId="12105" xr:uid="{5CFADCC7-B8EF-42B0-A425-010C5D573E3F}"/>
    <cellStyle name="Note 2 2 5 3" xfId="5728" xr:uid="{00000000-0005-0000-0000-0000E1200000}"/>
    <cellStyle name="Note 2 2 5 3 2" xfId="31060" xr:uid="{1A9D0ACC-4A23-4B53-962A-BA9364CEA215}"/>
    <cellStyle name="Note 2 2 5 3 3" xfId="22619" xr:uid="{C7E72ACA-A7B6-4E49-A272-69BF59CF2151}"/>
    <cellStyle name="Note 2 2 5 3 4" xfId="14178" xr:uid="{0A2145E4-AA50-4A30-A736-E63D23679E45}"/>
    <cellStyle name="Note 2 2 5 4" xfId="26842" xr:uid="{94996FCD-FEBB-49A7-8F46-82801D17AB55}"/>
    <cellStyle name="Note 2 2 5 5" xfId="18401" xr:uid="{5738E454-8D6E-413B-ADE1-4A06DBD4177F}"/>
    <cellStyle name="Note 2 2 5 6" xfId="9960" xr:uid="{753F511B-6E1F-479D-83BD-57D09DE7119A}"/>
    <cellStyle name="Note 2 2 6" xfId="1835" xr:uid="{00000000-0005-0000-0000-0000E2200000}"/>
    <cellStyle name="Note 2 2 6 2" xfId="4064" xr:uid="{00000000-0005-0000-0000-0000E3200000}"/>
    <cellStyle name="Note 2 2 6 2 2" xfId="8286" xr:uid="{00000000-0005-0000-0000-0000E4200000}"/>
    <cellStyle name="Note 2 2 6 2 2 2" xfId="33618" xr:uid="{9B631900-87DD-4742-8F83-9B65377ED1A7}"/>
    <cellStyle name="Note 2 2 6 2 2 3" xfId="25177" xr:uid="{7E94E843-3C11-46CC-9FB3-DFF03E3E849C}"/>
    <cellStyle name="Note 2 2 6 2 2 4" xfId="16736" xr:uid="{3DF54CE4-B06A-41AC-9B64-3E15EE75742E}"/>
    <cellStyle name="Note 2 2 6 2 3" xfId="29400" xr:uid="{AE6B7EFB-D0B9-4EC9-9F2F-A7DF8A3FAF02}"/>
    <cellStyle name="Note 2 2 6 2 4" xfId="20959" xr:uid="{ED5F1943-C4DA-4CF4-84F8-8CD13209B764}"/>
    <cellStyle name="Note 2 2 6 2 5" xfId="12518" xr:uid="{ED794CC6-5577-4163-A979-5FB960216511}"/>
    <cellStyle name="Note 2 2 6 3" xfId="6141" xr:uid="{00000000-0005-0000-0000-0000E5200000}"/>
    <cellStyle name="Note 2 2 6 3 2" xfId="31473" xr:uid="{2CA28112-9207-4AD4-AB53-CB3DBC9B23B4}"/>
    <cellStyle name="Note 2 2 6 3 3" xfId="23032" xr:uid="{FC2A3797-CB72-4E5E-B794-69633FE0C857}"/>
    <cellStyle name="Note 2 2 6 3 4" xfId="14591" xr:uid="{98404542-6218-45B6-8416-80326DC9CB0A}"/>
    <cellStyle name="Note 2 2 6 4" xfId="27255" xr:uid="{7C6CF8EB-0BBD-4F30-80F4-554FE8B0138D}"/>
    <cellStyle name="Note 2 2 6 5" xfId="18814" xr:uid="{AB42EC2B-086B-48A4-BF47-0D05E975FB09}"/>
    <cellStyle name="Note 2 2 6 6" xfId="10373" xr:uid="{EBAA735C-B8BC-47BF-9FB6-8A6D7D7AFEF4}"/>
    <cellStyle name="Note 2 2 7" xfId="2248" xr:uid="{00000000-0005-0000-0000-0000E6200000}"/>
    <cellStyle name="Note 2 2 7 2" xfId="4477" xr:uid="{00000000-0005-0000-0000-0000E7200000}"/>
    <cellStyle name="Note 2 2 7 2 2" xfId="8699" xr:uid="{00000000-0005-0000-0000-0000E8200000}"/>
    <cellStyle name="Note 2 2 7 2 2 2" xfId="34031" xr:uid="{7331A207-C224-4052-84EF-F800F3A75A19}"/>
    <cellStyle name="Note 2 2 7 2 2 3" xfId="25590" xr:uid="{F41BD592-7CCA-4A5B-AF3D-1717AB8981A9}"/>
    <cellStyle name="Note 2 2 7 2 2 4" xfId="17149" xr:uid="{BA9D9DDC-EC66-48CD-B7FB-5CA1E4DD10B6}"/>
    <cellStyle name="Note 2 2 7 2 3" xfId="29813" xr:uid="{DD8781E7-FFBE-4650-964D-AF2FC1620F2D}"/>
    <cellStyle name="Note 2 2 7 2 4" xfId="21372" xr:uid="{BC0EA87F-6D5C-4E23-B8AF-5C27B1FE7991}"/>
    <cellStyle name="Note 2 2 7 2 5" xfId="12931" xr:uid="{98E41921-0A5A-4F5D-92CE-7C9FDAAB53E6}"/>
    <cellStyle name="Note 2 2 7 3" xfId="6554" xr:uid="{00000000-0005-0000-0000-0000E9200000}"/>
    <cellStyle name="Note 2 2 7 3 2" xfId="31886" xr:uid="{67201F80-8941-41F9-94E4-C09A070E7E20}"/>
    <cellStyle name="Note 2 2 7 3 3" xfId="23445" xr:uid="{617B4916-0228-4341-9796-49D177A284AD}"/>
    <cellStyle name="Note 2 2 7 3 4" xfId="15004" xr:uid="{AC31FB48-82EA-4687-AF04-1BFF17DBB5AB}"/>
    <cellStyle name="Note 2 2 7 4" xfId="27668" xr:uid="{27EBF540-1572-4D6F-80B0-D80441FC73D9}"/>
    <cellStyle name="Note 2 2 7 5" xfId="19227" xr:uid="{30746616-D59C-43C4-AACE-0971F2D49447}"/>
    <cellStyle name="Note 2 2 7 6" xfId="10786" xr:uid="{EDA2191B-76E3-4A59-A425-5EC345BA89CF}"/>
    <cellStyle name="Note 2 2 8" xfId="2684" xr:uid="{00000000-0005-0000-0000-0000EA200000}"/>
    <cellStyle name="Note 2 2 8 2" xfId="6967" xr:uid="{00000000-0005-0000-0000-0000EB200000}"/>
    <cellStyle name="Note 2 2 8 2 2" xfId="32299" xr:uid="{9B8BBE9D-B4E3-448F-B802-A1668ED335DE}"/>
    <cellStyle name="Note 2 2 8 2 3" xfId="23858" xr:uid="{D8787D6F-6E75-4E15-8CB7-85D7F917DC1D}"/>
    <cellStyle name="Note 2 2 8 2 4" xfId="15417" xr:uid="{C25A3441-5D89-4169-B4FC-14A1D43CC520}"/>
    <cellStyle name="Note 2 2 8 3" xfId="28081" xr:uid="{04C6A703-21B0-47F2-8494-71CDAC83CB2A}"/>
    <cellStyle name="Note 2 2 8 4" xfId="19640" xr:uid="{95FC2D6E-502D-4263-ACBA-D99C37D94B75}"/>
    <cellStyle name="Note 2 2 8 5" xfId="11199" xr:uid="{BA962F32-A137-43CB-AD99-31F096380D48}"/>
    <cellStyle name="Note 2 2 9" xfId="2743" xr:uid="{00000000-0005-0000-0000-0000EC200000}"/>
    <cellStyle name="Note 2 3" xfId="549" xr:uid="{00000000-0005-0000-0000-0000ED200000}"/>
    <cellStyle name="Note 2 3 10" xfId="4906" xr:uid="{00000000-0005-0000-0000-0000EE200000}"/>
    <cellStyle name="Note 2 3 10 2" xfId="30238" xr:uid="{A25064B2-C289-459F-90E3-061B585AA36C}"/>
    <cellStyle name="Note 2 3 10 3" xfId="21797" xr:uid="{98B862A3-57DF-4C84-AD90-3DE5D5ACB269}"/>
    <cellStyle name="Note 2 3 10 4" xfId="13356" xr:uid="{31DBEA4E-B9FA-426C-94B4-41565FD497C8}"/>
    <cellStyle name="Note 2 3 11" xfId="26020" xr:uid="{C8E77321-8662-4584-97EF-57164CD4C9A0}"/>
    <cellStyle name="Note 2 3 12" xfId="17579" xr:uid="{542B50B0-040B-4E61-8580-146713E64E7A}"/>
    <cellStyle name="Note 2 3 13" xfId="9138" xr:uid="{F10FD97A-2B95-4F2D-B3C7-851F62D9880E}"/>
    <cellStyle name="Note 2 3 2" xfId="550" xr:uid="{00000000-0005-0000-0000-0000EF200000}"/>
    <cellStyle name="Note 2 3 2 10" xfId="26021" xr:uid="{B1141A68-D225-4134-AF09-8527E0006DEE}"/>
    <cellStyle name="Note 2 3 2 11" xfId="17580" xr:uid="{BB5F10FC-0D01-4A1D-9011-67FDBD35961E}"/>
    <cellStyle name="Note 2 3 2 12" xfId="9139" xr:uid="{8FB093D8-DBC0-41FB-9231-8329224CAD7D}"/>
    <cellStyle name="Note 2 3 2 2" xfId="1011" xr:uid="{00000000-0005-0000-0000-0000F0200000}"/>
    <cellStyle name="Note 2 3 2 2 2" xfId="3243" xr:uid="{00000000-0005-0000-0000-0000F1200000}"/>
    <cellStyle name="Note 2 3 2 2 2 2" xfId="7465" xr:uid="{00000000-0005-0000-0000-0000F2200000}"/>
    <cellStyle name="Note 2 3 2 2 2 2 2" xfId="32797" xr:uid="{EEE846BF-B0CB-497D-9692-1C096EC927CC}"/>
    <cellStyle name="Note 2 3 2 2 2 2 3" xfId="24356" xr:uid="{7D97D45E-1D1A-4E7D-89E6-E06D284A699A}"/>
    <cellStyle name="Note 2 3 2 2 2 2 4" xfId="15915" xr:uid="{86B3B4EF-C38A-4EAD-920C-D8579444B51B}"/>
    <cellStyle name="Note 2 3 2 2 2 3" xfId="28579" xr:uid="{2BF8C8A5-DD0E-41FF-883D-8CD5B366C849}"/>
    <cellStyle name="Note 2 3 2 2 2 4" xfId="20138" xr:uid="{DA6E6BE4-AB72-4791-A1A7-00FBC6BF55F3}"/>
    <cellStyle name="Note 2 3 2 2 2 5" xfId="11697" xr:uid="{0F772F3B-B559-4A19-A7DB-A46BAA03B99E}"/>
    <cellStyle name="Note 2 3 2 2 3" xfId="5320" xr:uid="{00000000-0005-0000-0000-0000F3200000}"/>
    <cellStyle name="Note 2 3 2 2 3 2" xfId="30652" xr:uid="{77B3B099-F25C-4F41-90D4-25CF47D1B351}"/>
    <cellStyle name="Note 2 3 2 2 3 3" xfId="22211" xr:uid="{5202CAE4-FFA7-448F-8A3B-777524563DB7}"/>
    <cellStyle name="Note 2 3 2 2 3 4" xfId="13770" xr:uid="{4018B651-0E7F-41A0-807E-DB46646DA320}"/>
    <cellStyle name="Note 2 3 2 2 4" xfId="26434" xr:uid="{42EBC61B-D72E-4513-A6F3-B5AB72080DAE}"/>
    <cellStyle name="Note 2 3 2 2 5" xfId="17993" xr:uid="{8F654EE7-5057-41DB-AF5B-EF72221F0C7A}"/>
    <cellStyle name="Note 2 3 2 2 6" xfId="9552" xr:uid="{ACA3EA4F-3050-491B-92D4-FFB0283CA748}"/>
    <cellStyle name="Note 2 3 2 3" xfId="1426" xr:uid="{00000000-0005-0000-0000-0000F4200000}"/>
    <cellStyle name="Note 2 3 2 3 2" xfId="3656" xr:uid="{00000000-0005-0000-0000-0000F5200000}"/>
    <cellStyle name="Note 2 3 2 3 2 2" xfId="7878" xr:uid="{00000000-0005-0000-0000-0000F6200000}"/>
    <cellStyle name="Note 2 3 2 3 2 2 2" xfId="33210" xr:uid="{0F21C314-A7A7-4A42-82DD-CEEA634D9F69}"/>
    <cellStyle name="Note 2 3 2 3 2 2 3" xfId="24769" xr:uid="{3AF80308-EDD7-4F81-ABBE-DDFF3417E7C4}"/>
    <cellStyle name="Note 2 3 2 3 2 2 4" xfId="16328" xr:uid="{51543407-8D32-4427-A373-BA9340AF100E}"/>
    <cellStyle name="Note 2 3 2 3 2 3" xfId="28992" xr:uid="{2A73FB96-05F4-4427-A2FF-0771E5EB866B}"/>
    <cellStyle name="Note 2 3 2 3 2 4" xfId="20551" xr:uid="{4B1508DE-4E05-4A7C-B205-70E25364FF5F}"/>
    <cellStyle name="Note 2 3 2 3 2 5" xfId="12110" xr:uid="{7AE46F06-6350-4A6F-8348-A811DB83DD6B}"/>
    <cellStyle name="Note 2 3 2 3 3" xfId="5733" xr:uid="{00000000-0005-0000-0000-0000F7200000}"/>
    <cellStyle name="Note 2 3 2 3 3 2" xfId="31065" xr:uid="{B364363C-0A05-40DF-8DF8-91605D1408FE}"/>
    <cellStyle name="Note 2 3 2 3 3 3" xfId="22624" xr:uid="{84F9549F-928C-493E-A976-1D19FEB36243}"/>
    <cellStyle name="Note 2 3 2 3 3 4" xfId="14183" xr:uid="{C5E881EC-C85C-4FFB-8C60-47646BBD4AD2}"/>
    <cellStyle name="Note 2 3 2 3 4" xfId="26847" xr:uid="{EEC52033-C3F8-425D-AF99-1C891A3EEB5D}"/>
    <cellStyle name="Note 2 3 2 3 5" xfId="18406" xr:uid="{3C25B67C-5F19-4675-9735-036294F90F36}"/>
    <cellStyle name="Note 2 3 2 3 6" xfId="9965" xr:uid="{9BECD12C-B4F1-460A-8F7E-1CF507E21B7B}"/>
    <cellStyle name="Note 2 3 2 4" xfId="1840" xr:uid="{00000000-0005-0000-0000-0000F8200000}"/>
    <cellStyle name="Note 2 3 2 4 2" xfId="4069" xr:uid="{00000000-0005-0000-0000-0000F9200000}"/>
    <cellStyle name="Note 2 3 2 4 2 2" xfId="8291" xr:uid="{00000000-0005-0000-0000-0000FA200000}"/>
    <cellStyle name="Note 2 3 2 4 2 2 2" xfId="33623" xr:uid="{717EBBF7-0B02-48BF-8F4E-CDDCE9F429F6}"/>
    <cellStyle name="Note 2 3 2 4 2 2 3" xfId="25182" xr:uid="{A07821BA-527F-4C68-BFAD-3E6EF6DCDCD2}"/>
    <cellStyle name="Note 2 3 2 4 2 2 4" xfId="16741" xr:uid="{66F5487F-ACC0-412F-B1E3-868664FDF4D3}"/>
    <cellStyle name="Note 2 3 2 4 2 3" xfId="29405" xr:uid="{FEC08F43-F15D-406B-A211-E92508B173F0}"/>
    <cellStyle name="Note 2 3 2 4 2 4" xfId="20964" xr:uid="{9BCC6408-07CC-4227-8941-44AC21886F2B}"/>
    <cellStyle name="Note 2 3 2 4 2 5" xfId="12523" xr:uid="{5D724DF0-13B8-4231-99EC-9CEE58690C95}"/>
    <cellStyle name="Note 2 3 2 4 3" xfId="6146" xr:uid="{00000000-0005-0000-0000-0000FB200000}"/>
    <cellStyle name="Note 2 3 2 4 3 2" xfId="31478" xr:uid="{3AED80CF-E106-48C9-8F4E-189F417D4110}"/>
    <cellStyle name="Note 2 3 2 4 3 3" xfId="23037" xr:uid="{1A3DE881-4D7A-4323-B49A-9850C079945F}"/>
    <cellStyle name="Note 2 3 2 4 3 4" xfId="14596" xr:uid="{AD2475D0-558F-4C8A-BFDC-8B7D720669D5}"/>
    <cellStyle name="Note 2 3 2 4 4" xfId="27260" xr:uid="{F9B30A64-354F-4E10-BC31-CA63BDAE60D2}"/>
    <cellStyle name="Note 2 3 2 4 5" xfId="18819" xr:uid="{DD25B5EF-AECB-47B8-A7FE-978BB379653E}"/>
    <cellStyle name="Note 2 3 2 4 6" xfId="10378" xr:uid="{83548222-A3D2-4102-A049-1E0CA63D14F7}"/>
    <cellStyle name="Note 2 3 2 5" xfId="2253" xr:uid="{00000000-0005-0000-0000-0000FC200000}"/>
    <cellStyle name="Note 2 3 2 5 2" xfId="4482" xr:uid="{00000000-0005-0000-0000-0000FD200000}"/>
    <cellStyle name="Note 2 3 2 5 2 2" xfId="8704" xr:uid="{00000000-0005-0000-0000-0000FE200000}"/>
    <cellStyle name="Note 2 3 2 5 2 2 2" xfId="34036" xr:uid="{CF6108C3-EB9B-4609-9B56-01A9C312B939}"/>
    <cellStyle name="Note 2 3 2 5 2 2 3" xfId="25595" xr:uid="{2EA855D0-9EC5-4CAB-A43C-4CB054AEFFE9}"/>
    <cellStyle name="Note 2 3 2 5 2 2 4" xfId="17154" xr:uid="{35F9666C-3AFA-4A6E-9D63-CED904FF29AD}"/>
    <cellStyle name="Note 2 3 2 5 2 3" xfId="29818" xr:uid="{078BFCB5-F621-426D-BFC9-7B16C1F1DD0A}"/>
    <cellStyle name="Note 2 3 2 5 2 4" xfId="21377" xr:uid="{48552E9E-2150-46B2-8A35-DBCB4BA5167F}"/>
    <cellStyle name="Note 2 3 2 5 2 5" xfId="12936" xr:uid="{BE1431FA-5869-48E4-9A2F-822FB727DCB9}"/>
    <cellStyle name="Note 2 3 2 5 3" xfId="6559" xr:uid="{00000000-0005-0000-0000-0000FF200000}"/>
    <cellStyle name="Note 2 3 2 5 3 2" xfId="31891" xr:uid="{79A3098B-2DAA-482C-85CC-19C2C85779E2}"/>
    <cellStyle name="Note 2 3 2 5 3 3" xfId="23450" xr:uid="{F3AC61F1-78D9-44FC-9C30-19F8FEC44FF5}"/>
    <cellStyle name="Note 2 3 2 5 3 4" xfId="15009" xr:uid="{A20F3C62-D712-457C-BBFF-D30F7DD22127}"/>
    <cellStyle name="Note 2 3 2 5 4" xfId="27673" xr:uid="{4CC2BB1B-A695-4F1F-9548-7D2ACBF45A9A}"/>
    <cellStyle name="Note 2 3 2 5 5" xfId="19232" xr:uid="{69220375-3D2E-4A6D-9376-0E9948AC0388}"/>
    <cellStyle name="Note 2 3 2 5 6" xfId="10791" xr:uid="{159EB6D5-9CA2-4C87-9DC3-680707F03B04}"/>
    <cellStyle name="Note 2 3 2 6" xfId="2689" xr:uid="{00000000-0005-0000-0000-000000210000}"/>
    <cellStyle name="Note 2 3 2 6 2" xfId="6972" xr:uid="{00000000-0005-0000-0000-000001210000}"/>
    <cellStyle name="Note 2 3 2 6 2 2" xfId="32304" xr:uid="{C9ABFD35-4AA4-4733-A060-CB9EBB0CEB23}"/>
    <cellStyle name="Note 2 3 2 6 2 3" xfId="23863" xr:uid="{F25BB0D7-DAA4-4A78-A0DD-4DB3E8AF4623}"/>
    <cellStyle name="Note 2 3 2 6 2 4" xfId="15422" xr:uid="{31032847-FA6A-4B9C-B058-2940018EE4ED}"/>
    <cellStyle name="Note 2 3 2 6 3" xfId="28086" xr:uid="{C4424C62-99AE-4D98-A091-09D75F926EDE}"/>
    <cellStyle name="Note 2 3 2 6 4" xfId="19645" xr:uid="{741F06A5-1BF0-45F1-BAEC-C57C0F07138A}"/>
    <cellStyle name="Note 2 3 2 6 5" xfId="11204" xr:uid="{2D7F4C1A-43E7-4E32-9792-109AB74024B3}"/>
    <cellStyle name="Note 2 3 2 7" xfId="2748" xr:uid="{00000000-0005-0000-0000-000002210000}"/>
    <cellStyle name="Note 2 3 2 8" xfId="2829" xr:uid="{00000000-0005-0000-0000-000003210000}"/>
    <cellStyle name="Note 2 3 2 8 2" xfId="7052" xr:uid="{00000000-0005-0000-0000-000004210000}"/>
    <cellStyle name="Note 2 3 2 8 2 2" xfId="32384" xr:uid="{4275D69B-9BE2-48F7-BE2A-CD3CB6D9AB5C}"/>
    <cellStyle name="Note 2 3 2 8 2 3" xfId="23943" xr:uid="{4FAC6D7C-012D-4870-9544-AB7CEF769DB0}"/>
    <cellStyle name="Note 2 3 2 8 2 4" xfId="15502" xr:uid="{86CC825F-9F80-43B5-9D97-B331C3214570}"/>
    <cellStyle name="Note 2 3 2 8 3" xfId="28166" xr:uid="{E1861079-5FF4-4BF9-A7AF-00DB4818678C}"/>
    <cellStyle name="Note 2 3 2 8 4" xfId="19725" xr:uid="{76D5C6D6-A151-4E82-B59D-E670A804C4B1}"/>
    <cellStyle name="Note 2 3 2 8 5" xfId="11284" xr:uid="{E07B3B43-FE7E-4D62-B786-C0A3D533C4C7}"/>
    <cellStyle name="Note 2 3 2 9" xfId="4907" xr:uid="{00000000-0005-0000-0000-000005210000}"/>
    <cellStyle name="Note 2 3 2 9 2" xfId="30239" xr:uid="{0A610331-A5EA-4E16-B5E4-805BFB194652}"/>
    <cellStyle name="Note 2 3 2 9 3" xfId="21798" xr:uid="{B30A52C4-3D0E-463A-902A-233CCF3A8C2F}"/>
    <cellStyle name="Note 2 3 2 9 4" xfId="13357" xr:uid="{87A8B828-2036-42CF-8182-740A4B320B1B}"/>
    <cellStyle name="Note 2 3 3" xfId="1010" xr:uid="{00000000-0005-0000-0000-000006210000}"/>
    <cellStyle name="Note 2 3 3 2" xfId="3242" xr:uid="{00000000-0005-0000-0000-000007210000}"/>
    <cellStyle name="Note 2 3 3 2 2" xfId="7464" xr:uid="{00000000-0005-0000-0000-000008210000}"/>
    <cellStyle name="Note 2 3 3 2 2 2" xfId="32796" xr:uid="{26856A6B-810C-4C53-BDB4-1810BFD4E195}"/>
    <cellStyle name="Note 2 3 3 2 2 3" xfId="24355" xr:uid="{B31E09D3-310B-4B16-B191-894DC0D65F3D}"/>
    <cellStyle name="Note 2 3 3 2 2 4" xfId="15914" xr:uid="{586BD601-7138-47A8-82D0-D63732080A2E}"/>
    <cellStyle name="Note 2 3 3 2 3" xfId="28578" xr:uid="{F7A2F311-17DB-4952-B7B6-0F216C88DF57}"/>
    <cellStyle name="Note 2 3 3 2 4" xfId="20137" xr:uid="{D734E63D-349B-410D-B671-938D7863AD45}"/>
    <cellStyle name="Note 2 3 3 2 5" xfId="11696" xr:uid="{C4C2ABC4-B4E9-420A-9FAE-E5336F43ADEE}"/>
    <cellStyle name="Note 2 3 3 3" xfId="5319" xr:uid="{00000000-0005-0000-0000-000009210000}"/>
    <cellStyle name="Note 2 3 3 3 2" xfId="30651" xr:uid="{E55DD4C5-9F77-4B0F-A554-B94587D1BBD5}"/>
    <cellStyle name="Note 2 3 3 3 3" xfId="22210" xr:uid="{E3302A5D-9815-4299-8C6D-97BBC67C3203}"/>
    <cellStyle name="Note 2 3 3 3 4" xfId="13769" xr:uid="{F9756835-4207-4CAB-9B46-AE8ADFCF0473}"/>
    <cellStyle name="Note 2 3 3 4" xfId="26433" xr:uid="{5370C8E2-658E-4ABB-A9B9-2A1A12C2D737}"/>
    <cellStyle name="Note 2 3 3 5" xfId="17992" xr:uid="{2A032C80-881B-4CE5-86D1-9B44BEBA4334}"/>
    <cellStyle name="Note 2 3 3 6" xfId="9551" xr:uid="{80240BD0-2E0E-4BEA-9CB2-9E1BC95D747B}"/>
    <cellStyle name="Note 2 3 4" xfId="1425" xr:uid="{00000000-0005-0000-0000-00000A210000}"/>
    <cellStyle name="Note 2 3 4 2" xfId="3655" xr:uid="{00000000-0005-0000-0000-00000B210000}"/>
    <cellStyle name="Note 2 3 4 2 2" xfId="7877" xr:uid="{00000000-0005-0000-0000-00000C210000}"/>
    <cellStyle name="Note 2 3 4 2 2 2" xfId="33209" xr:uid="{6693AFD3-56E0-43B5-838A-180470BB3849}"/>
    <cellStyle name="Note 2 3 4 2 2 3" xfId="24768" xr:uid="{3085EC02-0031-4EBC-9D92-71ED547EF996}"/>
    <cellStyle name="Note 2 3 4 2 2 4" xfId="16327" xr:uid="{AB7187DD-30A5-4909-8CC0-15F2B211543B}"/>
    <cellStyle name="Note 2 3 4 2 3" xfId="28991" xr:uid="{01607222-2A2D-4A58-BA52-6F08FBE16EF1}"/>
    <cellStyle name="Note 2 3 4 2 4" xfId="20550" xr:uid="{4C101CB2-20A9-456E-B9E4-2BFF24F629F1}"/>
    <cellStyle name="Note 2 3 4 2 5" xfId="12109" xr:uid="{BF0ED444-1F74-42FA-8A0D-88766F38F3F1}"/>
    <cellStyle name="Note 2 3 4 3" xfId="5732" xr:uid="{00000000-0005-0000-0000-00000D210000}"/>
    <cellStyle name="Note 2 3 4 3 2" xfId="31064" xr:uid="{25D217AA-B276-445C-9AB4-3AF51BB90878}"/>
    <cellStyle name="Note 2 3 4 3 3" xfId="22623" xr:uid="{044E82D7-C271-4FD3-A9B7-2B1E3FD2CDE2}"/>
    <cellStyle name="Note 2 3 4 3 4" xfId="14182" xr:uid="{C0E7AA0E-DB70-4260-859B-FAB225B8375B}"/>
    <cellStyle name="Note 2 3 4 4" xfId="26846" xr:uid="{3FF7770A-DFA9-4CF1-B7BA-9D09DC516E63}"/>
    <cellStyle name="Note 2 3 4 5" xfId="18405" xr:uid="{D9FBD01A-1E50-4E01-8492-190D12FCD45C}"/>
    <cellStyle name="Note 2 3 4 6" xfId="9964" xr:uid="{AF5E9B0B-68D3-4023-9A09-12A5A0A187AA}"/>
    <cellStyle name="Note 2 3 5" xfId="1839" xr:uid="{00000000-0005-0000-0000-00000E210000}"/>
    <cellStyle name="Note 2 3 5 2" xfId="4068" xr:uid="{00000000-0005-0000-0000-00000F210000}"/>
    <cellStyle name="Note 2 3 5 2 2" xfId="8290" xr:uid="{00000000-0005-0000-0000-000010210000}"/>
    <cellStyle name="Note 2 3 5 2 2 2" xfId="33622" xr:uid="{98AB5B05-CD98-4E3E-B70A-EAED7C521A5F}"/>
    <cellStyle name="Note 2 3 5 2 2 3" xfId="25181" xr:uid="{254D2248-2E45-4C18-ADB6-ED1B70B198B0}"/>
    <cellStyle name="Note 2 3 5 2 2 4" xfId="16740" xr:uid="{DAA05645-37CF-4FF9-93D5-2D25CA32FE4F}"/>
    <cellStyle name="Note 2 3 5 2 3" xfId="29404" xr:uid="{C87D084F-C615-433D-ACB5-E24F5792878A}"/>
    <cellStyle name="Note 2 3 5 2 4" xfId="20963" xr:uid="{4EC34572-D7C0-4285-9D93-E92AEAFD7EDD}"/>
    <cellStyle name="Note 2 3 5 2 5" xfId="12522" xr:uid="{727829D0-482B-45B0-9C85-2E3EC65EFF78}"/>
    <cellStyle name="Note 2 3 5 3" xfId="6145" xr:uid="{00000000-0005-0000-0000-000011210000}"/>
    <cellStyle name="Note 2 3 5 3 2" xfId="31477" xr:uid="{F43D4730-C77D-43D7-9643-B25B3C664A5A}"/>
    <cellStyle name="Note 2 3 5 3 3" xfId="23036" xr:uid="{DB4FE74F-BF04-4BB6-867B-6D829DFC5BF4}"/>
    <cellStyle name="Note 2 3 5 3 4" xfId="14595" xr:uid="{0B5BC587-BD6A-4A51-81C9-049EF5E9DD6D}"/>
    <cellStyle name="Note 2 3 5 4" xfId="27259" xr:uid="{5D9672AD-462D-44AE-ADE1-CA8BF7C3A2C7}"/>
    <cellStyle name="Note 2 3 5 5" xfId="18818" xr:uid="{23FC8433-28D3-4A4E-8DD7-1BCBE7384D42}"/>
    <cellStyle name="Note 2 3 5 6" xfId="10377" xr:uid="{9D9A19FF-9E3A-4F78-928E-105A65CC1E47}"/>
    <cellStyle name="Note 2 3 6" xfId="2252" xr:uid="{00000000-0005-0000-0000-000012210000}"/>
    <cellStyle name="Note 2 3 6 2" xfId="4481" xr:uid="{00000000-0005-0000-0000-000013210000}"/>
    <cellStyle name="Note 2 3 6 2 2" xfId="8703" xr:uid="{00000000-0005-0000-0000-000014210000}"/>
    <cellStyle name="Note 2 3 6 2 2 2" xfId="34035" xr:uid="{7B172FE3-E983-4520-9AC6-2D75E6EBA858}"/>
    <cellStyle name="Note 2 3 6 2 2 3" xfId="25594" xr:uid="{12355F53-D9AA-402D-BB8C-9F6B3CB49EFD}"/>
    <cellStyle name="Note 2 3 6 2 2 4" xfId="17153" xr:uid="{5DF8AE87-9186-40FD-8E3B-D33F7318DF63}"/>
    <cellStyle name="Note 2 3 6 2 3" xfId="29817" xr:uid="{238147F3-2C0C-461E-9434-369BFE02D146}"/>
    <cellStyle name="Note 2 3 6 2 4" xfId="21376" xr:uid="{9D1A2F4D-12A8-4B89-9B11-9C3EA71C074B}"/>
    <cellStyle name="Note 2 3 6 2 5" xfId="12935" xr:uid="{DCD0B8D7-4773-44AC-9C76-0B144008A088}"/>
    <cellStyle name="Note 2 3 6 3" xfId="6558" xr:uid="{00000000-0005-0000-0000-000015210000}"/>
    <cellStyle name="Note 2 3 6 3 2" xfId="31890" xr:uid="{1EEE0AE4-9A4A-4BFF-AE56-BE7F395ABC10}"/>
    <cellStyle name="Note 2 3 6 3 3" xfId="23449" xr:uid="{D76EED20-EF54-4A31-98B1-79E42F853E08}"/>
    <cellStyle name="Note 2 3 6 3 4" xfId="15008" xr:uid="{329A5C09-EECE-42B5-A793-6BF706FAF2E2}"/>
    <cellStyle name="Note 2 3 6 4" xfId="27672" xr:uid="{A4A57325-9DB3-46F3-9583-DC562F659E9F}"/>
    <cellStyle name="Note 2 3 6 5" xfId="19231" xr:uid="{6F45C057-1606-48FB-A657-F4C6392B00C5}"/>
    <cellStyle name="Note 2 3 6 6" xfId="10790" xr:uid="{E8865D41-A107-4DF3-9B8B-048571DADA22}"/>
    <cellStyle name="Note 2 3 7" xfId="2688" xr:uid="{00000000-0005-0000-0000-000016210000}"/>
    <cellStyle name="Note 2 3 7 2" xfId="6971" xr:uid="{00000000-0005-0000-0000-000017210000}"/>
    <cellStyle name="Note 2 3 7 2 2" xfId="32303" xr:uid="{F3AFDF52-3006-4626-B256-EC69B26B0BFC}"/>
    <cellStyle name="Note 2 3 7 2 3" xfId="23862" xr:uid="{6AFEE851-0331-4C94-A5B1-A430DB5285E0}"/>
    <cellStyle name="Note 2 3 7 2 4" xfId="15421" xr:uid="{10BF7C6E-9F74-4B40-A8F2-F766553DD808}"/>
    <cellStyle name="Note 2 3 7 3" xfId="28085" xr:uid="{AB0FB840-E35A-4BEA-8CFF-5620D8B24FA3}"/>
    <cellStyle name="Note 2 3 7 4" xfId="19644" xr:uid="{61B0124A-37FE-4F33-A88A-F4E3FF632143}"/>
    <cellStyle name="Note 2 3 7 5" xfId="11203" xr:uid="{FB929096-9E48-4DD5-9CAD-7D5EBEA09382}"/>
    <cellStyle name="Note 2 3 8" xfId="2747" xr:uid="{00000000-0005-0000-0000-000018210000}"/>
    <cellStyle name="Note 2 3 9" xfId="2828" xr:uid="{00000000-0005-0000-0000-000019210000}"/>
    <cellStyle name="Note 2 3 9 2" xfId="7051" xr:uid="{00000000-0005-0000-0000-00001A210000}"/>
    <cellStyle name="Note 2 3 9 2 2" xfId="32383" xr:uid="{829F7E32-0D23-44AD-B071-39D19F37C4AC}"/>
    <cellStyle name="Note 2 3 9 2 3" xfId="23942" xr:uid="{8B760BB1-5EC5-4BD2-BE8C-16305BE3271F}"/>
    <cellStyle name="Note 2 3 9 2 4" xfId="15501" xr:uid="{5A0DDDAA-9447-45F2-A944-EC1A81E38DD9}"/>
    <cellStyle name="Note 2 3 9 3" xfId="28165" xr:uid="{FEBEE2A8-853A-4370-9010-281B7A832BC1}"/>
    <cellStyle name="Note 2 3 9 4" xfId="19724" xr:uid="{FCCC6CB5-C1CD-489A-9604-0AAA52F8BF2B}"/>
    <cellStyle name="Note 2 3 9 5" xfId="11283" xr:uid="{B897FA58-9339-4AAE-93AA-A0948BE8EB18}"/>
    <cellStyle name="Note 2 4" xfId="551" xr:uid="{00000000-0005-0000-0000-00001B210000}"/>
    <cellStyle name="Note 2 4 10" xfId="26022" xr:uid="{F4173CCB-479C-4D90-A10E-A4A3F4D1E6BE}"/>
    <cellStyle name="Note 2 4 11" xfId="17581" xr:uid="{1760F00A-9E97-45E8-B25E-E00CE76E905A}"/>
    <cellStyle name="Note 2 4 12" xfId="9140" xr:uid="{9D3DECED-865B-49AB-8FDE-70CA7C536A96}"/>
    <cellStyle name="Note 2 4 2" xfId="1012" xr:uid="{00000000-0005-0000-0000-00001C210000}"/>
    <cellStyle name="Note 2 4 2 2" xfId="3244" xr:uid="{00000000-0005-0000-0000-00001D210000}"/>
    <cellStyle name="Note 2 4 2 2 2" xfId="7466" xr:uid="{00000000-0005-0000-0000-00001E210000}"/>
    <cellStyle name="Note 2 4 2 2 2 2" xfId="32798" xr:uid="{161F1F82-DC7B-4F7A-98E5-A035FF26408D}"/>
    <cellStyle name="Note 2 4 2 2 2 3" xfId="24357" xr:uid="{75FC6763-AC72-42EE-A628-DA20C69BD361}"/>
    <cellStyle name="Note 2 4 2 2 2 4" xfId="15916" xr:uid="{21E04FF7-F46D-4A89-9FA9-58A083A377F4}"/>
    <cellStyle name="Note 2 4 2 2 3" xfId="28580" xr:uid="{C8A8CEED-2F95-47FE-9BD9-8535DD75D0AD}"/>
    <cellStyle name="Note 2 4 2 2 4" xfId="20139" xr:uid="{8DD285D6-2B50-4F46-BE3A-017B7D480F03}"/>
    <cellStyle name="Note 2 4 2 2 5" xfId="11698" xr:uid="{6A6AF48B-FF06-46E6-983E-06FC19D874B1}"/>
    <cellStyle name="Note 2 4 2 3" xfId="5321" xr:uid="{00000000-0005-0000-0000-00001F210000}"/>
    <cellStyle name="Note 2 4 2 3 2" xfId="30653" xr:uid="{FBE79EB6-4182-4B5A-A557-54667B02F751}"/>
    <cellStyle name="Note 2 4 2 3 3" xfId="22212" xr:uid="{52AB2AD2-6B0D-48CA-9260-2EC834A933F9}"/>
    <cellStyle name="Note 2 4 2 3 4" xfId="13771" xr:uid="{16BCC8DD-6546-467E-BE09-65826DB94FD5}"/>
    <cellStyle name="Note 2 4 2 4" xfId="26435" xr:uid="{2DC72D2A-3B31-47F1-B6BC-A903841103DD}"/>
    <cellStyle name="Note 2 4 2 5" xfId="17994" xr:uid="{DD2457B0-47C9-4E34-AF71-85A2C29BF09D}"/>
    <cellStyle name="Note 2 4 2 6" xfId="9553" xr:uid="{3668CDA8-5C01-4823-8AA2-000B4E3790DB}"/>
    <cellStyle name="Note 2 4 3" xfId="1427" xr:uid="{00000000-0005-0000-0000-000020210000}"/>
    <cellStyle name="Note 2 4 3 2" xfId="3657" xr:uid="{00000000-0005-0000-0000-000021210000}"/>
    <cellStyle name="Note 2 4 3 2 2" xfId="7879" xr:uid="{00000000-0005-0000-0000-000022210000}"/>
    <cellStyle name="Note 2 4 3 2 2 2" xfId="33211" xr:uid="{827CAC07-73A4-4EC2-AAA0-5E473A5D2AAD}"/>
    <cellStyle name="Note 2 4 3 2 2 3" xfId="24770" xr:uid="{2E919675-8733-4AE4-A744-7A1269277EFD}"/>
    <cellStyle name="Note 2 4 3 2 2 4" xfId="16329" xr:uid="{46097B1D-E51A-4F7B-9DD5-0E016BB1B7ED}"/>
    <cellStyle name="Note 2 4 3 2 3" xfId="28993" xr:uid="{F59DC2C2-6C90-4C59-9C79-4757BBC23F6C}"/>
    <cellStyle name="Note 2 4 3 2 4" xfId="20552" xr:uid="{238EA3E8-E66A-4B4E-85F4-1236040C1CE5}"/>
    <cellStyle name="Note 2 4 3 2 5" xfId="12111" xr:uid="{2623CB50-1ADB-4F53-925C-59E968CDA99C}"/>
    <cellStyle name="Note 2 4 3 3" xfId="5734" xr:uid="{00000000-0005-0000-0000-000023210000}"/>
    <cellStyle name="Note 2 4 3 3 2" xfId="31066" xr:uid="{57CBC6D8-BACF-4784-A010-3543D63CE8B4}"/>
    <cellStyle name="Note 2 4 3 3 3" xfId="22625" xr:uid="{7358DB1E-0CEF-4704-9912-934643F5924A}"/>
    <cellStyle name="Note 2 4 3 3 4" xfId="14184" xr:uid="{59AC751D-E431-4E74-9F0C-5EDD1062AA8A}"/>
    <cellStyle name="Note 2 4 3 4" xfId="26848" xr:uid="{8281E9B1-037E-4D6C-A670-FEBBEBF03291}"/>
    <cellStyle name="Note 2 4 3 5" xfId="18407" xr:uid="{A02C2971-1A66-455E-B56E-DEBEF113BF58}"/>
    <cellStyle name="Note 2 4 3 6" xfId="9966" xr:uid="{FA8CB504-373E-40C5-A99A-078CCCF54C7A}"/>
    <cellStyle name="Note 2 4 4" xfId="1841" xr:uid="{00000000-0005-0000-0000-000024210000}"/>
    <cellStyle name="Note 2 4 4 2" xfId="4070" xr:uid="{00000000-0005-0000-0000-000025210000}"/>
    <cellStyle name="Note 2 4 4 2 2" xfId="8292" xr:uid="{00000000-0005-0000-0000-000026210000}"/>
    <cellStyle name="Note 2 4 4 2 2 2" xfId="33624" xr:uid="{CACA0B22-F8C7-4A70-B52E-470C9DA538FA}"/>
    <cellStyle name="Note 2 4 4 2 2 3" xfId="25183" xr:uid="{D17CADEC-5838-45C8-BB30-144A0F084152}"/>
    <cellStyle name="Note 2 4 4 2 2 4" xfId="16742" xr:uid="{C501A3DF-710E-4703-975B-909EC204798D}"/>
    <cellStyle name="Note 2 4 4 2 3" xfId="29406" xr:uid="{79E7AC4F-0B09-475A-B369-E30E1CA1290C}"/>
    <cellStyle name="Note 2 4 4 2 4" xfId="20965" xr:uid="{7FBD42C3-CD42-4011-90E6-8D7B221CCE21}"/>
    <cellStyle name="Note 2 4 4 2 5" xfId="12524" xr:uid="{7D1F0FCE-3025-4902-ACAC-00E84E0323F0}"/>
    <cellStyle name="Note 2 4 4 3" xfId="6147" xr:uid="{00000000-0005-0000-0000-000027210000}"/>
    <cellStyle name="Note 2 4 4 3 2" xfId="31479" xr:uid="{FF337D09-2008-4E9E-9A98-B799C075951F}"/>
    <cellStyle name="Note 2 4 4 3 3" xfId="23038" xr:uid="{48C55BBE-45D4-49D5-8623-19DBE9DCEDB0}"/>
    <cellStyle name="Note 2 4 4 3 4" xfId="14597" xr:uid="{83675760-65A7-4AEC-9B85-D9E164298A4A}"/>
    <cellStyle name="Note 2 4 4 4" xfId="27261" xr:uid="{E993D71E-75E1-44EC-9B44-A659F6ABE246}"/>
    <cellStyle name="Note 2 4 4 5" xfId="18820" xr:uid="{4F011995-4B05-46F2-A107-D560B91A9B5C}"/>
    <cellStyle name="Note 2 4 4 6" xfId="10379" xr:uid="{3D5D972F-E12E-4E9B-ABBE-9D9E4FDB3D54}"/>
    <cellStyle name="Note 2 4 5" xfId="2254" xr:uid="{00000000-0005-0000-0000-000028210000}"/>
    <cellStyle name="Note 2 4 5 2" xfId="4483" xr:uid="{00000000-0005-0000-0000-000029210000}"/>
    <cellStyle name="Note 2 4 5 2 2" xfId="8705" xr:uid="{00000000-0005-0000-0000-00002A210000}"/>
    <cellStyle name="Note 2 4 5 2 2 2" xfId="34037" xr:uid="{22DFB631-6DC1-4683-B629-BA3E3D41CDB7}"/>
    <cellStyle name="Note 2 4 5 2 2 3" xfId="25596" xr:uid="{B4DEBF38-FB52-43A8-BBC4-3F7EA71FA793}"/>
    <cellStyle name="Note 2 4 5 2 2 4" xfId="17155" xr:uid="{08C391F4-68E2-45E5-8A25-3F15C11D1519}"/>
    <cellStyle name="Note 2 4 5 2 3" xfId="29819" xr:uid="{6F932319-412D-4407-AF38-C7F3B2200C07}"/>
    <cellStyle name="Note 2 4 5 2 4" xfId="21378" xr:uid="{EC07BCDB-70EE-4DF8-800A-DEF567EAB75D}"/>
    <cellStyle name="Note 2 4 5 2 5" xfId="12937" xr:uid="{FF12760D-8AB7-4894-90BA-5A536AB149FC}"/>
    <cellStyle name="Note 2 4 5 3" xfId="6560" xr:uid="{00000000-0005-0000-0000-00002B210000}"/>
    <cellStyle name="Note 2 4 5 3 2" xfId="31892" xr:uid="{3B6725B5-5BFF-4E5F-907F-CEA03A797331}"/>
    <cellStyle name="Note 2 4 5 3 3" xfId="23451" xr:uid="{E364C286-93DE-4C6E-8D0A-77578B95FF83}"/>
    <cellStyle name="Note 2 4 5 3 4" xfId="15010" xr:uid="{D253973F-BECB-4D47-88CE-C01CA37E45C2}"/>
    <cellStyle name="Note 2 4 5 4" xfId="27674" xr:uid="{D1A891E1-31DA-47A7-8712-5BD27AC73393}"/>
    <cellStyle name="Note 2 4 5 5" xfId="19233" xr:uid="{4055578A-6765-4300-83A2-621517B5DC58}"/>
    <cellStyle name="Note 2 4 5 6" xfId="10792" xr:uid="{5A875F87-35DE-45CD-BE9F-867C1F44F14E}"/>
    <cellStyle name="Note 2 4 6" xfId="2690" xr:uid="{00000000-0005-0000-0000-00002C210000}"/>
    <cellStyle name="Note 2 4 6 2" xfId="6973" xr:uid="{00000000-0005-0000-0000-00002D210000}"/>
    <cellStyle name="Note 2 4 6 2 2" xfId="32305" xr:uid="{CF217D21-944F-443A-A6A8-F115448E514B}"/>
    <cellStyle name="Note 2 4 6 2 3" xfId="23864" xr:uid="{D3E14E21-1B07-4C97-BD98-A83B42A2B914}"/>
    <cellStyle name="Note 2 4 6 2 4" xfId="15423" xr:uid="{EC6B6864-EA07-4B5C-9488-FF5594D07DC0}"/>
    <cellStyle name="Note 2 4 6 3" xfId="28087" xr:uid="{B6208AEF-ED32-41D6-BA5E-F85003D10D8C}"/>
    <cellStyle name="Note 2 4 6 4" xfId="19646" xr:uid="{541DD300-6127-4774-B53C-1FD41C581697}"/>
    <cellStyle name="Note 2 4 6 5" xfId="11205" xr:uid="{6A77047E-6726-4859-9AD3-7365BF7AC007}"/>
    <cellStyle name="Note 2 4 7" xfId="2749" xr:uid="{00000000-0005-0000-0000-00002E210000}"/>
    <cellStyle name="Note 2 4 8" xfId="2830" xr:uid="{00000000-0005-0000-0000-00002F210000}"/>
    <cellStyle name="Note 2 4 8 2" xfId="7053" xr:uid="{00000000-0005-0000-0000-000030210000}"/>
    <cellStyle name="Note 2 4 8 2 2" xfId="32385" xr:uid="{D7F79A3E-B8D7-4374-9C15-FC1830311DBD}"/>
    <cellStyle name="Note 2 4 8 2 3" xfId="23944" xr:uid="{4FCA84C4-DF2E-41A9-AF4C-D81EA1BC814D}"/>
    <cellStyle name="Note 2 4 8 2 4" xfId="15503" xr:uid="{05AD336D-5B5E-4696-952C-374CFEBA5F19}"/>
    <cellStyle name="Note 2 4 8 3" xfId="28167" xr:uid="{6DAB512A-94E9-475F-9CC8-15CDE0390188}"/>
    <cellStyle name="Note 2 4 8 4" xfId="19726" xr:uid="{C91FCBB0-32AA-45C7-B727-FFA7A90AE262}"/>
    <cellStyle name="Note 2 4 8 5" xfId="11285" xr:uid="{0E42F1AD-9474-4AB8-BAA7-80DDBC68B547}"/>
    <cellStyle name="Note 2 4 9" xfId="4908" xr:uid="{00000000-0005-0000-0000-000031210000}"/>
    <cellStyle name="Note 2 4 9 2" xfId="30240" xr:uid="{84EB6943-B6BA-4B17-9879-A89B5C7A03E8}"/>
    <cellStyle name="Note 2 4 9 3" xfId="21799" xr:uid="{18340670-39CE-4FDF-9522-76A342DE0DFC}"/>
    <cellStyle name="Note 2 4 9 4" xfId="13358" xr:uid="{76F93BB4-9F0D-419A-91F6-63245025BE69}"/>
    <cellStyle name="Note 2 5" xfId="552" xr:uid="{00000000-0005-0000-0000-000032210000}"/>
    <cellStyle name="Note 2 5 10" xfId="26023" xr:uid="{E896300B-17F1-41FB-B7D7-BC0C3FEAA7F9}"/>
    <cellStyle name="Note 2 5 11" xfId="17582" xr:uid="{74A8C421-A238-4B20-8E03-24BADFF03BB2}"/>
    <cellStyle name="Note 2 5 12" xfId="9141" xr:uid="{C13C0420-AD34-4288-A7EB-2F7D2A372958}"/>
    <cellStyle name="Note 2 5 2" xfId="1013" xr:uid="{00000000-0005-0000-0000-000033210000}"/>
    <cellStyle name="Note 2 5 2 2" xfId="3245" xr:uid="{00000000-0005-0000-0000-000034210000}"/>
    <cellStyle name="Note 2 5 2 2 2" xfId="7467" xr:uid="{00000000-0005-0000-0000-000035210000}"/>
    <cellStyle name="Note 2 5 2 2 2 2" xfId="32799" xr:uid="{895FE357-3FF1-4506-AA16-5AC641EB4C5A}"/>
    <cellStyle name="Note 2 5 2 2 2 3" xfId="24358" xr:uid="{F8A26F28-FA06-41AC-9BAB-D25964B5092C}"/>
    <cellStyle name="Note 2 5 2 2 2 4" xfId="15917" xr:uid="{938ABA1E-A63D-4F84-96E8-FBCCBA0FF6D4}"/>
    <cellStyle name="Note 2 5 2 2 3" xfId="28581" xr:uid="{3516F573-484A-48F9-9CE8-657C3194676B}"/>
    <cellStyle name="Note 2 5 2 2 4" xfId="20140" xr:uid="{66225AA2-C53D-419C-8A3A-8A129DA53DCF}"/>
    <cellStyle name="Note 2 5 2 2 5" xfId="11699" xr:uid="{D5E5FBA6-4E40-4555-80C9-81BB0B737D52}"/>
    <cellStyle name="Note 2 5 2 3" xfId="5322" xr:uid="{00000000-0005-0000-0000-000036210000}"/>
    <cellStyle name="Note 2 5 2 3 2" xfId="30654" xr:uid="{F97B8812-FA8A-4CFE-8638-EC975A621CE4}"/>
    <cellStyle name="Note 2 5 2 3 3" xfId="22213" xr:uid="{96958AFD-8AFA-41D6-A417-20D993F33E77}"/>
    <cellStyle name="Note 2 5 2 3 4" xfId="13772" xr:uid="{C8F98881-63BE-49EB-9547-94DCC0B08920}"/>
    <cellStyle name="Note 2 5 2 4" xfId="26436" xr:uid="{A19F5FE9-471D-48B7-A24E-5C4FF9A688B9}"/>
    <cellStyle name="Note 2 5 2 5" xfId="17995" xr:uid="{8856E9C3-14DF-428E-BEE4-B224C9B2403B}"/>
    <cellStyle name="Note 2 5 2 6" xfId="9554" xr:uid="{90999419-EEEB-4A63-9DA3-E008475C5992}"/>
    <cellStyle name="Note 2 5 3" xfId="1428" xr:uid="{00000000-0005-0000-0000-000037210000}"/>
    <cellStyle name="Note 2 5 3 2" xfId="3658" xr:uid="{00000000-0005-0000-0000-000038210000}"/>
    <cellStyle name="Note 2 5 3 2 2" xfId="7880" xr:uid="{00000000-0005-0000-0000-000039210000}"/>
    <cellStyle name="Note 2 5 3 2 2 2" xfId="33212" xr:uid="{A0D55BB9-30F5-48B8-87C8-919FA504AB5D}"/>
    <cellStyle name="Note 2 5 3 2 2 3" xfId="24771" xr:uid="{298E43E0-3D0E-4DD8-86E2-553F8FD7209B}"/>
    <cellStyle name="Note 2 5 3 2 2 4" xfId="16330" xr:uid="{8F470869-169C-4457-B05A-D9E4EC402F4D}"/>
    <cellStyle name="Note 2 5 3 2 3" xfId="28994" xr:uid="{BFF7B685-6894-4118-89BE-F1318A96AF26}"/>
    <cellStyle name="Note 2 5 3 2 4" xfId="20553" xr:uid="{504FE396-CCD4-4B69-A8BA-685E3EABFB20}"/>
    <cellStyle name="Note 2 5 3 2 5" xfId="12112" xr:uid="{29ADA6F4-29F1-4584-B6E3-EDEC97677A4C}"/>
    <cellStyle name="Note 2 5 3 3" xfId="5735" xr:uid="{00000000-0005-0000-0000-00003A210000}"/>
    <cellStyle name="Note 2 5 3 3 2" xfId="31067" xr:uid="{362B2265-8DF8-4B48-9750-E19F75CB0D7D}"/>
    <cellStyle name="Note 2 5 3 3 3" xfId="22626" xr:uid="{080B2959-4E91-4C72-9642-41BF8D83CFF9}"/>
    <cellStyle name="Note 2 5 3 3 4" xfId="14185" xr:uid="{7274F33D-90FA-4AD7-9CF1-58BB363F94AE}"/>
    <cellStyle name="Note 2 5 3 4" xfId="26849" xr:uid="{285115A5-28E8-4933-B3A6-6E70E4D37E96}"/>
    <cellStyle name="Note 2 5 3 5" xfId="18408" xr:uid="{0B33ACE3-7D63-46F8-BAB6-896D271A5501}"/>
    <cellStyle name="Note 2 5 3 6" xfId="9967" xr:uid="{64241987-D8C7-4824-9FCF-2D1620AA877C}"/>
    <cellStyle name="Note 2 5 4" xfId="1842" xr:uid="{00000000-0005-0000-0000-00003B210000}"/>
    <cellStyle name="Note 2 5 4 2" xfId="4071" xr:uid="{00000000-0005-0000-0000-00003C210000}"/>
    <cellStyle name="Note 2 5 4 2 2" xfId="8293" xr:uid="{00000000-0005-0000-0000-00003D210000}"/>
    <cellStyle name="Note 2 5 4 2 2 2" xfId="33625" xr:uid="{63CEF39A-DAC1-497C-B5CF-7921A1FC354C}"/>
    <cellStyle name="Note 2 5 4 2 2 3" xfId="25184" xr:uid="{1BA24E1E-FCBD-492E-9850-BB9AB0C1F6EF}"/>
    <cellStyle name="Note 2 5 4 2 2 4" xfId="16743" xr:uid="{D33B4B68-2F4F-4AF7-86A3-6675E572A157}"/>
    <cellStyle name="Note 2 5 4 2 3" xfId="29407" xr:uid="{38B505D5-41FE-4ABB-9A5D-5D7642FC5DE9}"/>
    <cellStyle name="Note 2 5 4 2 4" xfId="20966" xr:uid="{029BBF7A-D4E4-4521-9C5A-D2597A4883DE}"/>
    <cellStyle name="Note 2 5 4 2 5" xfId="12525" xr:uid="{BEF61314-73A6-4B2F-9FC3-D16A4B3E7AEE}"/>
    <cellStyle name="Note 2 5 4 3" xfId="6148" xr:uid="{00000000-0005-0000-0000-00003E210000}"/>
    <cellStyle name="Note 2 5 4 3 2" xfId="31480" xr:uid="{C79E5DDA-AF3E-425E-833B-55CCE7DB8D0B}"/>
    <cellStyle name="Note 2 5 4 3 3" xfId="23039" xr:uid="{D0172BCA-D31B-44E6-83C0-E0C0EA31A020}"/>
    <cellStyle name="Note 2 5 4 3 4" xfId="14598" xr:uid="{B9AC2F5A-585E-4AEF-9160-912389041EB6}"/>
    <cellStyle name="Note 2 5 4 4" xfId="27262" xr:uid="{304CF32A-868F-4054-B132-6DF0BE1BA8CF}"/>
    <cellStyle name="Note 2 5 4 5" xfId="18821" xr:uid="{E9AC9678-3E30-428D-8749-1BB94A34F70B}"/>
    <cellStyle name="Note 2 5 4 6" xfId="10380" xr:uid="{773EA493-314A-4F8C-8C08-B57A448DFF18}"/>
    <cellStyle name="Note 2 5 5" xfId="2255" xr:uid="{00000000-0005-0000-0000-00003F210000}"/>
    <cellStyle name="Note 2 5 5 2" xfId="4484" xr:uid="{00000000-0005-0000-0000-000040210000}"/>
    <cellStyle name="Note 2 5 5 2 2" xfId="8706" xr:uid="{00000000-0005-0000-0000-000041210000}"/>
    <cellStyle name="Note 2 5 5 2 2 2" xfId="34038" xr:uid="{D86AAF80-53D6-4A91-8BB8-978FA6A21FE9}"/>
    <cellStyle name="Note 2 5 5 2 2 3" xfId="25597" xr:uid="{86727574-B395-457A-98EE-86C5F958C317}"/>
    <cellStyle name="Note 2 5 5 2 2 4" xfId="17156" xr:uid="{40AB2FA7-A85A-4345-B075-9EB7FA492D86}"/>
    <cellStyle name="Note 2 5 5 2 3" xfId="29820" xr:uid="{D1A62572-E326-43CB-85C9-9F4F9B57453C}"/>
    <cellStyle name="Note 2 5 5 2 4" xfId="21379" xr:uid="{B165FC03-9F0B-498D-9C63-5C3412F45443}"/>
    <cellStyle name="Note 2 5 5 2 5" xfId="12938" xr:uid="{D0F94402-D626-4EE3-90A2-34D1B1BBB573}"/>
    <cellStyle name="Note 2 5 5 3" xfId="6561" xr:uid="{00000000-0005-0000-0000-000042210000}"/>
    <cellStyle name="Note 2 5 5 3 2" xfId="31893" xr:uid="{DA598123-BD3A-4740-90A2-AE0BF77CC53C}"/>
    <cellStyle name="Note 2 5 5 3 3" xfId="23452" xr:uid="{79760F69-F2F8-4768-B953-32BAD46DC970}"/>
    <cellStyle name="Note 2 5 5 3 4" xfId="15011" xr:uid="{B9590035-4491-44F2-9374-839BAA6C60D7}"/>
    <cellStyle name="Note 2 5 5 4" xfId="27675" xr:uid="{11808BDF-4513-4029-B4AB-1FECBF2DCA23}"/>
    <cellStyle name="Note 2 5 5 5" xfId="19234" xr:uid="{7708EB3F-76A9-4762-AC66-5DE3251F9D7A}"/>
    <cellStyle name="Note 2 5 5 6" xfId="10793" xr:uid="{ADC10254-5EA9-4003-9EAB-EB974CB559CF}"/>
    <cellStyle name="Note 2 5 6" xfId="2691" xr:uid="{00000000-0005-0000-0000-000043210000}"/>
    <cellStyle name="Note 2 5 6 2" xfId="6974" xr:uid="{00000000-0005-0000-0000-000044210000}"/>
    <cellStyle name="Note 2 5 6 2 2" xfId="32306" xr:uid="{92524CA0-3D11-4F5F-B632-CCF852EF51B6}"/>
    <cellStyle name="Note 2 5 6 2 3" xfId="23865" xr:uid="{202AAC0F-3F0D-4C78-BE92-C32B75692213}"/>
    <cellStyle name="Note 2 5 6 2 4" xfId="15424" xr:uid="{195E6DDF-A21B-40FB-B91A-41BF90F3D4D3}"/>
    <cellStyle name="Note 2 5 6 3" xfId="28088" xr:uid="{101E38A8-797C-4425-AA1E-D64ED55503BD}"/>
    <cellStyle name="Note 2 5 6 4" xfId="19647" xr:uid="{E47691C1-7935-4855-93F8-A4688E54FD95}"/>
    <cellStyle name="Note 2 5 6 5" xfId="11206" xr:uid="{43A1FE58-950A-45CD-8FAA-132A313A99AE}"/>
    <cellStyle name="Note 2 5 7" xfId="2750" xr:uid="{00000000-0005-0000-0000-000045210000}"/>
    <cellStyle name="Note 2 5 8" xfId="2831" xr:uid="{00000000-0005-0000-0000-000046210000}"/>
    <cellStyle name="Note 2 5 8 2" xfId="7054" xr:uid="{00000000-0005-0000-0000-000047210000}"/>
    <cellStyle name="Note 2 5 8 2 2" xfId="32386" xr:uid="{4510DC69-A73A-4C05-A548-4D6D413D2EEB}"/>
    <cellStyle name="Note 2 5 8 2 3" xfId="23945" xr:uid="{945E316C-F417-471E-88CB-9C64892ACB8F}"/>
    <cellStyle name="Note 2 5 8 2 4" xfId="15504" xr:uid="{82CC5BDC-391D-4172-97F0-BB56A1B96135}"/>
    <cellStyle name="Note 2 5 8 3" xfId="28168" xr:uid="{BA41074E-05E7-46FE-99A1-E06A7D2C9603}"/>
    <cellStyle name="Note 2 5 8 4" xfId="19727" xr:uid="{8B65FE23-58F9-43AF-BF7C-4BD577C5C999}"/>
    <cellStyle name="Note 2 5 8 5" xfId="11286" xr:uid="{000F412D-2D64-41A0-938D-238142AF3614}"/>
    <cellStyle name="Note 2 5 9" xfId="4909" xr:uid="{00000000-0005-0000-0000-000048210000}"/>
    <cellStyle name="Note 2 5 9 2" xfId="30241" xr:uid="{C20ED269-4EE1-46D1-B168-E455F2A3E28B}"/>
    <cellStyle name="Note 2 5 9 3" xfId="21800" xr:uid="{81E464B8-3303-4B3B-B87F-543BA83B0A92}"/>
    <cellStyle name="Note 2 5 9 4" xfId="13359" xr:uid="{C985BE5C-6FB4-447C-8CA8-4771383FC3DF}"/>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0 2 2" xfId="32387" xr:uid="{4930BFA1-F4D2-4C4F-9EDF-2024A732ED88}"/>
    <cellStyle name="Note 3 2 10 2 3" xfId="23946" xr:uid="{C44B1E98-6763-4157-A84F-3C5DFC4E637E}"/>
    <cellStyle name="Note 3 2 10 2 4" xfId="15505" xr:uid="{2CA31DCB-804E-49F2-91A4-08418A32786E}"/>
    <cellStyle name="Note 3 2 10 3" xfId="28169" xr:uid="{6025C198-FE6C-43F8-982D-8C4CC1591FE4}"/>
    <cellStyle name="Note 3 2 10 4" xfId="19728" xr:uid="{51F21881-B2D6-4667-9CDD-E893E17A30F9}"/>
    <cellStyle name="Note 3 2 10 5" xfId="11287" xr:uid="{E0E212E2-BE8B-4B5B-A734-68B62E3AC073}"/>
    <cellStyle name="Note 3 2 11" xfId="4910" xr:uid="{00000000-0005-0000-0000-00004D210000}"/>
    <cellStyle name="Note 3 2 11 2" xfId="30242" xr:uid="{E3868E2A-F0EB-464F-A8B8-2E11E51FA7ED}"/>
    <cellStyle name="Note 3 2 11 3" xfId="21801" xr:uid="{48155744-0B1A-4AE0-B172-A7EC74B38AE5}"/>
    <cellStyle name="Note 3 2 11 4" xfId="13360" xr:uid="{168645AC-4CD2-4534-848A-3E5D4EC9BC9C}"/>
    <cellStyle name="Note 3 2 12" xfId="26024" xr:uid="{4D28A1D1-902F-48D4-9822-A7D8CA7937AD}"/>
    <cellStyle name="Note 3 2 13" xfId="17583" xr:uid="{118DD6BB-E004-48FE-81ED-5FFD0A3D6B0A}"/>
    <cellStyle name="Note 3 2 14" xfId="9142" xr:uid="{0CCB5971-9E40-4016-8D8A-50B14AFB2E68}"/>
    <cellStyle name="Note 3 2 2" xfId="555" xr:uid="{00000000-0005-0000-0000-00004E210000}"/>
    <cellStyle name="Note 3 2 2 10" xfId="4911" xr:uid="{00000000-0005-0000-0000-00004F210000}"/>
    <cellStyle name="Note 3 2 2 10 2" xfId="30243" xr:uid="{22E73950-C801-4348-B840-E256C067775A}"/>
    <cellStyle name="Note 3 2 2 10 3" xfId="21802" xr:uid="{E239AEB4-FBEE-4E7C-88C8-0D0081C8EFA8}"/>
    <cellStyle name="Note 3 2 2 10 4" xfId="13361" xr:uid="{4DFBF7C3-9DA7-4810-B4FF-B3C7D1D1C0DE}"/>
    <cellStyle name="Note 3 2 2 11" xfId="26025" xr:uid="{EA6A9ED0-8F76-401F-A733-463550083638}"/>
    <cellStyle name="Note 3 2 2 12" xfId="17584" xr:uid="{5DD7C5A6-83AA-4C6F-81A5-B4572DE03B1A}"/>
    <cellStyle name="Note 3 2 2 13" xfId="9143" xr:uid="{8B7518A8-C4D2-4142-89B6-7D6FB2C79BFE}"/>
    <cellStyle name="Note 3 2 2 2" xfId="556" xr:uid="{00000000-0005-0000-0000-000050210000}"/>
    <cellStyle name="Note 3 2 2 2 10" xfId="26026" xr:uid="{0AAAD617-1A8B-4A5F-A49B-81067C3A4E37}"/>
    <cellStyle name="Note 3 2 2 2 11" xfId="17585" xr:uid="{DB39964B-AFC9-48A1-9728-5E0FF4C4DADF}"/>
    <cellStyle name="Note 3 2 2 2 12" xfId="9144" xr:uid="{81BBC031-3378-4874-9AF7-7F095EF9D6BA}"/>
    <cellStyle name="Note 3 2 2 2 2" xfId="1016" xr:uid="{00000000-0005-0000-0000-000051210000}"/>
    <cellStyle name="Note 3 2 2 2 2 2" xfId="3248" xr:uid="{00000000-0005-0000-0000-000052210000}"/>
    <cellStyle name="Note 3 2 2 2 2 2 2" xfId="7470" xr:uid="{00000000-0005-0000-0000-000053210000}"/>
    <cellStyle name="Note 3 2 2 2 2 2 2 2" xfId="32802" xr:uid="{F3086097-E04F-4805-94B9-72F96773F203}"/>
    <cellStyle name="Note 3 2 2 2 2 2 2 3" xfId="24361" xr:uid="{CC95D058-D3FE-476B-9EC2-7EE1D2CE8C4D}"/>
    <cellStyle name="Note 3 2 2 2 2 2 2 4" xfId="15920" xr:uid="{2D046982-31E7-4005-85C5-5BC8B9023606}"/>
    <cellStyle name="Note 3 2 2 2 2 2 3" xfId="28584" xr:uid="{2C86ACB8-0C22-4C33-AC5F-E410F0619F63}"/>
    <cellStyle name="Note 3 2 2 2 2 2 4" xfId="20143" xr:uid="{244FAD0B-5B4C-47F8-9BF9-E00600E42778}"/>
    <cellStyle name="Note 3 2 2 2 2 2 5" xfId="11702" xr:uid="{4FCCB44A-1576-4519-87CA-9B0291C67D7C}"/>
    <cellStyle name="Note 3 2 2 2 2 3" xfId="5325" xr:uid="{00000000-0005-0000-0000-000054210000}"/>
    <cellStyle name="Note 3 2 2 2 2 3 2" xfId="30657" xr:uid="{765B70E0-CC1B-4B8F-9A91-DD73C40F7D6C}"/>
    <cellStyle name="Note 3 2 2 2 2 3 3" xfId="22216" xr:uid="{A62D62EF-219B-4847-8DB4-B490F03EF5AA}"/>
    <cellStyle name="Note 3 2 2 2 2 3 4" xfId="13775" xr:uid="{ACF8DBBA-683C-4001-AD9E-823399470894}"/>
    <cellStyle name="Note 3 2 2 2 2 4" xfId="26439" xr:uid="{68E88476-E272-4318-A395-AD9BCFB100B3}"/>
    <cellStyle name="Note 3 2 2 2 2 5" xfId="17998" xr:uid="{D5CC2C76-3489-42C0-A5D8-903664030DBF}"/>
    <cellStyle name="Note 3 2 2 2 2 6" xfId="9557" xr:uid="{FC7A031D-73CC-497E-B127-7B3719AD56EB}"/>
    <cellStyle name="Note 3 2 2 2 3" xfId="1431" xr:uid="{00000000-0005-0000-0000-000055210000}"/>
    <cellStyle name="Note 3 2 2 2 3 2" xfId="3661" xr:uid="{00000000-0005-0000-0000-000056210000}"/>
    <cellStyle name="Note 3 2 2 2 3 2 2" xfId="7883" xr:uid="{00000000-0005-0000-0000-000057210000}"/>
    <cellStyle name="Note 3 2 2 2 3 2 2 2" xfId="33215" xr:uid="{E64FE575-5C65-4529-A9E2-A70955467ED3}"/>
    <cellStyle name="Note 3 2 2 2 3 2 2 3" xfId="24774" xr:uid="{FCC3AA83-309D-41FF-94C8-CD3492D47FFE}"/>
    <cellStyle name="Note 3 2 2 2 3 2 2 4" xfId="16333" xr:uid="{5AC24A41-B306-423D-B3BE-95C0DC11D332}"/>
    <cellStyle name="Note 3 2 2 2 3 2 3" xfId="28997" xr:uid="{86DE40FA-4D57-46C9-ABFF-E863E52D9A1B}"/>
    <cellStyle name="Note 3 2 2 2 3 2 4" xfId="20556" xr:uid="{68284146-1EAF-446A-A4DA-A94D78B4F0FA}"/>
    <cellStyle name="Note 3 2 2 2 3 2 5" xfId="12115" xr:uid="{97C1BA8B-7AFE-4BA5-96E5-C23A0E4400B3}"/>
    <cellStyle name="Note 3 2 2 2 3 3" xfId="5738" xr:uid="{00000000-0005-0000-0000-000058210000}"/>
    <cellStyle name="Note 3 2 2 2 3 3 2" xfId="31070" xr:uid="{150D4038-FE86-422D-8F29-F1C153B53AFD}"/>
    <cellStyle name="Note 3 2 2 2 3 3 3" xfId="22629" xr:uid="{CE5733E1-2141-4832-8EEB-C841D03E811E}"/>
    <cellStyle name="Note 3 2 2 2 3 3 4" xfId="14188" xr:uid="{50F5661C-36D5-4A47-878E-B5D8BDC78135}"/>
    <cellStyle name="Note 3 2 2 2 3 4" xfId="26852" xr:uid="{D72F9375-3AF2-4E9A-AEC0-67876DAFFE85}"/>
    <cellStyle name="Note 3 2 2 2 3 5" xfId="18411" xr:uid="{1E8BB5A7-CAE7-4B4A-9915-DAEC107143D8}"/>
    <cellStyle name="Note 3 2 2 2 3 6" xfId="9970" xr:uid="{CE228DE1-0438-498E-AD47-F893DEB5FA19}"/>
    <cellStyle name="Note 3 2 2 2 4" xfId="1845" xr:uid="{00000000-0005-0000-0000-000059210000}"/>
    <cellStyle name="Note 3 2 2 2 4 2" xfId="4074" xr:uid="{00000000-0005-0000-0000-00005A210000}"/>
    <cellStyle name="Note 3 2 2 2 4 2 2" xfId="8296" xr:uid="{00000000-0005-0000-0000-00005B210000}"/>
    <cellStyle name="Note 3 2 2 2 4 2 2 2" xfId="33628" xr:uid="{0D8568E7-231C-4B1E-A546-D88CDBDE207B}"/>
    <cellStyle name="Note 3 2 2 2 4 2 2 3" xfId="25187" xr:uid="{4F78BA19-B424-4227-A674-325ED3E96617}"/>
    <cellStyle name="Note 3 2 2 2 4 2 2 4" xfId="16746" xr:uid="{9A79589C-B921-4605-9285-F14DCB3494D1}"/>
    <cellStyle name="Note 3 2 2 2 4 2 3" xfId="29410" xr:uid="{A8D4AE19-838A-4A1C-96BA-3351544E87A9}"/>
    <cellStyle name="Note 3 2 2 2 4 2 4" xfId="20969" xr:uid="{38E3DE66-47CF-414D-B0F5-3501E931E3FC}"/>
    <cellStyle name="Note 3 2 2 2 4 2 5" xfId="12528" xr:uid="{D94B478F-3327-486A-8803-AADD35533291}"/>
    <cellStyle name="Note 3 2 2 2 4 3" xfId="6151" xr:uid="{00000000-0005-0000-0000-00005C210000}"/>
    <cellStyle name="Note 3 2 2 2 4 3 2" xfId="31483" xr:uid="{CD74E79C-939D-4D14-99D2-AA50A51965A6}"/>
    <cellStyle name="Note 3 2 2 2 4 3 3" xfId="23042" xr:uid="{F03047F6-D2EB-452D-9CB6-7B4EDC38C224}"/>
    <cellStyle name="Note 3 2 2 2 4 3 4" xfId="14601" xr:uid="{F0FB3D33-3B6D-4252-B883-FFC1D200195D}"/>
    <cellStyle name="Note 3 2 2 2 4 4" xfId="27265" xr:uid="{36D8F600-78ED-4108-8CA1-0AFED1689C2C}"/>
    <cellStyle name="Note 3 2 2 2 4 5" xfId="18824" xr:uid="{98FD8C33-21D3-49D0-9EC6-0B1055860FC2}"/>
    <cellStyle name="Note 3 2 2 2 4 6" xfId="10383" xr:uid="{147FA8F4-7233-42A8-9ECD-13985B06942A}"/>
    <cellStyle name="Note 3 2 2 2 5" xfId="2258" xr:uid="{00000000-0005-0000-0000-00005D210000}"/>
    <cellStyle name="Note 3 2 2 2 5 2" xfId="4487" xr:uid="{00000000-0005-0000-0000-00005E210000}"/>
    <cellStyle name="Note 3 2 2 2 5 2 2" xfId="8709" xr:uid="{00000000-0005-0000-0000-00005F210000}"/>
    <cellStyle name="Note 3 2 2 2 5 2 2 2" xfId="34041" xr:uid="{542A601B-7025-404F-9119-630416A0F89F}"/>
    <cellStyle name="Note 3 2 2 2 5 2 2 3" xfId="25600" xr:uid="{931BEA42-F97C-48B6-A603-0FB0E713C5C3}"/>
    <cellStyle name="Note 3 2 2 2 5 2 2 4" xfId="17159" xr:uid="{4CA9EDB1-37C3-42D3-84B0-3188157A0D1D}"/>
    <cellStyle name="Note 3 2 2 2 5 2 3" xfId="29823" xr:uid="{0F7148B6-C7CD-4E20-AAE1-22F4C055EA88}"/>
    <cellStyle name="Note 3 2 2 2 5 2 4" xfId="21382" xr:uid="{2B6CF1F1-1941-496A-BBAC-67586C6BD6A4}"/>
    <cellStyle name="Note 3 2 2 2 5 2 5" xfId="12941" xr:uid="{77098B6E-6A14-4855-875F-D12BBEA97419}"/>
    <cellStyle name="Note 3 2 2 2 5 3" xfId="6564" xr:uid="{00000000-0005-0000-0000-000060210000}"/>
    <cellStyle name="Note 3 2 2 2 5 3 2" xfId="31896" xr:uid="{5266611C-2E2E-4226-B91A-5A0B2855983A}"/>
    <cellStyle name="Note 3 2 2 2 5 3 3" xfId="23455" xr:uid="{37FB160C-2A4A-4D1E-A737-49BCFB76A643}"/>
    <cellStyle name="Note 3 2 2 2 5 3 4" xfId="15014" xr:uid="{2D1708C7-E243-41E0-9776-D1D6ED768A63}"/>
    <cellStyle name="Note 3 2 2 2 5 4" xfId="27678" xr:uid="{DD246E30-1E5A-4313-A369-2074BF2D1C4F}"/>
    <cellStyle name="Note 3 2 2 2 5 5" xfId="19237" xr:uid="{EA60DEA7-C27C-4457-B14E-80A279F795D9}"/>
    <cellStyle name="Note 3 2 2 2 5 6" xfId="10796" xr:uid="{1E410BDB-EF2D-4ECC-920F-1BFE33776E28}"/>
    <cellStyle name="Note 3 2 2 2 6" xfId="2694" xr:uid="{00000000-0005-0000-0000-000061210000}"/>
    <cellStyle name="Note 3 2 2 2 6 2" xfId="6977" xr:uid="{00000000-0005-0000-0000-000062210000}"/>
    <cellStyle name="Note 3 2 2 2 6 2 2" xfId="32309" xr:uid="{E3778A95-9990-4D37-BD6B-A1E7152F84B9}"/>
    <cellStyle name="Note 3 2 2 2 6 2 3" xfId="23868" xr:uid="{47A0AD9A-2D0C-42C9-BBDC-D55DF8F8EC83}"/>
    <cellStyle name="Note 3 2 2 2 6 2 4" xfId="15427" xr:uid="{05241A1C-6B83-449F-98F2-9C9C3643C343}"/>
    <cellStyle name="Note 3 2 2 2 6 3" xfId="28091" xr:uid="{B2FBE501-049C-471F-AA79-D5D578CA9875}"/>
    <cellStyle name="Note 3 2 2 2 6 4" xfId="19650" xr:uid="{04C35212-CC19-432C-8BAB-B7C8F442DEB8}"/>
    <cellStyle name="Note 3 2 2 2 6 5" xfId="11209" xr:uid="{91AD20B0-8500-4AFA-9126-6D4A577129AB}"/>
    <cellStyle name="Note 3 2 2 2 7" xfId="2753" xr:uid="{00000000-0005-0000-0000-000063210000}"/>
    <cellStyle name="Note 3 2 2 2 8" xfId="2834" xr:uid="{00000000-0005-0000-0000-000064210000}"/>
    <cellStyle name="Note 3 2 2 2 8 2" xfId="7057" xr:uid="{00000000-0005-0000-0000-000065210000}"/>
    <cellStyle name="Note 3 2 2 2 8 2 2" xfId="32389" xr:uid="{1F4F938E-9D44-4CB9-9BD9-A63F04014BBF}"/>
    <cellStyle name="Note 3 2 2 2 8 2 3" xfId="23948" xr:uid="{2693D405-057A-49E8-AE11-789C3BD04FC8}"/>
    <cellStyle name="Note 3 2 2 2 8 2 4" xfId="15507" xr:uid="{15986CA3-CBDF-4AFC-8A1E-EDB82144249D}"/>
    <cellStyle name="Note 3 2 2 2 8 3" xfId="28171" xr:uid="{9B337B43-DCE7-4C33-AAE7-37A0DCA4DF65}"/>
    <cellStyle name="Note 3 2 2 2 8 4" xfId="19730" xr:uid="{68263041-F429-43A9-847A-660E3BAF66B6}"/>
    <cellStyle name="Note 3 2 2 2 8 5" xfId="11289" xr:uid="{3E46F921-C9EB-4698-850B-38A9A7EEBD59}"/>
    <cellStyle name="Note 3 2 2 2 9" xfId="4912" xr:uid="{00000000-0005-0000-0000-000066210000}"/>
    <cellStyle name="Note 3 2 2 2 9 2" xfId="30244" xr:uid="{BBB7A790-B654-4EC1-8A24-2A8B0A1EB51D}"/>
    <cellStyle name="Note 3 2 2 2 9 3" xfId="21803" xr:uid="{01952917-DECD-4762-B6D4-CA8CBFFCCA66}"/>
    <cellStyle name="Note 3 2 2 2 9 4" xfId="13362" xr:uid="{B10D0DA9-B156-4D24-B3B9-3A75B90CA2AB}"/>
    <cellStyle name="Note 3 2 2 3" xfId="1015" xr:uid="{00000000-0005-0000-0000-000067210000}"/>
    <cellStyle name="Note 3 2 2 3 2" xfId="3247" xr:uid="{00000000-0005-0000-0000-000068210000}"/>
    <cellStyle name="Note 3 2 2 3 2 2" xfId="7469" xr:uid="{00000000-0005-0000-0000-000069210000}"/>
    <cellStyle name="Note 3 2 2 3 2 2 2" xfId="32801" xr:uid="{6E276974-89C8-4EC9-A152-10177DAFBC3D}"/>
    <cellStyle name="Note 3 2 2 3 2 2 3" xfId="24360" xr:uid="{8EDBF403-7A79-4F50-9366-D580EBA1060E}"/>
    <cellStyle name="Note 3 2 2 3 2 2 4" xfId="15919" xr:uid="{413403BB-399C-4DE8-9DC0-DFAAD5EDCB30}"/>
    <cellStyle name="Note 3 2 2 3 2 3" xfId="28583" xr:uid="{D418B1C5-303B-46C8-8E0E-C3F5EAC308D1}"/>
    <cellStyle name="Note 3 2 2 3 2 4" xfId="20142" xr:uid="{6D1DD9DD-CB0C-4A7F-B6E9-3CD57ACF76A6}"/>
    <cellStyle name="Note 3 2 2 3 2 5" xfId="11701" xr:uid="{7E236E78-210F-4F6A-82BA-0A65009B4580}"/>
    <cellStyle name="Note 3 2 2 3 3" xfId="5324" xr:uid="{00000000-0005-0000-0000-00006A210000}"/>
    <cellStyle name="Note 3 2 2 3 3 2" xfId="30656" xr:uid="{AD58C1A2-A2CA-4CB7-9181-79EA1EA0F2B8}"/>
    <cellStyle name="Note 3 2 2 3 3 3" xfId="22215" xr:uid="{B4E82194-8216-4733-8B14-1488E4C12B6C}"/>
    <cellStyle name="Note 3 2 2 3 3 4" xfId="13774" xr:uid="{CE2B3999-1A33-47F3-9DDE-6DE2BFB5C198}"/>
    <cellStyle name="Note 3 2 2 3 4" xfId="26438" xr:uid="{2050E5B7-2527-4E91-AD63-55F64376C2C0}"/>
    <cellStyle name="Note 3 2 2 3 5" xfId="17997" xr:uid="{2E1420F3-0A5C-47CF-8BCA-AE5AD79F5BD8}"/>
    <cellStyle name="Note 3 2 2 3 6" xfId="9556" xr:uid="{20966356-A855-4584-8842-12892DDC664B}"/>
    <cellStyle name="Note 3 2 2 4" xfId="1430" xr:uid="{00000000-0005-0000-0000-00006B210000}"/>
    <cellStyle name="Note 3 2 2 4 2" xfId="3660" xr:uid="{00000000-0005-0000-0000-00006C210000}"/>
    <cellStyle name="Note 3 2 2 4 2 2" xfId="7882" xr:uid="{00000000-0005-0000-0000-00006D210000}"/>
    <cellStyle name="Note 3 2 2 4 2 2 2" xfId="33214" xr:uid="{7C480730-5682-435C-980B-938E9570C96A}"/>
    <cellStyle name="Note 3 2 2 4 2 2 3" xfId="24773" xr:uid="{0A88AD10-782F-4051-ACB1-39EF8F6D2402}"/>
    <cellStyle name="Note 3 2 2 4 2 2 4" xfId="16332" xr:uid="{498FEF82-6A30-4F50-9DCF-57902B7C8D57}"/>
    <cellStyle name="Note 3 2 2 4 2 3" xfId="28996" xr:uid="{C327DF1D-B8C2-47E6-B392-37B68CA266B6}"/>
    <cellStyle name="Note 3 2 2 4 2 4" xfId="20555" xr:uid="{D23F94AD-3A44-4D58-9D25-FE63EFB3A32A}"/>
    <cellStyle name="Note 3 2 2 4 2 5" xfId="12114" xr:uid="{2F13AF90-53E4-4CE2-A917-09B663028A73}"/>
    <cellStyle name="Note 3 2 2 4 3" xfId="5737" xr:uid="{00000000-0005-0000-0000-00006E210000}"/>
    <cellStyle name="Note 3 2 2 4 3 2" xfId="31069" xr:uid="{BC868B1D-07C7-464B-8D86-ECF2B17ACE12}"/>
    <cellStyle name="Note 3 2 2 4 3 3" xfId="22628" xr:uid="{3C960A60-3252-4857-879F-7AC85BC26D40}"/>
    <cellStyle name="Note 3 2 2 4 3 4" xfId="14187" xr:uid="{815108B7-DC66-480F-83AE-702CFE690A10}"/>
    <cellStyle name="Note 3 2 2 4 4" xfId="26851" xr:uid="{99146A3C-EBAC-4655-B461-D0F0BA94F0DF}"/>
    <cellStyle name="Note 3 2 2 4 5" xfId="18410" xr:uid="{5289FC37-99E9-4E6A-A105-B7FB385A0F2A}"/>
    <cellStyle name="Note 3 2 2 4 6" xfId="9969" xr:uid="{5D02EE3D-C17E-41D9-8F72-64BC5B575155}"/>
    <cellStyle name="Note 3 2 2 5" xfId="1844" xr:uid="{00000000-0005-0000-0000-00006F210000}"/>
    <cellStyle name="Note 3 2 2 5 2" xfId="4073" xr:uid="{00000000-0005-0000-0000-000070210000}"/>
    <cellStyle name="Note 3 2 2 5 2 2" xfId="8295" xr:uid="{00000000-0005-0000-0000-000071210000}"/>
    <cellStyle name="Note 3 2 2 5 2 2 2" xfId="33627" xr:uid="{4956BFC0-2D2F-40F9-B32B-1D47C379DD66}"/>
    <cellStyle name="Note 3 2 2 5 2 2 3" xfId="25186" xr:uid="{94ECC909-8AB5-4F13-AB61-B9E24B5DAD99}"/>
    <cellStyle name="Note 3 2 2 5 2 2 4" xfId="16745" xr:uid="{FB623AEB-D38A-43DB-B26F-373099AC9CE9}"/>
    <cellStyle name="Note 3 2 2 5 2 3" xfId="29409" xr:uid="{0F216980-42DD-402D-A50A-98349704E264}"/>
    <cellStyle name="Note 3 2 2 5 2 4" xfId="20968" xr:uid="{7240E66A-0E2F-415B-82C1-F3CC1033355F}"/>
    <cellStyle name="Note 3 2 2 5 2 5" xfId="12527" xr:uid="{29D818C0-3A89-4247-B5C1-52237C03BE5B}"/>
    <cellStyle name="Note 3 2 2 5 3" xfId="6150" xr:uid="{00000000-0005-0000-0000-000072210000}"/>
    <cellStyle name="Note 3 2 2 5 3 2" xfId="31482" xr:uid="{C5A1B91E-0474-4D5E-88DF-1F746F82D420}"/>
    <cellStyle name="Note 3 2 2 5 3 3" xfId="23041" xr:uid="{486B5F14-168F-4E53-840E-A67AFC309A6E}"/>
    <cellStyle name="Note 3 2 2 5 3 4" xfId="14600" xr:uid="{1570B2E0-5050-440C-8C3B-95E6B4727C86}"/>
    <cellStyle name="Note 3 2 2 5 4" xfId="27264" xr:uid="{291D7084-AF4C-4291-99B5-C0D47ABB7F3E}"/>
    <cellStyle name="Note 3 2 2 5 5" xfId="18823" xr:uid="{F72AC7CB-FAA1-4977-84A8-4B44086B5196}"/>
    <cellStyle name="Note 3 2 2 5 6" xfId="10382" xr:uid="{307E8F64-2616-4392-96BB-308C00188F19}"/>
    <cellStyle name="Note 3 2 2 6" xfId="2257" xr:uid="{00000000-0005-0000-0000-000073210000}"/>
    <cellStyle name="Note 3 2 2 6 2" xfId="4486" xr:uid="{00000000-0005-0000-0000-000074210000}"/>
    <cellStyle name="Note 3 2 2 6 2 2" xfId="8708" xr:uid="{00000000-0005-0000-0000-000075210000}"/>
    <cellStyle name="Note 3 2 2 6 2 2 2" xfId="34040" xr:uid="{14E86FC7-6334-44B0-97E8-FCAAD726D47F}"/>
    <cellStyle name="Note 3 2 2 6 2 2 3" xfId="25599" xr:uid="{11CD107A-5154-4BDE-A1C3-830751DBF30C}"/>
    <cellStyle name="Note 3 2 2 6 2 2 4" xfId="17158" xr:uid="{A5FA0D1F-60C4-42B7-88BC-F349F9235E54}"/>
    <cellStyle name="Note 3 2 2 6 2 3" xfId="29822" xr:uid="{4253BBAF-05B6-4672-82E4-66B3A211BD92}"/>
    <cellStyle name="Note 3 2 2 6 2 4" xfId="21381" xr:uid="{9339E34A-5B10-4DD6-A046-3F53D47A25CF}"/>
    <cellStyle name="Note 3 2 2 6 2 5" xfId="12940" xr:uid="{99D596F9-9832-4710-97FA-650567AF3723}"/>
    <cellStyle name="Note 3 2 2 6 3" xfId="6563" xr:uid="{00000000-0005-0000-0000-000076210000}"/>
    <cellStyle name="Note 3 2 2 6 3 2" xfId="31895" xr:uid="{22C66E91-4DFA-4E3D-BADC-5D96E1001038}"/>
    <cellStyle name="Note 3 2 2 6 3 3" xfId="23454" xr:uid="{879AFB4E-BEF4-4C2F-B268-59DF4BCD2025}"/>
    <cellStyle name="Note 3 2 2 6 3 4" xfId="15013" xr:uid="{A3499271-31F1-4A96-9BA4-093024260998}"/>
    <cellStyle name="Note 3 2 2 6 4" xfId="27677" xr:uid="{9FCB2419-8841-4938-8102-D31CB4ADF04C}"/>
    <cellStyle name="Note 3 2 2 6 5" xfId="19236" xr:uid="{1BEA9152-09EF-4B53-A157-7A6598B84A1E}"/>
    <cellStyle name="Note 3 2 2 6 6" xfId="10795" xr:uid="{7B141AB4-2816-4944-A7A8-DBB2DE4DDC9B}"/>
    <cellStyle name="Note 3 2 2 7" xfId="2693" xr:uid="{00000000-0005-0000-0000-000077210000}"/>
    <cellStyle name="Note 3 2 2 7 2" xfId="6976" xr:uid="{00000000-0005-0000-0000-000078210000}"/>
    <cellStyle name="Note 3 2 2 7 2 2" xfId="32308" xr:uid="{49714A04-4D48-4288-A8EA-4860695CD194}"/>
    <cellStyle name="Note 3 2 2 7 2 3" xfId="23867" xr:uid="{F18B6E48-0F1E-470C-ACA2-ED31AADD6EA0}"/>
    <cellStyle name="Note 3 2 2 7 2 4" xfId="15426" xr:uid="{E5AA14EE-0232-44A4-B930-08A159797D2F}"/>
    <cellStyle name="Note 3 2 2 7 3" xfId="28090" xr:uid="{3C3EC3CE-5E94-4188-BA57-FEA1D0A16D4C}"/>
    <cellStyle name="Note 3 2 2 7 4" xfId="19649" xr:uid="{180C5132-EED6-46DD-8D5F-A9D57E00F4BD}"/>
    <cellStyle name="Note 3 2 2 7 5" xfId="11208" xr:uid="{2AB15E7B-BDBC-44BA-8423-63A412E20F93}"/>
    <cellStyle name="Note 3 2 2 8" xfId="2752" xr:uid="{00000000-0005-0000-0000-000079210000}"/>
    <cellStyle name="Note 3 2 2 9" xfId="2833" xr:uid="{00000000-0005-0000-0000-00007A210000}"/>
    <cellStyle name="Note 3 2 2 9 2" xfId="7056" xr:uid="{00000000-0005-0000-0000-00007B210000}"/>
    <cellStyle name="Note 3 2 2 9 2 2" xfId="32388" xr:uid="{E146DD79-21A1-42CF-9B3D-01D3C8D7F4AB}"/>
    <cellStyle name="Note 3 2 2 9 2 3" xfId="23947" xr:uid="{73221558-B6A1-437E-82B7-CF46BF947CE2}"/>
    <cellStyle name="Note 3 2 2 9 2 4" xfId="15506" xr:uid="{3E2F5BF9-5040-46D2-AB10-895EBA391500}"/>
    <cellStyle name="Note 3 2 2 9 3" xfId="28170" xr:uid="{CEC09E7D-37F8-4079-A3B7-861EB821F5B8}"/>
    <cellStyle name="Note 3 2 2 9 4" xfId="19729" xr:uid="{F7A4542A-226C-4391-B4C2-D6E118C33EA8}"/>
    <cellStyle name="Note 3 2 2 9 5" xfId="11288" xr:uid="{7528547E-F348-4A3B-A537-EAD9C8A2D1CC}"/>
    <cellStyle name="Note 3 2 3" xfId="557" xr:uid="{00000000-0005-0000-0000-00007C210000}"/>
    <cellStyle name="Note 3 2 3 10" xfId="26027" xr:uid="{CE0ED802-0D25-4805-8DEE-0D5B2DB31222}"/>
    <cellStyle name="Note 3 2 3 11" xfId="17586" xr:uid="{E86FE3FB-24C4-4A68-BA70-6B828C2292D9}"/>
    <cellStyle name="Note 3 2 3 12" xfId="9145" xr:uid="{8D06B045-326A-4487-A884-BF78E637FE0B}"/>
    <cellStyle name="Note 3 2 3 2" xfId="1017" xr:uid="{00000000-0005-0000-0000-00007D210000}"/>
    <cellStyle name="Note 3 2 3 2 2" xfId="3249" xr:uid="{00000000-0005-0000-0000-00007E210000}"/>
    <cellStyle name="Note 3 2 3 2 2 2" xfId="7471" xr:uid="{00000000-0005-0000-0000-00007F210000}"/>
    <cellStyle name="Note 3 2 3 2 2 2 2" xfId="32803" xr:uid="{FB467F3D-A817-4C18-BB84-F46D82DEC56A}"/>
    <cellStyle name="Note 3 2 3 2 2 2 3" xfId="24362" xr:uid="{72EB8A1F-5047-455E-A248-D5472CE4B9E6}"/>
    <cellStyle name="Note 3 2 3 2 2 2 4" xfId="15921" xr:uid="{98031193-7A02-4AC5-AE62-4E700BDE3BE5}"/>
    <cellStyle name="Note 3 2 3 2 2 3" xfId="28585" xr:uid="{042F75C1-2E95-4E5B-BDF5-DC6783AA0522}"/>
    <cellStyle name="Note 3 2 3 2 2 4" xfId="20144" xr:uid="{41E5B376-F4EA-4BB7-BEDB-63760681A2F0}"/>
    <cellStyle name="Note 3 2 3 2 2 5" xfId="11703" xr:uid="{12841621-8622-4277-8049-9B32E8C4E5C8}"/>
    <cellStyle name="Note 3 2 3 2 3" xfId="5326" xr:uid="{00000000-0005-0000-0000-000080210000}"/>
    <cellStyle name="Note 3 2 3 2 3 2" xfId="30658" xr:uid="{A36DD1F0-13F5-445C-94DC-FBB9D444C4D3}"/>
    <cellStyle name="Note 3 2 3 2 3 3" xfId="22217" xr:uid="{C9F25FA7-021F-43A1-A06F-FF9B44368257}"/>
    <cellStyle name="Note 3 2 3 2 3 4" xfId="13776" xr:uid="{B1E16860-8430-4D54-A3E4-F48AAC040FEB}"/>
    <cellStyle name="Note 3 2 3 2 4" xfId="26440" xr:uid="{36042C21-72F1-4FF4-A18F-A28D0E4688D7}"/>
    <cellStyle name="Note 3 2 3 2 5" xfId="17999" xr:uid="{86014465-6F3F-4E4F-A2CD-7002AF6365BE}"/>
    <cellStyle name="Note 3 2 3 2 6" xfId="9558" xr:uid="{C3D8A154-4CBD-4E0F-828B-AAED11BFD89E}"/>
    <cellStyle name="Note 3 2 3 3" xfId="1432" xr:uid="{00000000-0005-0000-0000-000081210000}"/>
    <cellStyle name="Note 3 2 3 3 2" xfId="3662" xr:uid="{00000000-0005-0000-0000-000082210000}"/>
    <cellStyle name="Note 3 2 3 3 2 2" xfId="7884" xr:uid="{00000000-0005-0000-0000-000083210000}"/>
    <cellStyle name="Note 3 2 3 3 2 2 2" xfId="33216" xr:uid="{37ACA15B-FD9B-481B-8071-40CE28891F5E}"/>
    <cellStyle name="Note 3 2 3 3 2 2 3" xfId="24775" xr:uid="{723A5BEE-51B9-4A89-8B9A-A72657B8A336}"/>
    <cellStyle name="Note 3 2 3 3 2 2 4" xfId="16334" xr:uid="{DD46455E-7E01-436E-9C00-A01EA9865385}"/>
    <cellStyle name="Note 3 2 3 3 2 3" xfId="28998" xr:uid="{9266D7BB-7BF3-4839-8D08-32FCA1C5ADA2}"/>
    <cellStyle name="Note 3 2 3 3 2 4" xfId="20557" xr:uid="{6D4968EA-8A81-4AE5-A293-5AE2799C91F5}"/>
    <cellStyle name="Note 3 2 3 3 2 5" xfId="12116" xr:uid="{2F50015E-0069-43C2-B14B-E420A25E875E}"/>
    <cellStyle name="Note 3 2 3 3 3" xfId="5739" xr:uid="{00000000-0005-0000-0000-000084210000}"/>
    <cellStyle name="Note 3 2 3 3 3 2" xfId="31071" xr:uid="{6408D50B-B3CE-4986-B81A-62CF088C89BA}"/>
    <cellStyle name="Note 3 2 3 3 3 3" xfId="22630" xr:uid="{A9CD63BC-6634-4124-958C-C4BE33966844}"/>
    <cellStyle name="Note 3 2 3 3 3 4" xfId="14189" xr:uid="{E77E461C-EDDF-4A79-ADE6-688175EC39FB}"/>
    <cellStyle name="Note 3 2 3 3 4" xfId="26853" xr:uid="{CDD17C9A-F8DB-436C-93B9-AE61B9049152}"/>
    <cellStyle name="Note 3 2 3 3 5" xfId="18412" xr:uid="{F2615D03-B65B-432B-B29A-BE03639BC6DE}"/>
    <cellStyle name="Note 3 2 3 3 6" xfId="9971" xr:uid="{9B8D8221-6D28-41D1-8E64-4D5D1EF8AA61}"/>
    <cellStyle name="Note 3 2 3 4" xfId="1846" xr:uid="{00000000-0005-0000-0000-000085210000}"/>
    <cellStyle name="Note 3 2 3 4 2" xfId="4075" xr:uid="{00000000-0005-0000-0000-000086210000}"/>
    <cellStyle name="Note 3 2 3 4 2 2" xfId="8297" xr:uid="{00000000-0005-0000-0000-000087210000}"/>
    <cellStyle name="Note 3 2 3 4 2 2 2" xfId="33629" xr:uid="{CE918770-A5E5-4C78-9BE9-6AF58F4B3629}"/>
    <cellStyle name="Note 3 2 3 4 2 2 3" xfId="25188" xr:uid="{6385B311-7C7D-4EE3-B810-5C2C9513B5D8}"/>
    <cellStyle name="Note 3 2 3 4 2 2 4" xfId="16747" xr:uid="{07EE84DC-2F17-4AFC-8871-BA47CCE69336}"/>
    <cellStyle name="Note 3 2 3 4 2 3" xfId="29411" xr:uid="{EE5A1B01-CD26-4161-B074-7B8FB10E3365}"/>
    <cellStyle name="Note 3 2 3 4 2 4" xfId="20970" xr:uid="{4C570D83-FAFF-4095-B63A-816D0872961F}"/>
    <cellStyle name="Note 3 2 3 4 2 5" xfId="12529" xr:uid="{A88C8C43-71BE-47D5-8B47-E641DE5AF7A5}"/>
    <cellStyle name="Note 3 2 3 4 3" xfId="6152" xr:uid="{00000000-0005-0000-0000-000088210000}"/>
    <cellStyle name="Note 3 2 3 4 3 2" xfId="31484" xr:uid="{82D97A52-C1AE-470A-B76A-C6782BDF7E92}"/>
    <cellStyle name="Note 3 2 3 4 3 3" xfId="23043" xr:uid="{683981F1-FD69-49C5-8052-0F93A561C06F}"/>
    <cellStyle name="Note 3 2 3 4 3 4" xfId="14602" xr:uid="{E6E34369-6D6D-4D14-AC2A-664285FA5BF8}"/>
    <cellStyle name="Note 3 2 3 4 4" xfId="27266" xr:uid="{4602A4B7-FE2E-4F61-A6C6-810FF928FB3E}"/>
    <cellStyle name="Note 3 2 3 4 5" xfId="18825" xr:uid="{EE29EE2D-DD4F-4B77-AA0D-1DEF86145DE8}"/>
    <cellStyle name="Note 3 2 3 4 6" xfId="10384" xr:uid="{5169BD41-1D38-486E-B338-D705B1306163}"/>
    <cellStyle name="Note 3 2 3 5" xfId="2259" xr:uid="{00000000-0005-0000-0000-000089210000}"/>
    <cellStyle name="Note 3 2 3 5 2" xfId="4488" xr:uid="{00000000-0005-0000-0000-00008A210000}"/>
    <cellStyle name="Note 3 2 3 5 2 2" xfId="8710" xr:uid="{00000000-0005-0000-0000-00008B210000}"/>
    <cellStyle name="Note 3 2 3 5 2 2 2" xfId="34042" xr:uid="{392C1177-3082-4834-B729-82FDD3DA9875}"/>
    <cellStyle name="Note 3 2 3 5 2 2 3" xfId="25601" xr:uid="{E7BEDAC6-E7D6-4EB3-A921-F2F65F025ADF}"/>
    <cellStyle name="Note 3 2 3 5 2 2 4" xfId="17160" xr:uid="{5106D0D9-CEF1-44CE-B026-4D9FAC6B26AE}"/>
    <cellStyle name="Note 3 2 3 5 2 3" xfId="29824" xr:uid="{AABF30AD-FCA4-41B3-A1A6-3D9B1FC1274F}"/>
    <cellStyle name="Note 3 2 3 5 2 4" xfId="21383" xr:uid="{39CA1D7F-4808-4BC9-9854-809C51D8EEE7}"/>
    <cellStyle name="Note 3 2 3 5 2 5" xfId="12942" xr:uid="{14593246-E427-4EF4-B512-C53AFE3F8DC1}"/>
    <cellStyle name="Note 3 2 3 5 3" xfId="6565" xr:uid="{00000000-0005-0000-0000-00008C210000}"/>
    <cellStyle name="Note 3 2 3 5 3 2" xfId="31897" xr:uid="{7E9CA7EE-E883-431C-9AF9-242D3F4459D4}"/>
    <cellStyle name="Note 3 2 3 5 3 3" xfId="23456" xr:uid="{DDEC3F84-E636-4637-A250-5FD2C0A5DAE7}"/>
    <cellStyle name="Note 3 2 3 5 3 4" xfId="15015" xr:uid="{85FB5D4A-B1A6-4F7F-9587-D9B847B059AD}"/>
    <cellStyle name="Note 3 2 3 5 4" xfId="27679" xr:uid="{05EFEB5F-5F8B-4609-A94E-047E43300CA5}"/>
    <cellStyle name="Note 3 2 3 5 5" xfId="19238" xr:uid="{A8CB442B-0B9E-4D13-AE9E-AC84AB8846CD}"/>
    <cellStyle name="Note 3 2 3 5 6" xfId="10797" xr:uid="{4DFBEB31-7A1A-4354-B896-098D28FBD12F}"/>
    <cellStyle name="Note 3 2 3 6" xfId="2695" xr:uid="{00000000-0005-0000-0000-00008D210000}"/>
    <cellStyle name="Note 3 2 3 6 2" xfId="6978" xr:uid="{00000000-0005-0000-0000-00008E210000}"/>
    <cellStyle name="Note 3 2 3 6 2 2" xfId="32310" xr:uid="{EC9DB1F0-6B7E-4CAD-BADC-D10877C869E5}"/>
    <cellStyle name="Note 3 2 3 6 2 3" xfId="23869" xr:uid="{1612DED2-1358-4ADC-9C5D-283AFA306303}"/>
    <cellStyle name="Note 3 2 3 6 2 4" xfId="15428" xr:uid="{4EE91188-FF5D-44DE-BF1E-C5C45D28BEFF}"/>
    <cellStyle name="Note 3 2 3 6 3" xfId="28092" xr:uid="{EE36D4D2-B698-48FE-8985-D302E5576AE3}"/>
    <cellStyle name="Note 3 2 3 6 4" xfId="19651" xr:uid="{1F84953D-8C43-4FBB-ADA2-EC73C5289D38}"/>
    <cellStyle name="Note 3 2 3 6 5" xfId="11210" xr:uid="{B639F0C0-5826-4A30-8642-12931984FB0C}"/>
    <cellStyle name="Note 3 2 3 7" xfId="2754" xr:uid="{00000000-0005-0000-0000-00008F210000}"/>
    <cellStyle name="Note 3 2 3 8" xfId="2835" xr:uid="{00000000-0005-0000-0000-000090210000}"/>
    <cellStyle name="Note 3 2 3 8 2" xfId="7058" xr:uid="{00000000-0005-0000-0000-000091210000}"/>
    <cellStyle name="Note 3 2 3 8 2 2" xfId="32390" xr:uid="{B7D0483D-1665-4484-8DA3-A1757FD4C7D6}"/>
    <cellStyle name="Note 3 2 3 8 2 3" xfId="23949" xr:uid="{CA70D241-5E8B-490A-BE9A-4986DB219980}"/>
    <cellStyle name="Note 3 2 3 8 2 4" xfId="15508" xr:uid="{A9D2205A-9E29-4A71-BEE8-BE4778B9C982}"/>
    <cellStyle name="Note 3 2 3 8 3" xfId="28172" xr:uid="{0023C1E4-F99E-41D2-9B94-8EEC1C01CBE0}"/>
    <cellStyle name="Note 3 2 3 8 4" xfId="19731" xr:uid="{4BE0D69D-9219-457F-B340-7645E5344051}"/>
    <cellStyle name="Note 3 2 3 8 5" xfId="11290" xr:uid="{4B2C2F91-D647-47D3-8D8A-DCCF43CD4807}"/>
    <cellStyle name="Note 3 2 3 9" xfId="4913" xr:uid="{00000000-0005-0000-0000-000092210000}"/>
    <cellStyle name="Note 3 2 3 9 2" xfId="30245" xr:uid="{042FAC45-8050-4EA5-AD10-1A41012B89EC}"/>
    <cellStyle name="Note 3 2 3 9 3" xfId="21804" xr:uid="{9F52F5D5-556C-46D9-81E3-7AC7C00DFAD3}"/>
    <cellStyle name="Note 3 2 3 9 4" xfId="13363" xr:uid="{73B614E9-6C7B-42E0-A8CD-665FBE191DEF}"/>
    <cellStyle name="Note 3 2 4" xfId="1014" xr:uid="{00000000-0005-0000-0000-000093210000}"/>
    <cellStyle name="Note 3 2 4 2" xfId="3246" xr:uid="{00000000-0005-0000-0000-000094210000}"/>
    <cellStyle name="Note 3 2 4 2 2" xfId="7468" xr:uid="{00000000-0005-0000-0000-000095210000}"/>
    <cellStyle name="Note 3 2 4 2 2 2" xfId="32800" xr:uid="{C1C2FAC3-CDE2-4C40-825D-0A8C5B31B10E}"/>
    <cellStyle name="Note 3 2 4 2 2 3" xfId="24359" xr:uid="{A6030268-F968-4439-A96D-3C0063FAEBA9}"/>
    <cellStyle name="Note 3 2 4 2 2 4" xfId="15918" xr:uid="{AEEF4384-A344-4949-AE83-1C0D0E272B46}"/>
    <cellStyle name="Note 3 2 4 2 3" xfId="28582" xr:uid="{57AF9EC9-71CB-434A-B838-F2323F0427D3}"/>
    <cellStyle name="Note 3 2 4 2 4" xfId="20141" xr:uid="{A1D664D8-CFF6-4055-8762-8D7082496B76}"/>
    <cellStyle name="Note 3 2 4 2 5" xfId="11700" xr:uid="{90FADF48-871D-4D6E-A594-717673754637}"/>
    <cellStyle name="Note 3 2 4 3" xfId="5323" xr:uid="{00000000-0005-0000-0000-000096210000}"/>
    <cellStyle name="Note 3 2 4 3 2" xfId="30655" xr:uid="{4BD3BD85-3F60-451F-9ECD-6F7F98C6EDAB}"/>
    <cellStyle name="Note 3 2 4 3 3" xfId="22214" xr:uid="{EC062737-3CB2-42D5-8F94-699BAE2D4DF1}"/>
    <cellStyle name="Note 3 2 4 3 4" xfId="13773" xr:uid="{252141C5-2BEC-4BA7-83EE-7FE6C67CB941}"/>
    <cellStyle name="Note 3 2 4 4" xfId="26437" xr:uid="{E20BCAB6-40E9-402E-95AA-BE9260F8C525}"/>
    <cellStyle name="Note 3 2 4 5" xfId="17996" xr:uid="{DDE615D9-D92D-4D8F-B775-07D86DD3E602}"/>
    <cellStyle name="Note 3 2 4 6" xfId="9555" xr:uid="{2A60A71B-AE71-450D-BE81-94114AD450B8}"/>
    <cellStyle name="Note 3 2 5" xfId="1429" xr:uid="{00000000-0005-0000-0000-000097210000}"/>
    <cellStyle name="Note 3 2 5 2" xfId="3659" xr:uid="{00000000-0005-0000-0000-000098210000}"/>
    <cellStyle name="Note 3 2 5 2 2" xfId="7881" xr:uid="{00000000-0005-0000-0000-000099210000}"/>
    <cellStyle name="Note 3 2 5 2 2 2" xfId="33213" xr:uid="{C6A51575-797F-49EF-BE44-E48678CEA763}"/>
    <cellStyle name="Note 3 2 5 2 2 3" xfId="24772" xr:uid="{90632234-03B2-4953-B64B-7DA5EDB4B97E}"/>
    <cellStyle name="Note 3 2 5 2 2 4" xfId="16331" xr:uid="{CCE6347E-DE82-46D0-A4CF-1EE79EC72BB2}"/>
    <cellStyle name="Note 3 2 5 2 3" xfId="28995" xr:uid="{105C55D6-3962-4F99-9EE9-8FE2B1C89E1C}"/>
    <cellStyle name="Note 3 2 5 2 4" xfId="20554" xr:uid="{E1326D31-E3FC-4670-B595-9226CAAC1FBB}"/>
    <cellStyle name="Note 3 2 5 2 5" xfId="12113" xr:uid="{B737BF75-48F2-494F-BB97-735DE35BD4F4}"/>
    <cellStyle name="Note 3 2 5 3" xfId="5736" xr:uid="{00000000-0005-0000-0000-00009A210000}"/>
    <cellStyle name="Note 3 2 5 3 2" xfId="31068" xr:uid="{ED07D4FA-6333-47FE-A68F-9B7A5F7E5499}"/>
    <cellStyle name="Note 3 2 5 3 3" xfId="22627" xr:uid="{2BD5F032-F615-4BB8-B2FA-85516787C5A5}"/>
    <cellStyle name="Note 3 2 5 3 4" xfId="14186" xr:uid="{CDFD0528-439B-4C05-9AE4-7B32050EE3A1}"/>
    <cellStyle name="Note 3 2 5 4" xfId="26850" xr:uid="{ADF6C776-754B-45F6-BC07-E677E261D3C4}"/>
    <cellStyle name="Note 3 2 5 5" xfId="18409" xr:uid="{D5077479-7AEB-4F2F-B59C-893A262E003B}"/>
    <cellStyle name="Note 3 2 5 6" xfId="9968" xr:uid="{B2CC6D5A-D276-482C-9A1A-1E9CA7ED2F31}"/>
    <cellStyle name="Note 3 2 6" xfId="1843" xr:uid="{00000000-0005-0000-0000-00009B210000}"/>
    <cellStyle name="Note 3 2 6 2" xfId="4072" xr:uid="{00000000-0005-0000-0000-00009C210000}"/>
    <cellStyle name="Note 3 2 6 2 2" xfId="8294" xr:uid="{00000000-0005-0000-0000-00009D210000}"/>
    <cellStyle name="Note 3 2 6 2 2 2" xfId="33626" xr:uid="{A10CE108-4F33-4116-A07C-AB8D3F092295}"/>
    <cellStyle name="Note 3 2 6 2 2 3" xfId="25185" xr:uid="{4A9D93AF-1EBA-4C9C-AEC8-6509585D33A9}"/>
    <cellStyle name="Note 3 2 6 2 2 4" xfId="16744" xr:uid="{F972D486-ABA6-4E87-995D-D3012E6489B6}"/>
    <cellStyle name="Note 3 2 6 2 3" xfId="29408" xr:uid="{67ADDE39-DEDC-4F5C-B0FB-5C03E9BFC1E5}"/>
    <cellStyle name="Note 3 2 6 2 4" xfId="20967" xr:uid="{7BE61228-6380-4759-8101-F6FA1EEE523A}"/>
    <cellStyle name="Note 3 2 6 2 5" xfId="12526" xr:uid="{1437A050-2E3E-4A65-91A4-0B3D92378824}"/>
    <cellStyle name="Note 3 2 6 3" xfId="6149" xr:uid="{00000000-0005-0000-0000-00009E210000}"/>
    <cellStyle name="Note 3 2 6 3 2" xfId="31481" xr:uid="{C2519FC0-E8E3-42B0-BED6-7A433F38F43C}"/>
    <cellStyle name="Note 3 2 6 3 3" xfId="23040" xr:uid="{0862D8C5-7313-41BC-8E76-26045647C7FC}"/>
    <cellStyle name="Note 3 2 6 3 4" xfId="14599" xr:uid="{9E8586DA-46D2-47C6-A0CC-482259EDB1BF}"/>
    <cellStyle name="Note 3 2 6 4" xfId="27263" xr:uid="{E4E22DA1-5D3E-4BB3-B4B0-7394FD086372}"/>
    <cellStyle name="Note 3 2 6 5" xfId="18822" xr:uid="{7E150E5F-24BD-4B02-9822-B622BC430FEB}"/>
    <cellStyle name="Note 3 2 6 6" xfId="10381" xr:uid="{73F6C6DD-5F41-40EA-9CB8-E0884F5CF3A3}"/>
    <cellStyle name="Note 3 2 7" xfId="2256" xr:uid="{00000000-0005-0000-0000-00009F210000}"/>
    <cellStyle name="Note 3 2 7 2" xfId="4485" xr:uid="{00000000-0005-0000-0000-0000A0210000}"/>
    <cellStyle name="Note 3 2 7 2 2" xfId="8707" xr:uid="{00000000-0005-0000-0000-0000A1210000}"/>
    <cellStyle name="Note 3 2 7 2 2 2" xfId="34039" xr:uid="{4B07A219-8EB8-42F8-8B1A-F4865EE4A0E0}"/>
    <cellStyle name="Note 3 2 7 2 2 3" xfId="25598" xr:uid="{7BC819AC-8697-4571-A5B1-B64B822EBF49}"/>
    <cellStyle name="Note 3 2 7 2 2 4" xfId="17157" xr:uid="{A73297AD-74C7-43AC-85F9-E3D87CAB1A3B}"/>
    <cellStyle name="Note 3 2 7 2 3" xfId="29821" xr:uid="{7D1EEE82-A63E-494D-8FAE-5C849F44BC06}"/>
    <cellStyle name="Note 3 2 7 2 4" xfId="21380" xr:uid="{1EBDD1F6-66D8-4F09-9619-1C378B7362B2}"/>
    <cellStyle name="Note 3 2 7 2 5" xfId="12939" xr:uid="{68451BDE-A00B-445C-AF54-36EB325052D1}"/>
    <cellStyle name="Note 3 2 7 3" xfId="6562" xr:uid="{00000000-0005-0000-0000-0000A2210000}"/>
    <cellStyle name="Note 3 2 7 3 2" xfId="31894" xr:uid="{348D35F8-073D-490A-ACB6-5C883E7298C3}"/>
    <cellStyle name="Note 3 2 7 3 3" xfId="23453" xr:uid="{C79F2FF4-DE54-4AA2-934A-FADAB8C748F0}"/>
    <cellStyle name="Note 3 2 7 3 4" xfId="15012" xr:uid="{ECB223BC-EE52-4BAC-8065-E047D81C9BA8}"/>
    <cellStyle name="Note 3 2 7 4" xfId="27676" xr:uid="{4A180468-0AE2-4D07-B8BA-3963B731E0ED}"/>
    <cellStyle name="Note 3 2 7 5" xfId="19235" xr:uid="{21D245DD-FF09-480B-B117-9C2FFA0F5BB7}"/>
    <cellStyle name="Note 3 2 7 6" xfId="10794" xr:uid="{98F25304-77E3-4CE5-8665-D8EA608AC876}"/>
    <cellStyle name="Note 3 2 8" xfId="2692" xr:uid="{00000000-0005-0000-0000-0000A3210000}"/>
    <cellStyle name="Note 3 2 8 2" xfId="6975" xr:uid="{00000000-0005-0000-0000-0000A4210000}"/>
    <cellStyle name="Note 3 2 8 2 2" xfId="32307" xr:uid="{99783C55-1667-4DA8-85D4-E2F2C050A44C}"/>
    <cellStyle name="Note 3 2 8 2 3" xfId="23866" xr:uid="{0559CEA2-8B16-4CDC-BD3D-761F3075B3A9}"/>
    <cellStyle name="Note 3 2 8 2 4" xfId="15425" xr:uid="{C0BE1786-1AB4-4EFD-BF0C-16EC39F1D11B}"/>
    <cellStyle name="Note 3 2 8 3" xfId="28089" xr:uid="{ECF59432-38DA-4C62-BA12-F869F606B7F7}"/>
    <cellStyle name="Note 3 2 8 4" xfId="19648" xr:uid="{BACB27AA-F3F7-49B5-9F9A-A2F5639F55DE}"/>
    <cellStyle name="Note 3 2 8 5" xfId="11207" xr:uid="{D50B9B1D-2CD1-4E2D-AB0C-A8231B47E4BF}"/>
    <cellStyle name="Note 3 2 9" xfId="2751" xr:uid="{00000000-0005-0000-0000-0000A5210000}"/>
    <cellStyle name="Note 3 3" xfId="558" xr:uid="{00000000-0005-0000-0000-0000A6210000}"/>
    <cellStyle name="Note 3 3 10" xfId="4914" xr:uid="{00000000-0005-0000-0000-0000A7210000}"/>
    <cellStyle name="Note 3 3 10 2" xfId="30246" xr:uid="{E2D25913-691C-42B8-B7DE-BD8183B3871B}"/>
    <cellStyle name="Note 3 3 10 3" xfId="21805" xr:uid="{9AD93E38-2EF1-4254-B39E-585266EA2F49}"/>
    <cellStyle name="Note 3 3 10 4" xfId="13364" xr:uid="{DB8290DB-9F60-489D-97BF-7E023E586D58}"/>
    <cellStyle name="Note 3 3 11" xfId="26028" xr:uid="{21C21530-57AE-4D33-9A8A-31E08D439D98}"/>
    <cellStyle name="Note 3 3 12" xfId="17587" xr:uid="{77E1D704-588E-4A81-9203-EFD31B895E2F}"/>
    <cellStyle name="Note 3 3 13" xfId="9146" xr:uid="{846C994E-C1BD-4C05-8F42-67DCF946F421}"/>
    <cellStyle name="Note 3 3 2" xfId="559" xr:uid="{00000000-0005-0000-0000-0000A8210000}"/>
    <cellStyle name="Note 3 3 2 10" xfId="26029" xr:uid="{63138856-7990-4C99-9A70-FB38F5358C4A}"/>
    <cellStyle name="Note 3 3 2 11" xfId="17588" xr:uid="{0FD6C663-C345-4CA1-BF09-4A3675BB8F92}"/>
    <cellStyle name="Note 3 3 2 12" xfId="9147" xr:uid="{22C73A61-3463-4B67-9197-1623FF2F9EC8}"/>
    <cellStyle name="Note 3 3 2 2" xfId="1019" xr:uid="{00000000-0005-0000-0000-0000A9210000}"/>
    <cellStyle name="Note 3 3 2 2 2" xfId="3251" xr:uid="{00000000-0005-0000-0000-0000AA210000}"/>
    <cellStyle name="Note 3 3 2 2 2 2" xfId="7473" xr:uid="{00000000-0005-0000-0000-0000AB210000}"/>
    <cellStyle name="Note 3 3 2 2 2 2 2" xfId="32805" xr:uid="{129934B9-EA10-45C0-838A-4EE9E114869A}"/>
    <cellStyle name="Note 3 3 2 2 2 2 3" xfId="24364" xr:uid="{5DD9921D-3854-451B-8214-190E339EE6E9}"/>
    <cellStyle name="Note 3 3 2 2 2 2 4" xfId="15923" xr:uid="{2123D4FF-943B-4415-ACE1-ABDA38CACFF0}"/>
    <cellStyle name="Note 3 3 2 2 2 3" xfId="28587" xr:uid="{370261CD-C237-4B75-BEEA-38EF8AB63357}"/>
    <cellStyle name="Note 3 3 2 2 2 4" xfId="20146" xr:uid="{24EFAFA7-EB85-4DFF-972A-6A72F66629A8}"/>
    <cellStyle name="Note 3 3 2 2 2 5" xfId="11705" xr:uid="{C3FC2D2D-9801-4B4B-8D61-3D15D42F3425}"/>
    <cellStyle name="Note 3 3 2 2 3" xfId="5328" xr:uid="{00000000-0005-0000-0000-0000AC210000}"/>
    <cellStyle name="Note 3 3 2 2 3 2" xfId="30660" xr:uid="{CC3F2144-CBD0-47D7-BCEB-4EFAF29801AE}"/>
    <cellStyle name="Note 3 3 2 2 3 3" xfId="22219" xr:uid="{B0F63D8A-EB1F-4717-A993-0C174AF9CCC8}"/>
    <cellStyle name="Note 3 3 2 2 3 4" xfId="13778" xr:uid="{5C6163C4-026E-4738-B3C3-D8A272236476}"/>
    <cellStyle name="Note 3 3 2 2 4" xfId="26442" xr:uid="{0F1C4FE1-838D-4F24-8C72-76F1620F702A}"/>
    <cellStyle name="Note 3 3 2 2 5" xfId="18001" xr:uid="{04257B49-E370-4B1F-81AC-14F82A071713}"/>
    <cellStyle name="Note 3 3 2 2 6" xfId="9560" xr:uid="{5B926A3E-7242-4E32-8667-DB2143D87F94}"/>
    <cellStyle name="Note 3 3 2 3" xfId="1434" xr:uid="{00000000-0005-0000-0000-0000AD210000}"/>
    <cellStyle name="Note 3 3 2 3 2" xfId="3664" xr:uid="{00000000-0005-0000-0000-0000AE210000}"/>
    <cellStyle name="Note 3 3 2 3 2 2" xfId="7886" xr:uid="{00000000-0005-0000-0000-0000AF210000}"/>
    <cellStyle name="Note 3 3 2 3 2 2 2" xfId="33218" xr:uid="{4B44E0E0-FAE2-424F-8F24-9B040331CC74}"/>
    <cellStyle name="Note 3 3 2 3 2 2 3" xfId="24777" xr:uid="{CE798DF4-7B5C-487B-8CC7-03277AF8E77B}"/>
    <cellStyle name="Note 3 3 2 3 2 2 4" xfId="16336" xr:uid="{94BB2330-9231-4AA3-8967-7C6B623DF47F}"/>
    <cellStyle name="Note 3 3 2 3 2 3" xfId="29000" xr:uid="{85CE087A-0079-45F5-B78E-ACA23418978E}"/>
    <cellStyle name="Note 3 3 2 3 2 4" xfId="20559" xr:uid="{9B7B7CEE-616C-4EB8-A7AB-973E904DF129}"/>
    <cellStyle name="Note 3 3 2 3 2 5" xfId="12118" xr:uid="{A987E58D-FC6B-4ADD-82F0-7F80EED34FD4}"/>
    <cellStyle name="Note 3 3 2 3 3" xfId="5741" xr:uid="{00000000-0005-0000-0000-0000B0210000}"/>
    <cellStyle name="Note 3 3 2 3 3 2" xfId="31073" xr:uid="{5844731E-EAF2-4613-A2E4-6197F10BE952}"/>
    <cellStyle name="Note 3 3 2 3 3 3" xfId="22632" xr:uid="{016436F8-CC1A-4224-BB75-FE80BA9AD8BF}"/>
    <cellStyle name="Note 3 3 2 3 3 4" xfId="14191" xr:uid="{746B14F5-200E-4FB9-A453-427348C3FAAA}"/>
    <cellStyle name="Note 3 3 2 3 4" xfId="26855" xr:uid="{F27753F4-FD33-4407-A7E7-5D76372E7B24}"/>
    <cellStyle name="Note 3 3 2 3 5" xfId="18414" xr:uid="{09F8EAB7-5D8F-4D26-B8E1-553B246720E0}"/>
    <cellStyle name="Note 3 3 2 3 6" xfId="9973" xr:uid="{21E90A88-1DD6-4580-8BDE-DECE258321BA}"/>
    <cellStyle name="Note 3 3 2 4" xfId="1848" xr:uid="{00000000-0005-0000-0000-0000B1210000}"/>
    <cellStyle name="Note 3 3 2 4 2" xfId="4077" xr:uid="{00000000-0005-0000-0000-0000B2210000}"/>
    <cellStyle name="Note 3 3 2 4 2 2" xfId="8299" xr:uid="{00000000-0005-0000-0000-0000B3210000}"/>
    <cellStyle name="Note 3 3 2 4 2 2 2" xfId="33631" xr:uid="{D7FF668F-CC6B-4EAB-9018-59769E5BC8DA}"/>
    <cellStyle name="Note 3 3 2 4 2 2 3" xfId="25190" xr:uid="{B2592B75-BC28-402F-AD50-8F8B57067895}"/>
    <cellStyle name="Note 3 3 2 4 2 2 4" xfId="16749" xr:uid="{2A14840D-6BF0-4545-A353-199A1C625787}"/>
    <cellStyle name="Note 3 3 2 4 2 3" xfId="29413" xr:uid="{EB9B4D0F-9292-4023-BB93-9DD3429B4C18}"/>
    <cellStyle name="Note 3 3 2 4 2 4" xfId="20972" xr:uid="{576EFFB3-A795-4B79-9ABC-95BA98C76C78}"/>
    <cellStyle name="Note 3 3 2 4 2 5" xfId="12531" xr:uid="{5FC47B9A-8D47-4F42-9CFD-31A0926E709C}"/>
    <cellStyle name="Note 3 3 2 4 3" xfId="6154" xr:uid="{00000000-0005-0000-0000-0000B4210000}"/>
    <cellStyle name="Note 3 3 2 4 3 2" xfId="31486" xr:uid="{CBCDF416-D764-481C-930C-1CF2CDCD919D}"/>
    <cellStyle name="Note 3 3 2 4 3 3" xfId="23045" xr:uid="{E998CD82-228D-4E8C-8818-8648E1B942D0}"/>
    <cellStyle name="Note 3 3 2 4 3 4" xfId="14604" xr:uid="{E76811AB-6229-4311-B45F-8B08401930B0}"/>
    <cellStyle name="Note 3 3 2 4 4" xfId="27268" xr:uid="{AEDAD818-A93C-4348-9527-F698BA03E5E6}"/>
    <cellStyle name="Note 3 3 2 4 5" xfId="18827" xr:uid="{798D44CD-C98E-452D-8447-31C17E1FCEEF}"/>
    <cellStyle name="Note 3 3 2 4 6" xfId="10386" xr:uid="{50B5F377-7220-4E0F-B7D5-1EDFC4EF6F59}"/>
    <cellStyle name="Note 3 3 2 5" xfId="2261" xr:uid="{00000000-0005-0000-0000-0000B5210000}"/>
    <cellStyle name="Note 3 3 2 5 2" xfId="4490" xr:uid="{00000000-0005-0000-0000-0000B6210000}"/>
    <cellStyle name="Note 3 3 2 5 2 2" xfId="8712" xr:uid="{00000000-0005-0000-0000-0000B7210000}"/>
    <cellStyle name="Note 3 3 2 5 2 2 2" xfId="34044" xr:uid="{95FB4FC6-80C4-4D02-844A-22FE8628728C}"/>
    <cellStyle name="Note 3 3 2 5 2 2 3" xfId="25603" xr:uid="{31AE81D8-2D26-448E-8A1D-004D48A134DF}"/>
    <cellStyle name="Note 3 3 2 5 2 2 4" xfId="17162" xr:uid="{91FC7C7C-A2C5-431C-95B9-C25E7AD6545D}"/>
    <cellStyle name="Note 3 3 2 5 2 3" xfId="29826" xr:uid="{3274835B-61EE-4CE4-B0CE-E94CDB479269}"/>
    <cellStyle name="Note 3 3 2 5 2 4" xfId="21385" xr:uid="{10C40D86-B9AB-4D09-809E-E955C58AD83C}"/>
    <cellStyle name="Note 3 3 2 5 2 5" xfId="12944" xr:uid="{C799640C-58ED-4B39-B14A-6712C366AA4E}"/>
    <cellStyle name="Note 3 3 2 5 3" xfId="6567" xr:uid="{00000000-0005-0000-0000-0000B8210000}"/>
    <cellStyle name="Note 3 3 2 5 3 2" xfId="31899" xr:uid="{F6CE7548-57FF-4ECD-BF72-A404B5E67669}"/>
    <cellStyle name="Note 3 3 2 5 3 3" xfId="23458" xr:uid="{33CF0A9C-2B9B-4275-97CE-3B6794699596}"/>
    <cellStyle name="Note 3 3 2 5 3 4" xfId="15017" xr:uid="{922F2F5E-AFEC-4B81-8E9E-25AF8DEACF8B}"/>
    <cellStyle name="Note 3 3 2 5 4" xfId="27681" xr:uid="{D043C935-C714-4069-BBA9-22B5B0EA5EE6}"/>
    <cellStyle name="Note 3 3 2 5 5" xfId="19240" xr:uid="{14E5D7ED-4BFD-4E33-AA73-FF80085B4E63}"/>
    <cellStyle name="Note 3 3 2 5 6" xfId="10799" xr:uid="{5C479248-9000-4E7D-861D-8164DB179136}"/>
    <cellStyle name="Note 3 3 2 6" xfId="2697" xr:uid="{00000000-0005-0000-0000-0000B9210000}"/>
    <cellStyle name="Note 3 3 2 6 2" xfId="6980" xr:uid="{00000000-0005-0000-0000-0000BA210000}"/>
    <cellStyle name="Note 3 3 2 6 2 2" xfId="32312" xr:uid="{51176693-FFA0-431A-A007-D8C86EB6DBA9}"/>
    <cellStyle name="Note 3 3 2 6 2 3" xfId="23871" xr:uid="{8C097404-7FC2-4FC4-AA69-75187A861B51}"/>
    <cellStyle name="Note 3 3 2 6 2 4" xfId="15430" xr:uid="{0254175B-22D1-4C60-A40B-3F45FCE3C80E}"/>
    <cellStyle name="Note 3 3 2 6 3" xfId="28094" xr:uid="{B073C311-5014-4F4E-B42E-666CFE629E59}"/>
    <cellStyle name="Note 3 3 2 6 4" xfId="19653" xr:uid="{DA054873-03AC-4195-B571-4274421364BF}"/>
    <cellStyle name="Note 3 3 2 6 5" xfId="11212" xr:uid="{3DAE3566-2CFD-4D39-92DE-7162383FABAA}"/>
    <cellStyle name="Note 3 3 2 7" xfId="2756" xr:uid="{00000000-0005-0000-0000-0000BB210000}"/>
    <cellStyle name="Note 3 3 2 8" xfId="2837" xr:uid="{00000000-0005-0000-0000-0000BC210000}"/>
    <cellStyle name="Note 3 3 2 8 2" xfId="7060" xr:uid="{00000000-0005-0000-0000-0000BD210000}"/>
    <cellStyle name="Note 3 3 2 8 2 2" xfId="32392" xr:uid="{74887FA6-A8F1-481E-8779-2FE471F05CD8}"/>
    <cellStyle name="Note 3 3 2 8 2 3" xfId="23951" xr:uid="{E55B4F0B-F242-40CB-8FB0-5A12D18C1EE2}"/>
    <cellStyle name="Note 3 3 2 8 2 4" xfId="15510" xr:uid="{83316174-E791-4C8C-9042-F6362A689C4C}"/>
    <cellStyle name="Note 3 3 2 8 3" xfId="28174" xr:uid="{92B13149-4D17-4488-ABA5-A356221C1308}"/>
    <cellStyle name="Note 3 3 2 8 4" xfId="19733" xr:uid="{D6AC77D7-AAD3-4CD8-B222-23BF50E6608C}"/>
    <cellStyle name="Note 3 3 2 8 5" xfId="11292" xr:uid="{FB2D3387-4CA8-4336-9BBD-BDE5B3EE053C}"/>
    <cellStyle name="Note 3 3 2 9" xfId="4915" xr:uid="{00000000-0005-0000-0000-0000BE210000}"/>
    <cellStyle name="Note 3 3 2 9 2" xfId="30247" xr:uid="{DA8E6897-FCF4-4964-A9EA-111ABAA5F2EC}"/>
    <cellStyle name="Note 3 3 2 9 3" xfId="21806" xr:uid="{31C4812F-1CB2-41D1-B851-EB84F846120A}"/>
    <cellStyle name="Note 3 3 2 9 4" xfId="13365" xr:uid="{0DE6ECDF-A41B-4F8C-9A3D-56F8513110ED}"/>
    <cellStyle name="Note 3 3 3" xfId="1018" xr:uid="{00000000-0005-0000-0000-0000BF210000}"/>
    <cellStyle name="Note 3 3 3 2" xfId="3250" xr:uid="{00000000-0005-0000-0000-0000C0210000}"/>
    <cellStyle name="Note 3 3 3 2 2" xfId="7472" xr:uid="{00000000-0005-0000-0000-0000C1210000}"/>
    <cellStyle name="Note 3 3 3 2 2 2" xfId="32804" xr:uid="{13840D30-0CFC-4F07-AB17-A811788B120B}"/>
    <cellStyle name="Note 3 3 3 2 2 3" xfId="24363" xr:uid="{8A9BCA09-6DF3-42F9-932D-EA36FD62AB4F}"/>
    <cellStyle name="Note 3 3 3 2 2 4" xfId="15922" xr:uid="{E7DD9CC0-0E2C-479C-9A04-BBDF4550FDCE}"/>
    <cellStyle name="Note 3 3 3 2 3" xfId="28586" xr:uid="{06634836-E9A7-471A-98C9-F7CA8849AE75}"/>
    <cellStyle name="Note 3 3 3 2 4" xfId="20145" xr:uid="{C3CD68A0-99D0-4285-9619-BFD90897102E}"/>
    <cellStyle name="Note 3 3 3 2 5" xfId="11704" xr:uid="{482343A7-37BB-43D3-843C-7B5A1DECFE71}"/>
    <cellStyle name="Note 3 3 3 3" xfId="5327" xr:uid="{00000000-0005-0000-0000-0000C2210000}"/>
    <cellStyle name="Note 3 3 3 3 2" xfId="30659" xr:uid="{C235553A-4299-441B-846C-6F13CFE7B53A}"/>
    <cellStyle name="Note 3 3 3 3 3" xfId="22218" xr:uid="{16B49999-25F0-4F16-BCFB-592E336411C9}"/>
    <cellStyle name="Note 3 3 3 3 4" xfId="13777" xr:uid="{5FDCEC65-8027-49B9-9311-ADCA51370B3C}"/>
    <cellStyle name="Note 3 3 3 4" xfId="26441" xr:uid="{D3E8820B-0C3E-4D37-BE20-DCE839ADC2A1}"/>
    <cellStyle name="Note 3 3 3 5" xfId="18000" xr:uid="{9A145196-70FA-4E11-8A1D-B7A6D85F60B3}"/>
    <cellStyle name="Note 3 3 3 6" xfId="9559" xr:uid="{E355B3A2-5606-44B3-9DFD-06A53E8FBD4E}"/>
    <cellStyle name="Note 3 3 4" xfId="1433" xr:uid="{00000000-0005-0000-0000-0000C3210000}"/>
    <cellStyle name="Note 3 3 4 2" xfId="3663" xr:uid="{00000000-0005-0000-0000-0000C4210000}"/>
    <cellStyle name="Note 3 3 4 2 2" xfId="7885" xr:uid="{00000000-0005-0000-0000-0000C5210000}"/>
    <cellStyle name="Note 3 3 4 2 2 2" xfId="33217" xr:uid="{BF4FD5E0-DE3B-42C9-8002-F1DF96F14E97}"/>
    <cellStyle name="Note 3 3 4 2 2 3" xfId="24776" xr:uid="{606EE6D5-C045-4AD5-8C93-D70234B35572}"/>
    <cellStyle name="Note 3 3 4 2 2 4" xfId="16335" xr:uid="{F1C3D23F-D71D-479D-A4B5-38A5AC4196F3}"/>
    <cellStyle name="Note 3 3 4 2 3" xfId="28999" xr:uid="{20AFF5DB-75BD-4065-A9FD-51F6410746F9}"/>
    <cellStyle name="Note 3 3 4 2 4" xfId="20558" xr:uid="{203A3FA1-D34F-4ED9-AEBF-4F75FE50C7E1}"/>
    <cellStyle name="Note 3 3 4 2 5" xfId="12117" xr:uid="{31875550-E966-43DD-BE77-469F69BA997B}"/>
    <cellStyle name="Note 3 3 4 3" xfId="5740" xr:uid="{00000000-0005-0000-0000-0000C6210000}"/>
    <cellStyle name="Note 3 3 4 3 2" xfId="31072" xr:uid="{159BBD85-B17A-417A-87C0-5CFEFA5BBFC9}"/>
    <cellStyle name="Note 3 3 4 3 3" xfId="22631" xr:uid="{797C3458-6FFA-4208-8E22-61656EB4D2AD}"/>
    <cellStyle name="Note 3 3 4 3 4" xfId="14190" xr:uid="{56129505-1F71-4FBA-828B-2217A9F27EE5}"/>
    <cellStyle name="Note 3 3 4 4" xfId="26854" xr:uid="{E26907F5-AF30-48E1-95DB-049251FD215C}"/>
    <cellStyle name="Note 3 3 4 5" xfId="18413" xr:uid="{C5A052B3-E243-4C34-B6CC-607DF5F428E7}"/>
    <cellStyle name="Note 3 3 4 6" xfId="9972" xr:uid="{C944BB73-C3BF-4050-BB86-850850041B89}"/>
    <cellStyle name="Note 3 3 5" xfId="1847" xr:uid="{00000000-0005-0000-0000-0000C7210000}"/>
    <cellStyle name="Note 3 3 5 2" xfId="4076" xr:uid="{00000000-0005-0000-0000-0000C8210000}"/>
    <cellStyle name="Note 3 3 5 2 2" xfId="8298" xr:uid="{00000000-0005-0000-0000-0000C9210000}"/>
    <cellStyle name="Note 3 3 5 2 2 2" xfId="33630" xr:uid="{D756F4FD-050A-4D3B-BEF3-E5D113E1D99A}"/>
    <cellStyle name="Note 3 3 5 2 2 3" xfId="25189" xr:uid="{8A2FAADB-8D47-4A36-BEE3-5093DC65810F}"/>
    <cellStyle name="Note 3 3 5 2 2 4" xfId="16748" xr:uid="{9BD9A401-FB6D-49DE-A589-CECE25B9655F}"/>
    <cellStyle name="Note 3 3 5 2 3" xfId="29412" xr:uid="{ED5F6F4B-993E-4007-93A4-62DB7FB7D206}"/>
    <cellStyle name="Note 3 3 5 2 4" xfId="20971" xr:uid="{4603D30C-4B64-4244-A552-9648494F5AC6}"/>
    <cellStyle name="Note 3 3 5 2 5" xfId="12530" xr:uid="{8E46D58D-392D-4415-B498-2982311109C1}"/>
    <cellStyle name="Note 3 3 5 3" xfId="6153" xr:uid="{00000000-0005-0000-0000-0000CA210000}"/>
    <cellStyle name="Note 3 3 5 3 2" xfId="31485" xr:uid="{C9565F14-9B1F-41BF-9D74-38320AB6412E}"/>
    <cellStyle name="Note 3 3 5 3 3" xfId="23044" xr:uid="{97445BD9-10A7-47DB-B50C-CB8EF49838B4}"/>
    <cellStyle name="Note 3 3 5 3 4" xfId="14603" xr:uid="{B94F9407-24E6-457B-98C8-26E56FDF5C74}"/>
    <cellStyle name="Note 3 3 5 4" xfId="27267" xr:uid="{4B62CA5F-2B0A-4568-B887-6BAE0A3434F8}"/>
    <cellStyle name="Note 3 3 5 5" xfId="18826" xr:uid="{3BBB0208-ABF3-4285-B199-89A805CBBDC5}"/>
    <cellStyle name="Note 3 3 5 6" xfId="10385" xr:uid="{FBE063A7-B2DB-4A15-94BE-F1ED1582DC49}"/>
    <cellStyle name="Note 3 3 6" xfId="2260" xr:uid="{00000000-0005-0000-0000-0000CB210000}"/>
    <cellStyle name="Note 3 3 6 2" xfId="4489" xr:uid="{00000000-0005-0000-0000-0000CC210000}"/>
    <cellStyle name="Note 3 3 6 2 2" xfId="8711" xr:uid="{00000000-0005-0000-0000-0000CD210000}"/>
    <cellStyle name="Note 3 3 6 2 2 2" xfId="34043" xr:uid="{BBA50262-C7BE-4F0D-8477-8F5F8812ECF0}"/>
    <cellStyle name="Note 3 3 6 2 2 3" xfId="25602" xr:uid="{F0129883-5492-41F9-BA30-65AACF129AAD}"/>
    <cellStyle name="Note 3 3 6 2 2 4" xfId="17161" xr:uid="{5524E404-EA1C-439F-9954-F6739F1131C0}"/>
    <cellStyle name="Note 3 3 6 2 3" xfId="29825" xr:uid="{A05F3708-C1E3-4F3D-AA09-C0FEAD39CFA1}"/>
    <cellStyle name="Note 3 3 6 2 4" xfId="21384" xr:uid="{F8EC1220-07E2-4AFA-AF47-27C4B309AFD9}"/>
    <cellStyle name="Note 3 3 6 2 5" xfId="12943" xr:uid="{C90D3D4E-5C89-4062-B0C1-272385DDC6D9}"/>
    <cellStyle name="Note 3 3 6 3" xfId="6566" xr:uid="{00000000-0005-0000-0000-0000CE210000}"/>
    <cellStyle name="Note 3 3 6 3 2" xfId="31898" xr:uid="{99BA828F-0B85-4B77-BE9C-97AA149D8BB5}"/>
    <cellStyle name="Note 3 3 6 3 3" xfId="23457" xr:uid="{D3F24743-BDC2-4E9E-87B9-0F46FB506BDF}"/>
    <cellStyle name="Note 3 3 6 3 4" xfId="15016" xr:uid="{64A6B9D1-5919-4E71-AB4B-1B2E8EA90E1B}"/>
    <cellStyle name="Note 3 3 6 4" xfId="27680" xr:uid="{A51DBDDE-BF90-41BE-B6FC-3313E40628E8}"/>
    <cellStyle name="Note 3 3 6 5" xfId="19239" xr:uid="{198C6B3B-EF17-4ACC-98E7-0313420B8C4B}"/>
    <cellStyle name="Note 3 3 6 6" xfId="10798" xr:uid="{352C876F-9AA7-48B6-ADD6-C44D08B8B468}"/>
    <cellStyle name="Note 3 3 7" xfId="2696" xr:uid="{00000000-0005-0000-0000-0000CF210000}"/>
    <cellStyle name="Note 3 3 7 2" xfId="6979" xr:uid="{00000000-0005-0000-0000-0000D0210000}"/>
    <cellStyle name="Note 3 3 7 2 2" xfId="32311" xr:uid="{18F7A696-4D5E-4F8C-A270-536BA52A8FC8}"/>
    <cellStyle name="Note 3 3 7 2 3" xfId="23870" xr:uid="{0E81A909-E8F7-4B8F-9465-313466EC1CA6}"/>
    <cellStyle name="Note 3 3 7 2 4" xfId="15429" xr:uid="{53B1A9D2-396A-44EA-8C1B-9FB6A241E040}"/>
    <cellStyle name="Note 3 3 7 3" xfId="28093" xr:uid="{FAD2C257-C5D7-4A3F-869B-D2D5E94CD41B}"/>
    <cellStyle name="Note 3 3 7 4" xfId="19652" xr:uid="{FBCD0D0A-CF08-4E8E-BA39-F864E79968F6}"/>
    <cellStyle name="Note 3 3 7 5" xfId="11211" xr:uid="{A6D93AB6-4869-4E87-98E3-68219345E5DF}"/>
    <cellStyle name="Note 3 3 8" xfId="2755" xr:uid="{00000000-0005-0000-0000-0000D1210000}"/>
    <cellStyle name="Note 3 3 9" xfId="2836" xr:uid="{00000000-0005-0000-0000-0000D2210000}"/>
    <cellStyle name="Note 3 3 9 2" xfId="7059" xr:uid="{00000000-0005-0000-0000-0000D3210000}"/>
    <cellStyle name="Note 3 3 9 2 2" xfId="32391" xr:uid="{B532E895-D88F-4F17-9874-785CA209ADEA}"/>
    <cellStyle name="Note 3 3 9 2 3" xfId="23950" xr:uid="{2BC502F0-2B27-4ADD-8F87-1319DA93C691}"/>
    <cellStyle name="Note 3 3 9 2 4" xfId="15509" xr:uid="{63F8ACDB-2A06-46C0-9B31-18EF7D8D0057}"/>
    <cellStyle name="Note 3 3 9 3" xfId="28173" xr:uid="{D8326689-6977-46DB-9F49-F21C583070D1}"/>
    <cellStyle name="Note 3 3 9 4" xfId="19732" xr:uid="{177197DE-5E80-4951-870F-D9AE93D2754B}"/>
    <cellStyle name="Note 3 3 9 5" xfId="11291" xr:uid="{93A62584-344A-4B4D-9933-A7B4A4F1A9BF}"/>
    <cellStyle name="Note 3 4" xfId="560" xr:uid="{00000000-0005-0000-0000-0000D4210000}"/>
    <cellStyle name="Note 3 4 10" xfId="26030" xr:uid="{4E4BF12B-2515-4B9A-84FA-846990AB1D3B}"/>
    <cellStyle name="Note 3 4 11" xfId="17589" xr:uid="{A5BBD66E-21EB-4FD7-878D-1ECF25AC099D}"/>
    <cellStyle name="Note 3 4 12" xfId="9148" xr:uid="{A1B558DF-671F-4CEC-92F5-6453D4920CC6}"/>
    <cellStyle name="Note 3 4 2" xfId="1020" xr:uid="{00000000-0005-0000-0000-0000D5210000}"/>
    <cellStyle name="Note 3 4 2 2" xfId="3252" xr:uid="{00000000-0005-0000-0000-0000D6210000}"/>
    <cellStyle name="Note 3 4 2 2 2" xfId="7474" xr:uid="{00000000-0005-0000-0000-0000D7210000}"/>
    <cellStyle name="Note 3 4 2 2 2 2" xfId="32806" xr:uid="{22AAF761-1EF2-4772-B8F2-0D5E9C583C47}"/>
    <cellStyle name="Note 3 4 2 2 2 3" xfId="24365" xr:uid="{5CB844EC-BB5C-4AFC-BF29-67E999EED36F}"/>
    <cellStyle name="Note 3 4 2 2 2 4" xfId="15924" xr:uid="{AFF51417-DB2D-46FB-9208-C9B129E0478B}"/>
    <cellStyle name="Note 3 4 2 2 3" xfId="28588" xr:uid="{3577AAD5-B2FE-43F2-9C26-EF8A2770E135}"/>
    <cellStyle name="Note 3 4 2 2 4" xfId="20147" xr:uid="{C18D5F33-FAC1-42CB-839A-907BC3126CE4}"/>
    <cellStyle name="Note 3 4 2 2 5" xfId="11706" xr:uid="{F116D337-3F3F-4643-BC8A-03EA4C4A1B46}"/>
    <cellStyle name="Note 3 4 2 3" xfId="5329" xr:uid="{00000000-0005-0000-0000-0000D8210000}"/>
    <cellStyle name="Note 3 4 2 3 2" xfId="30661" xr:uid="{F0047ED8-DFD9-46D6-BC80-87A41E0D920D}"/>
    <cellStyle name="Note 3 4 2 3 3" xfId="22220" xr:uid="{CEDB48A0-3A55-45B5-8BF6-FA078D271347}"/>
    <cellStyle name="Note 3 4 2 3 4" xfId="13779" xr:uid="{18F9E678-3450-44F9-B757-640E24DB145F}"/>
    <cellStyle name="Note 3 4 2 4" xfId="26443" xr:uid="{F57B9DB3-36D4-4C69-B28D-826947E4DEE5}"/>
    <cellStyle name="Note 3 4 2 5" xfId="18002" xr:uid="{FB71BE26-11E3-4F8C-891D-4F8B345AF9CA}"/>
    <cellStyle name="Note 3 4 2 6" xfId="9561" xr:uid="{FBA9BBE0-FC58-4F29-8107-1D313A184222}"/>
    <cellStyle name="Note 3 4 3" xfId="1435" xr:uid="{00000000-0005-0000-0000-0000D9210000}"/>
    <cellStyle name="Note 3 4 3 2" xfId="3665" xr:uid="{00000000-0005-0000-0000-0000DA210000}"/>
    <cellStyle name="Note 3 4 3 2 2" xfId="7887" xr:uid="{00000000-0005-0000-0000-0000DB210000}"/>
    <cellStyle name="Note 3 4 3 2 2 2" xfId="33219" xr:uid="{DB8B089C-2491-4E5C-9CD1-F6D83AFB9586}"/>
    <cellStyle name="Note 3 4 3 2 2 3" xfId="24778" xr:uid="{141514C3-FB62-4ADE-9FD2-B502D9EE4958}"/>
    <cellStyle name="Note 3 4 3 2 2 4" xfId="16337" xr:uid="{232213CF-E6DF-47AC-903D-BEBD0A5A2082}"/>
    <cellStyle name="Note 3 4 3 2 3" xfId="29001" xr:uid="{363C85F5-E1A6-4121-A309-112CE59E5A66}"/>
    <cellStyle name="Note 3 4 3 2 4" xfId="20560" xr:uid="{E74AC8B2-963A-40C8-B704-E6B7D9BEBFD9}"/>
    <cellStyle name="Note 3 4 3 2 5" xfId="12119" xr:uid="{8C276271-87FE-469D-B181-45E0E8038FAC}"/>
    <cellStyle name="Note 3 4 3 3" xfId="5742" xr:uid="{00000000-0005-0000-0000-0000DC210000}"/>
    <cellStyle name="Note 3 4 3 3 2" xfId="31074" xr:uid="{BD6893BF-BC10-4AA5-9A5A-B29917BAE10B}"/>
    <cellStyle name="Note 3 4 3 3 3" xfId="22633" xr:uid="{DE24863F-AB19-415B-A12C-7F82D221340F}"/>
    <cellStyle name="Note 3 4 3 3 4" xfId="14192" xr:uid="{04CDAFA9-02C9-46A3-9F00-C796CE3076E3}"/>
    <cellStyle name="Note 3 4 3 4" xfId="26856" xr:uid="{D916BF4E-6DC8-4079-B051-EEFC1608B9CA}"/>
    <cellStyle name="Note 3 4 3 5" xfId="18415" xr:uid="{71E40194-CFF9-48B5-9ABB-DDD89257035D}"/>
    <cellStyle name="Note 3 4 3 6" xfId="9974" xr:uid="{97E7752C-88F3-4367-9A2B-7131866FED07}"/>
    <cellStyle name="Note 3 4 4" xfId="1849" xr:uid="{00000000-0005-0000-0000-0000DD210000}"/>
    <cellStyle name="Note 3 4 4 2" xfId="4078" xr:uid="{00000000-0005-0000-0000-0000DE210000}"/>
    <cellStyle name="Note 3 4 4 2 2" xfId="8300" xr:uid="{00000000-0005-0000-0000-0000DF210000}"/>
    <cellStyle name="Note 3 4 4 2 2 2" xfId="33632" xr:uid="{6150E23D-BA62-404E-ADC0-3BDC57AC26FE}"/>
    <cellStyle name="Note 3 4 4 2 2 3" xfId="25191" xr:uid="{7581C5BB-2B46-4CFC-A1A3-BA7D07FD9792}"/>
    <cellStyle name="Note 3 4 4 2 2 4" xfId="16750" xr:uid="{812652E1-1886-4C79-A912-349BCC57D69A}"/>
    <cellStyle name="Note 3 4 4 2 3" xfId="29414" xr:uid="{4FA89572-1684-4C5D-9D94-FD3B23BE6792}"/>
    <cellStyle name="Note 3 4 4 2 4" xfId="20973" xr:uid="{C4C45FC5-6FAB-461F-A0ED-58F191DCF559}"/>
    <cellStyle name="Note 3 4 4 2 5" xfId="12532" xr:uid="{527176F1-C77F-45D5-8A83-F8241BA30849}"/>
    <cellStyle name="Note 3 4 4 3" xfId="6155" xr:uid="{00000000-0005-0000-0000-0000E0210000}"/>
    <cellStyle name="Note 3 4 4 3 2" xfId="31487" xr:uid="{A9619DDA-673E-43C4-85A3-726DACC64ECB}"/>
    <cellStyle name="Note 3 4 4 3 3" xfId="23046" xr:uid="{478B2152-8B2F-4354-B9B6-D7F32950016B}"/>
    <cellStyle name="Note 3 4 4 3 4" xfId="14605" xr:uid="{5A057ED1-46D4-4795-ACF9-D59C186748D4}"/>
    <cellStyle name="Note 3 4 4 4" xfId="27269" xr:uid="{63B5CBEC-6B6D-4504-B0F8-CDE360F16F28}"/>
    <cellStyle name="Note 3 4 4 5" xfId="18828" xr:uid="{6391CA3E-DC4D-4524-9E31-FFE5EC202E33}"/>
    <cellStyle name="Note 3 4 4 6" xfId="10387" xr:uid="{2644FFA7-84A1-4811-95EC-7CD3BAA0F317}"/>
    <cellStyle name="Note 3 4 5" xfId="2262" xr:uid="{00000000-0005-0000-0000-0000E1210000}"/>
    <cellStyle name="Note 3 4 5 2" xfId="4491" xr:uid="{00000000-0005-0000-0000-0000E2210000}"/>
    <cellStyle name="Note 3 4 5 2 2" xfId="8713" xr:uid="{00000000-0005-0000-0000-0000E3210000}"/>
    <cellStyle name="Note 3 4 5 2 2 2" xfId="34045" xr:uid="{F58C6F02-8AF0-4A70-865F-FA819B590DD5}"/>
    <cellStyle name="Note 3 4 5 2 2 3" xfId="25604" xr:uid="{88BF55F2-7AC2-468C-B7E7-D802BE496684}"/>
    <cellStyle name="Note 3 4 5 2 2 4" xfId="17163" xr:uid="{5A313181-6E66-49F6-ADFB-454AFAE8D99F}"/>
    <cellStyle name="Note 3 4 5 2 3" xfId="29827" xr:uid="{9BAA4E25-8024-4BB2-8013-A9C28C6F587C}"/>
    <cellStyle name="Note 3 4 5 2 4" xfId="21386" xr:uid="{7E2B990A-A2BA-4E50-96BE-73A193ECA2D5}"/>
    <cellStyle name="Note 3 4 5 2 5" xfId="12945" xr:uid="{E0AB28FA-FFE3-4E0D-96C2-9B15D31A8803}"/>
    <cellStyle name="Note 3 4 5 3" xfId="6568" xr:uid="{00000000-0005-0000-0000-0000E4210000}"/>
    <cellStyle name="Note 3 4 5 3 2" xfId="31900" xr:uid="{A9A37DED-9760-466C-A50B-CF77F4977C82}"/>
    <cellStyle name="Note 3 4 5 3 3" xfId="23459" xr:uid="{8A03F5F3-3CFC-4673-ABC4-EC6B0AB67CFB}"/>
    <cellStyle name="Note 3 4 5 3 4" xfId="15018" xr:uid="{EC06D853-369D-42BB-8788-F8E9546D062F}"/>
    <cellStyle name="Note 3 4 5 4" xfId="27682" xr:uid="{9DF1C8B2-CBA0-49CD-8D70-91E838362677}"/>
    <cellStyle name="Note 3 4 5 5" xfId="19241" xr:uid="{9131C987-6977-4FF8-80A6-1A9E5E6C10B8}"/>
    <cellStyle name="Note 3 4 5 6" xfId="10800" xr:uid="{30BC9761-B3E7-4621-A71B-D58AC17F9A54}"/>
    <cellStyle name="Note 3 4 6" xfId="2698" xr:uid="{00000000-0005-0000-0000-0000E5210000}"/>
    <cellStyle name="Note 3 4 6 2" xfId="6981" xr:uid="{00000000-0005-0000-0000-0000E6210000}"/>
    <cellStyle name="Note 3 4 6 2 2" xfId="32313" xr:uid="{82383CB5-6CE1-4186-AD84-9C8A8E7167AF}"/>
    <cellStyle name="Note 3 4 6 2 3" xfId="23872" xr:uid="{FE7D5DF4-A723-435D-B4F4-2BDE61491C12}"/>
    <cellStyle name="Note 3 4 6 2 4" xfId="15431" xr:uid="{08354847-2FBE-430C-A62C-658425E2A8A9}"/>
    <cellStyle name="Note 3 4 6 3" xfId="28095" xr:uid="{3CB02771-AEE5-4F03-9D4F-33630605EEA4}"/>
    <cellStyle name="Note 3 4 6 4" xfId="19654" xr:uid="{5CF0B643-6D36-4368-8BF6-ADE7A2C1BEA2}"/>
    <cellStyle name="Note 3 4 6 5" xfId="11213" xr:uid="{88DECDFA-8EBF-43B1-85BD-33F934FF4082}"/>
    <cellStyle name="Note 3 4 7" xfId="2757" xr:uid="{00000000-0005-0000-0000-0000E7210000}"/>
    <cellStyle name="Note 3 4 8" xfId="2838" xr:uid="{00000000-0005-0000-0000-0000E8210000}"/>
    <cellStyle name="Note 3 4 8 2" xfId="7061" xr:uid="{00000000-0005-0000-0000-0000E9210000}"/>
    <cellStyle name="Note 3 4 8 2 2" xfId="32393" xr:uid="{F8D0BF5A-FF59-475A-9FBD-408F50CCB580}"/>
    <cellStyle name="Note 3 4 8 2 3" xfId="23952" xr:uid="{63E7993D-B331-45E0-AE38-055699D4BD1B}"/>
    <cellStyle name="Note 3 4 8 2 4" xfId="15511" xr:uid="{B0D83E57-C095-43EA-95FC-AA4CBDDF60B7}"/>
    <cellStyle name="Note 3 4 8 3" xfId="28175" xr:uid="{0109759B-8FAC-4647-A6F6-7086CFD59CB4}"/>
    <cellStyle name="Note 3 4 8 4" xfId="19734" xr:uid="{F32E5FC4-1E66-4D41-B172-BDCD74BAA151}"/>
    <cellStyle name="Note 3 4 8 5" xfId="11293" xr:uid="{C0CBFB30-3EED-42B9-ADEB-6C3F1F94DC5C}"/>
    <cellStyle name="Note 3 4 9" xfId="4916" xr:uid="{00000000-0005-0000-0000-0000EA210000}"/>
    <cellStyle name="Note 3 4 9 2" xfId="30248" xr:uid="{DD337481-6EDE-4FA6-BC38-A4474C405501}"/>
    <cellStyle name="Note 3 4 9 3" xfId="21807" xr:uid="{C7C33B33-68B0-45D9-B7D2-2952F9832EB7}"/>
    <cellStyle name="Note 3 4 9 4" xfId="13366" xr:uid="{F0761855-E239-4469-8F55-AC3B24B2889C}"/>
    <cellStyle name="Note 3 5" xfId="561" xr:uid="{00000000-0005-0000-0000-0000EB210000}"/>
    <cellStyle name="Note 3 5 10" xfId="26031" xr:uid="{7A694F58-B43F-4D40-83A2-23E07E956343}"/>
    <cellStyle name="Note 3 5 11" xfId="17590" xr:uid="{C3C8F006-D282-4559-A10B-3EA747DC0F3F}"/>
    <cellStyle name="Note 3 5 12" xfId="9149" xr:uid="{1A262EE4-1373-4378-9CD9-2DA4B12CDA7E}"/>
    <cellStyle name="Note 3 5 2" xfId="1021" xr:uid="{00000000-0005-0000-0000-0000EC210000}"/>
    <cellStyle name="Note 3 5 2 2" xfId="3253" xr:uid="{00000000-0005-0000-0000-0000ED210000}"/>
    <cellStyle name="Note 3 5 2 2 2" xfId="7475" xr:uid="{00000000-0005-0000-0000-0000EE210000}"/>
    <cellStyle name="Note 3 5 2 2 2 2" xfId="32807" xr:uid="{F9BE4D31-BAEA-476B-B30B-B8CE87773EFF}"/>
    <cellStyle name="Note 3 5 2 2 2 3" xfId="24366" xr:uid="{25C3B8E6-A888-4A26-9227-70223F8B051D}"/>
    <cellStyle name="Note 3 5 2 2 2 4" xfId="15925" xr:uid="{62F56774-B53A-49B1-A68B-AA8BD61B2A20}"/>
    <cellStyle name="Note 3 5 2 2 3" xfId="28589" xr:uid="{73A0B37E-2230-4CE7-AA8C-46CAE339D874}"/>
    <cellStyle name="Note 3 5 2 2 4" xfId="20148" xr:uid="{266E5565-AEBB-4471-8B8E-4D2861D5460F}"/>
    <cellStyle name="Note 3 5 2 2 5" xfId="11707" xr:uid="{50F88572-CAC9-4ACF-BB95-5E3219A8A26F}"/>
    <cellStyle name="Note 3 5 2 3" xfId="5330" xr:uid="{00000000-0005-0000-0000-0000EF210000}"/>
    <cellStyle name="Note 3 5 2 3 2" xfId="30662" xr:uid="{0012B9D9-3C0C-4DC6-9011-C42402DEAF8A}"/>
    <cellStyle name="Note 3 5 2 3 3" xfId="22221" xr:uid="{BD1BCD05-6A5A-43D3-9F37-EB29AECFC813}"/>
    <cellStyle name="Note 3 5 2 3 4" xfId="13780" xr:uid="{3E95FF1A-A028-4DED-BEDD-22701399245A}"/>
    <cellStyle name="Note 3 5 2 4" xfId="26444" xr:uid="{746F43F3-50BE-47FD-9EEE-85D261FB150F}"/>
    <cellStyle name="Note 3 5 2 5" xfId="18003" xr:uid="{CC39E66F-C8A2-40B7-868B-5B28A0A06388}"/>
    <cellStyle name="Note 3 5 2 6" xfId="9562" xr:uid="{48E7B77F-0495-435B-9920-171EFFACA8A0}"/>
    <cellStyle name="Note 3 5 3" xfId="1436" xr:uid="{00000000-0005-0000-0000-0000F0210000}"/>
    <cellStyle name="Note 3 5 3 2" xfId="3666" xr:uid="{00000000-0005-0000-0000-0000F1210000}"/>
    <cellStyle name="Note 3 5 3 2 2" xfId="7888" xr:uid="{00000000-0005-0000-0000-0000F2210000}"/>
    <cellStyle name="Note 3 5 3 2 2 2" xfId="33220" xr:uid="{F2E6B0BB-138D-4CF7-BE1F-043015F2D71F}"/>
    <cellStyle name="Note 3 5 3 2 2 3" xfId="24779" xr:uid="{5BFE3879-D7FC-4B76-9750-01CF6B59DF2B}"/>
    <cellStyle name="Note 3 5 3 2 2 4" xfId="16338" xr:uid="{EB253897-C2EF-41CB-960D-B713936FCE67}"/>
    <cellStyle name="Note 3 5 3 2 3" xfId="29002" xr:uid="{53CE6A39-38FA-4329-9971-ED767464BE4C}"/>
    <cellStyle name="Note 3 5 3 2 4" xfId="20561" xr:uid="{89311C0C-FAB2-4761-A588-6C1BDD788134}"/>
    <cellStyle name="Note 3 5 3 2 5" xfId="12120" xr:uid="{FB30A24B-16A4-468F-8F57-B490DE5DD3EF}"/>
    <cellStyle name="Note 3 5 3 3" xfId="5743" xr:uid="{00000000-0005-0000-0000-0000F3210000}"/>
    <cellStyle name="Note 3 5 3 3 2" xfId="31075" xr:uid="{2774E6EF-6FA1-4532-A328-C605E183F25E}"/>
    <cellStyle name="Note 3 5 3 3 3" xfId="22634" xr:uid="{59D10EF0-800F-4445-A733-79A93F484984}"/>
    <cellStyle name="Note 3 5 3 3 4" xfId="14193" xr:uid="{00300A5D-7EE0-42D2-9B0A-6C7EC2621D6F}"/>
    <cellStyle name="Note 3 5 3 4" xfId="26857" xr:uid="{74CE7AC1-1A23-4093-AEE0-ED22143FFA37}"/>
    <cellStyle name="Note 3 5 3 5" xfId="18416" xr:uid="{83F7595B-AFA7-4318-B334-636DE296131F}"/>
    <cellStyle name="Note 3 5 3 6" xfId="9975" xr:uid="{56F91B80-1F08-4D7E-B6E3-076B2E8280D1}"/>
    <cellStyle name="Note 3 5 4" xfId="1850" xr:uid="{00000000-0005-0000-0000-0000F4210000}"/>
    <cellStyle name="Note 3 5 4 2" xfId="4079" xr:uid="{00000000-0005-0000-0000-0000F5210000}"/>
    <cellStyle name="Note 3 5 4 2 2" xfId="8301" xr:uid="{00000000-0005-0000-0000-0000F6210000}"/>
    <cellStyle name="Note 3 5 4 2 2 2" xfId="33633" xr:uid="{B1CB0316-EAB4-4EDF-9CE1-7ABB04BAD623}"/>
    <cellStyle name="Note 3 5 4 2 2 3" xfId="25192" xr:uid="{1B5866B5-D028-40E2-894F-5C2296968F20}"/>
    <cellStyle name="Note 3 5 4 2 2 4" xfId="16751" xr:uid="{DB155897-D90D-4DC0-B1FC-A3D4F24436FF}"/>
    <cellStyle name="Note 3 5 4 2 3" xfId="29415" xr:uid="{67819A61-E77F-4D34-A9BD-1C5EA95C1FF9}"/>
    <cellStyle name="Note 3 5 4 2 4" xfId="20974" xr:uid="{EBBE6C78-AA7C-4142-8768-81A1E0CEF6FC}"/>
    <cellStyle name="Note 3 5 4 2 5" xfId="12533" xr:uid="{15055971-9179-44AE-AC1B-1280364D78E1}"/>
    <cellStyle name="Note 3 5 4 3" xfId="6156" xr:uid="{00000000-0005-0000-0000-0000F7210000}"/>
    <cellStyle name="Note 3 5 4 3 2" xfId="31488" xr:uid="{5B23F484-09E0-4C4A-B2F7-B7CBADF0EB80}"/>
    <cellStyle name="Note 3 5 4 3 3" xfId="23047" xr:uid="{9A52035B-439A-4A6B-BCE6-CF4DB0A857E1}"/>
    <cellStyle name="Note 3 5 4 3 4" xfId="14606" xr:uid="{70C33B8F-9953-47E3-A23F-819A11922983}"/>
    <cellStyle name="Note 3 5 4 4" xfId="27270" xr:uid="{AA30FF90-B03F-418B-B509-8EDE60A6721B}"/>
    <cellStyle name="Note 3 5 4 5" xfId="18829" xr:uid="{6F51811E-6C94-4B54-B0D8-9CA7F39A11CF}"/>
    <cellStyle name="Note 3 5 4 6" xfId="10388" xr:uid="{7B867855-B5E0-4D00-BE72-8B9784E644D8}"/>
    <cellStyle name="Note 3 5 5" xfId="2263" xr:uid="{00000000-0005-0000-0000-0000F8210000}"/>
    <cellStyle name="Note 3 5 5 2" xfId="4492" xr:uid="{00000000-0005-0000-0000-0000F9210000}"/>
    <cellStyle name="Note 3 5 5 2 2" xfId="8714" xr:uid="{00000000-0005-0000-0000-0000FA210000}"/>
    <cellStyle name="Note 3 5 5 2 2 2" xfId="34046" xr:uid="{F112BE1B-F265-4C86-AC35-44F55B52C1C9}"/>
    <cellStyle name="Note 3 5 5 2 2 3" xfId="25605" xr:uid="{7CD19A55-018D-4AE6-BB4E-8AC667B6F15F}"/>
    <cellStyle name="Note 3 5 5 2 2 4" xfId="17164" xr:uid="{DA8CB092-8B4E-402F-A069-9F12D1AD3B74}"/>
    <cellStyle name="Note 3 5 5 2 3" xfId="29828" xr:uid="{3F16A5E0-B5B3-4BF3-8F81-FD07386C6729}"/>
    <cellStyle name="Note 3 5 5 2 4" xfId="21387" xr:uid="{224B5B21-886F-4724-A107-2BE3AAAC63D2}"/>
    <cellStyle name="Note 3 5 5 2 5" xfId="12946" xr:uid="{60F5D67E-3345-4D91-AF4B-A9AEB976C72B}"/>
    <cellStyle name="Note 3 5 5 3" xfId="6569" xr:uid="{00000000-0005-0000-0000-0000FB210000}"/>
    <cellStyle name="Note 3 5 5 3 2" xfId="31901" xr:uid="{94F2ABA6-E8F5-415E-A793-713B38932618}"/>
    <cellStyle name="Note 3 5 5 3 3" xfId="23460" xr:uid="{633723F7-9305-422C-A4EF-83FE681B7604}"/>
    <cellStyle name="Note 3 5 5 3 4" xfId="15019" xr:uid="{62964BCA-D06C-440B-ACA9-84CC5341E304}"/>
    <cellStyle name="Note 3 5 5 4" xfId="27683" xr:uid="{D1B02D09-AB81-4B41-BA5E-C3C2E800F3A1}"/>
    <cellStyle name="Note 3 5 5 5" xfId="19242" xr:uid="{416058AD-54D6-4495-A3BE-8009D75D97F3}"/>
    <cellStyle name="Note 3 5 5 6" xfId="10801" xr:uid="{7F5A0440-8841-4BC5-A3D2-7EC4A30FDBE9}"/>
    <cellStyle name="Note 3 5 6" xfId="2699" xr:uid="{00000000-0005-0000-0000-0000FC210000}"/>
    <cellStyle name="Note 3 5 6 2" xfId="6982" xr:uid="{00000000-0005-0000-0000-0000FD210000}"/>
    <cellStyle name="Note 3 5 6 2 2" xfId="32314" xr:uid="{EA4EF0DD-B2F2-4926-AD59-CD6B2BBE2D98}"/>
    <cellStyle name="Note 3 5 6 2 3" xfId="23873" xr:uid="{8E3DFBE4-F638-473A-B7D3-2D5B9EA04BC7}"/>
    <cellStyle name="Note 3 5 6 2 4" xfId="15432" xr:uid="{FDDFE9F2-1FA7-4741-8E24-EB4896A63534}"/>
    <cellStyle name="Note 3 5 6 3" xfId="28096" xr:uid="{3435E238-F65D-4F06-82A5-9452AE24ECCF}"/>
    <cellStyle name="Note 3 5 6 4" xfId="19655" xr:uid="{E974988C-8A05-4DBB-BE44-3F92D7F000E3}"/>
    <cellStyle name="Note 3 5 6 5" xfId="11214" xr:uid="{10041123-4E28-480E-A1B0-10CBBA7A2A74}"/>
    <cellStyle name="Note 3 5 7" xfId="2758" xr:uid="{00000000-0005-0000-0000-0000FE210000}"/>
    <cellStyle name="Note 3 5 8" xfId="2839" xr:uid="{00000000-0005-0000-0000-0000FF210000}"/>
    <cellStyle name="Note 3 5 8 2" xfId="7062" xr:uid="{00000000-0005-0000-0000-000000220000}"/>
    <cellStyle name="Note 3 5 8 2 2" xfId="32394" xr:uid="{62F5B155-FE7C-4AB3-848D-40E27229B6EB}"/>
    <cellStyle name="Note 3 5 8 2 3" xfId="23953" xr:uid="{D4ACDC39-50A3-41AE-8627-AC31D1C01B6D}"/>
    <cellStyle name="Note 3 5 8 2 4" xfId="15512" xr:uid="{E5DB9F13-A612-49DC-9070-4BAFB8F48D0D}"/>
    <cellStyle name="Note 3 5 8 3" xfId="28176" xr:uid="{E2B1E4F0-AA2B-461A-B3D5-675189EC1CBE}"/>
    <cellStyle name="Note 3 5 8 4" xfId="19735" xr:uid="{1191E5AF-8B9C-46E8-A54A-2CD6C2BE1978}"/>
    <cellStyle name="Note 3 5 8 5" xfId="11294" xr:uid="{BC123081-F463-482C-99BD-70BC03885C9A}"/>
    <cellStyle name="Note 3 5 9" xfId="4917" xr:uid="{00000000-0005-0000-0000-000001220000}"/>
    <cellStyle name="Note 3 5 9 2" xfId="30249" xr:uid="{4E25003F-8E03-4CEB-89FB-3E06D223A141}"/>
    <cellStyle name="Note 3 5 9 3" xfId="21808" xr:uid="{CDD85FA8-575D-46A5-BF42-CA097F345857}"/>
    <cellStyle name="Note 3 5 9 4" xfId="13367" xr:uid="{39666294-A83F-4BD0-9792-872327C50F51}"/>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29832" xr:uid="{243DC6FC-A2BD-4087-BF63-3D41E595AECC}"/>
    <cellStyle name="Percent 3 3" xfId="21391" xr:uid="{5BEE1CB1-3901-410B-BE8C-DAEAB1CBFF50}"/>
    <cellStyle name="Percent 3 4" xfId="12950" xr:uid="{3308C2D5-A208-43A9-BE32-2CC09270F598}"/>
    <cellStyle name="Percent 4" xfId="4502" xr:uid="{00000000-0005-0000-0000-000007220000}"/>
    <cellStyle name="Percent 4 2" xfId="8717" xr:uid="{00000000-0005-0000-0000-000008220000}"/>
    <cellStyle name="Percent 4 2 2" xfId="34049" xr:uid="{8D72AB99-C495-4D05-A002-26A9D8549D62}"/>
    <cellStyle name="Percent 4 2 3" xfId="25608" xr:uid="{5FCA01CD-555E-4807-8843-65C5EF426D30}"/>
    <cellStyle name="Percent 4 2 4" xfId="17167" xr:uid="{0C7E2335-809A-4BF7-8C75-A7AA5188BE16}"/>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3" xfId="34058" xr:uid="{C9CEFC17-0A76-4852-B3FA-DB80B8D3D6A6}"/>
    <cellStyle name="Percent 4 3 2 2 3" xfId="25617" xr:uid="{0FA9583B-87F5-4DDF-8807-97229E796CB7}"/>
    <cellStyle name="Percent 4 3 2 2 4" xfId="17176" xr:uid="{D277EE41-E2DC-4E6C-9897-0622167E34B2}"/>
    <cellStyle name="Percent 4 3 2 3" xfId="34055" xr:uid="{0B970E58-83E5-4B3D-AF0B-502016426425}"/>
    <cellStyle name="Percent 4 3 2 4" xfId="25614" xr:uid="{DF7B880F-A4F3-4BEF-866C-B6364D028FAD}"/>
    <cellStyle name="Percent 4 3 2 5" xfId="17173" xr:uid="{F6D04824-3454-4A90-896B-67D0861B1C6D}"/>
    <cellStyle name="Percent 4 3 3" xfId="34052" xr:uid="{94E2B2C3-5109-44ED-A121-2A7845687644}"/>
    <cellStyle name="Percent 4 3 4" xfId="25611" xr:uid="{05AFC8B8-2073-400A-A118-6A0E470BF79E}"/>
    <cellStyle name="Percent 4 3 5" xfId="17170" xr:uid="{F0C41130-337C-42CD-89A2-30918135CB1C}"/>
    <cellStyle name="Percent 4 4" xfId="29835" xr:uid="{99BB5824-91A1-4753-8EA9-37231A37455B}"/>
    <cellStyle name="Percent 4 5" xfId="21394" xr:uid="{99068BD6-427D-4F68-BD2B-D0EA98F9193A}"/>
    <cellStyle name="Percent 4 6" xfId="12953" xr:uid="{78F573CD-310E-48AA-9AA1-C56C9322AB41}"/>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82550</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2" totalsRowShown="0" headerRowDxfId="122">
  <autoFilter ref="BD2:BF102"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44" totalsRowShown="0" headerRowDxfId="117" dataDxfId="116" headerRowCellStyle="Normal 15" dataCellStyle="Normal 15">
  <autoFilter ref="L19:U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174" workbookViewId="0">
      <selection activeCell="G194" sqref="G194"/>
    </sheetView>
  </sheetViews>
  <sheetFormatPr defaultColWidth="0" defaultRowHeight="12.75" zeroHeight="1"/>
  <cols>
    <col min="1" max="5" width="2.5703125" customWidth="1"/>
    <col min="6" max="6" width="3" customWidth="1"/>
    <col min="7" max="38" width="2.5703125" customWidth="1"/>
    <col min="39" max="16384" width="2.5703125" hidden="1"/>
  </cols>
  <sheetData>
    <row r="1" spans="1:38">
      <c r="A1" s="1272" t="s">
        <v>550</v>
      </c>
      <c r="B1" s="1272"/>
      <c r="C1" s="1272"/>
      <c r="D1" s="1272"/>
      <c r="E1" s="1272"/>
      <c r="F1" s="1272"/>
      <c r="G1" s="1272"/>
      <c r="H1" s="1272"/>
      <c r="I1" s="1272"/>
      <c r="J1" s="1272"/>
      <c r="K1" s="1272"/>
      <c r="L1" s="1272"/>
      <c r="M1" s="1272"/>
      <c r="N1" s="1272"/>
      <c r="O1" s="1272"/>
      <c r="P1" s="1272"/>
      <c r="Q1" s="1272"/>
      <c r="R1" s="1272"/>
      <c r="S1" s="1272"/>
      <c r="T1" s="1272"/>
      <c r="U1" s="1272"/>
      <c r="V1" s="1272"/>
      <c r="W1" s="1272"/>
      <c r="X1" s="1272"/>
      <c r="Y1" s="1272"/>
      <c r="Z1" s="1272"/>
      <c r="AA1" s="1272"/>
      <c r="AB1" s="1272"/>
      <c r="AC1" s="1272"/>
      <c r="AD1" s="1272"/>
      <c r="AE1" s="1272"/>
      <c r="AF1" s="1272"/>
      <c r="AG1" s="1272"/>
      <c r="AH1" s="1272"/>
      <c r="AI1" s="1272"/>
      <c r="AJ1" s="1272"/>
      <c r="AK1" s="1272"/>
      <c r="AL1" s="1272"/>
    </row>
    <row r="2" spans="1:38" ht="13.5" thickBot="1">
      <c r="A2" s="1273"/>
      <c r="B2" s="1273"/>
      <c r="C2" s="1273"/>
      <c r="D2" s="1273"/>
      <c r="E2" s="1273"/>
      <c r="F2" s="1273"/>
      <c r="G2" s="1273"/>
      <c r="H2" s="1273"/>
      <c r="I2" s="1273"/>
      <c r="J2" s="1273"/>
      <c r="K2" s="1273"/>
      <c r="L2" s="1273"/>
      <c r="M2" s="1273"/>
      <c r="N2" s="1273"/>
      <c r="O2" s="1273"/>
      <c r="P2" s="1273"/>
      <c r="Q2" s="1273"/>
      <c r="R2" s="1273"/>
      <c r="S2" s="1273"/>
      <c r="T2" s="1273"/>
      <c r="U2" s="1273"/>
      <c r="V2" s="1273"/>
      <c r="W2" s="1273"/>
      <c r="X2" s="1273"/>
      <c r="Y2" s="1273"/>
      <c r="Z2" s="1273"/>
      <c r="AA2" s="1273"/>
      <c r="AB2" s="1273"/>
      <c r="AC2" s="1273"/>
      <c r="AD2" s="1273"/>
      <c r="AE2" s="1273"/>
      <c r="AF2" s="1273"/>
      <c r="AG2" s="1273"/>
      <c r="AH2" s="1273"/>
      <c r="AI2" s="1273"/>
      <c r="AJ2" s="1273"/>
      <c r="AK2" s="1273"/>
      <c r="AL2" s="1273"/>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35" customHeight="1">
      <c r="A7" s="205"/>
      <c r="B7" s="205"/>
      <c r="C7" s="206"/>
      <c r="D7" s="1262" t="s">
        <v>2036</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56"/>
    </row>
    <row r="8" spans="1:38">
      <c r="A8" s="205"/>
      <c r="B8" s="205"/>
      <c r="C8" s="206"/>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56"/>
    </row>
    <row r="9" spans="1:38">
      <c r="A9" s="205"/>
      <c r="B9" s="205"/>
      <c r="C9" s="206"/>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56"/>
    </row>
    <row r="10" spans="1:38">
      <c r="A10" s="205"/>
      <c r="B10" s="205"/>
      <c r="C10" s="206"/>
      <c r="D10" s="456"/>
      <c r="E10" s="456"/>
      <c r="F10" s="456"/>
      <c r="G10" s="456"/>
      <c r="H10" s="456"/>
      <c r="I10" s="456"/>
      <c r="J10" s="456"/>
      <c r="K10" s="456"/>
      <c r="L10" s="456"/>
      <c r="M10" s="456"/>
      <c r="N10" s="456"/>
      <c r="O10" s="456"/>
      <c r="P10" s="456"/>
      <c r="Q10" s="456"/>
      <c r="R10" s="456"/>
      <c r="S10" s="456"/>
      <c r="T10" s="456"/>
      <c r="U10" s="456"/>
      <c r="V10" s="456"/>
      <c r="W10" s="456"/>
      <c r="X10" s="456"/>
      <c r="Y10" s="456"/>
      <c r="Z10" s="456"/>
      <c r="AA10" s="456"/>
      <c r="AB10" s="456"/>
      <c r="AC10" s="456"/>
      <c r="AD10" s="456"/>
      <c r="AE10" s="456"/>
      <c r="AF10" s="456"/>
      <c r="AG10" s="456"/>
      <c r="AH10" s="456"/>
      <c r="AI10" s="456"/>
      <c r="AJ10" s="456"/>
      <c r="AK10" s="456"/>
      <c r="AL10" s="456"/>
    </row>
    <row r="11" spans="1:38" ht="12.95" customHeight="1">
      <c r="A11" s="205"/>
      <c r="B11" s="205"/>
      <c r="C11" s="206"/>
      <c r="D11" s="1262" t="s">
        <v>2037</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56"/>
    </row>
    <row r="12" spans="1:38">
      <c r="A12" s="205"/>
      <c r="B12" s="205"/>
      <c r="C12" s="206"/>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56"/>
    </row>
    <row r="13" spans="1:38">
      <c r="A13" s="205"/>
      <c r="B13" s="205"/>
      <c r="C13" s="206"/>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56"/>
    </row>
    <row r="14" spans="1:38">
      <c r="A14" s="205"/>
      <c r="B14" s="205"/>
      <c r="C14" s="206"/>
      <c r="D14" s="442"/>
      <c r="E14" s="442"/>
      <c r="F14" s="442"/>
      <c r="G14" s="442"/>
      <c r="H14" s="442"/>
      <c r="I14" s="442"/>
      <c r="J14" s="442"/>
      <c r="K14" s="442"/>
      <c r="L14" s="442"/>
      <c r="M14" s="442"/>
      <c r="N14" s="442"/>
      <c r="O14" s="442"/>
      <c r="P14" s="442"/>
      <c r="Q14" s="442"/>
      <c r="R14" s="442"/>
      <c r="S14" s="442"/>
      <c r="T14" s="442"/>
      <c r="U14" s="442"/>
      <c r="V14" s="442"/>
      <c r="W14" s="442"/>
      <c r="X14" s="442"/>
      <c r="Y14" s="442"/>
      <c r="Z14" s="442"/>
      <c r="AA14" s="442"/>
      <c r="AB14" s="442"/>
      <c r="AC14" s="442"/>
      <c r="AD14" s="442"/>
      <c r="AE14" s="442"/>
      <c r="AF14" s="442"/>
      <c r="AG14" s="442"/>
      <c r="AH14" s="442"/>
      <c r="AI14" s="442"/>
      <c r="AJ14" s="442"/>
      <c r="AK14" s="442"/>
      <c r="AL14" s="456"/>
    </row>
    <row r="15" spans="1:38" ht="13.35" customHeight="1">
      <c r="A15" s="205"/>
      <c r="B15" s="205"/>
      <c r="C15" s="206"/>
      <c r="D15" s="1262" t="s">
        <v>2607</v>
      </c>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56"/>
    </row>
    <row r="16" spans="1:38" ht="13.35" customHeight="1">
      <c r="A16" s="205"/>
      <c r="B16" s="205"/>
      <c r="C16" s="206"/>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56"/>
    </row>
    <row r="17" spans="1:38">
      <c r="A17" s="205"/>
      <c r="B17" s="205"/>
      <c r="C17" s="206"/>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456"/>
    </row>
    <row r="18" spans="1:38">
      <c r="A18" s="205"/>
      <c r="B18" s="205"/>
      <c r="C18" s="206"/>
      <c r="D18" s="520" t="s">
        <v>2606</v>
      </c>
      <c r="E18" s="442"/>
      <c r="G18" s="442"/>
      <c r="H18" s="442"/>
      <c r="I18" s="442"/>
      <c r="J18" s="1275" t="s">
        <v>2605</v>
      </c>
      <c r="K18" s="1275"/>
      <c r="L18" s="1275"/>
      <c r="M18" s="1275"/>
      <c r="N18" s="1275"/>
      <c r="O18" s="1275"/>
      <c r="P18" s="1275"/>
      <c r="Q18" s="1275"/>
      <c r="R18" s="1275"/>
      <c r="S18" s="1275"/>
      <c r="T18" s="1275"/>
      <c r="U18" s="1275"/>
      <c r="V18" s="1275"/>
      <c r="W18" s="1275"/>
      <c r="X18" s="1275"/>
      <c r="Y18" s="1275"/>
      <c r="Z18" s="1275"/>
      <c r="AA18" s="1275"/>
      <c r="AB18" s="1275"/>
      <c r="AC18" s="1275"/>
      <c r="AD18" s="1275"/>
      <c r="AE18" s="1275"/>
      <c r="AF18" s="1275"/>
      <c r="AG18" s="1275"/>
      <c r="AH18" s="1275"/>
      <c r="AI18" s="1275"/>
      <c r="AJ18" s="1275"/>
      <c r="AK18" s="1275"/>
      <c r="AL18" s="456"/>
    </row>
    <row r="19" spans="1:38">
      <c r="A19" s="205"/>
      <c r="B19" s="205"/>
      <c r="C19" s="206"/>
      <c r="D19" s="442"/>
      <c r="E19" s="442"/>
      <c r="F19" s="1258"/>
      <c r="G19" s="442"/>
      <c r="H19" s="442"/>
      <c r="I19" s="442"/>
      <c r="J19" s="442"/>
      <c r="K19" s="442"/>
      <c r="L19" s="442"/>
      <c r="M19" s="442"/>
      <c r="N19" s="442"/>
      <c r="O19" s="442"/>
      <c r="P19" s="442"/>
      <c r="Q19" s="442"/>
      <c r="R19" s="442"/>
      <c r="S19" s="442"/>
      <c r="T19" s="442"/>
      <c r="U19" s="442"/>
      <c r="V19" s="442"/>
      <c r="W19" s="442"/>
      <c r="X19" s="442"/>
      <c r="Y19" s="442"/>
      <c r="Z19" s="442"/>
      <c r="AA19" s="442"/>
      <c r="AB19" s="442"/>
      <c r="AC19" s="442"/>
      <c r="AD19" s="442"/>
      <c r="AE19" s="442"/>
      <c r="AF19" s="442"/>
      <c r="AG19" s="442"/>
      <c r="AH19" s="442"/>
      <c r="AI19" s="442"/>
      <c r="AJ19" s="442"/>
      <c r="AK19" s="442"/>
      <c r="AL19" s="456"/>
    </row>
    <row r="20" spans="1:38" ht="13.35" customHeight="1">
      <c r="A20" s="205"/>
      <c r="B20" s="205"/>
      <c r="C20" s="206"/>
      <c r="D20" s="1262" t="s">
        <v>2038</v>
      </c>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05"/>
    </row>
    <row r="21" spans="1:38">
      <c r="A21" s="205"/>
      <c r="B21" s="205"/>
      <c r="C21" s="206"/>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05"/>
    </row>
    <row r="22" spans="1:38">
      <c r="A22" s="205"/>
      <c r="B22" s="205"/>
      <c r="C22" s="206"/>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05"/>
    </row>
    <row r="23" spans="1:38" ht="13.35" customHeight="1">
      <c r="A23" s="205"/>
      <c r="B23" s="205"/>
      <c r="C23" s="206"/>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05"/>
    </row>
    <row r="24" spans="1:38">
      <c r="A24" s="205"/>
      <c r="B24" s="205"/>
      <c r="C24" s="206"/>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05"/>
    </row>
    <row r="25" spans="1:38">
      <c r="A25" s="205"/>
      <c r="B25" s="205"/>
      <c r="C25" s="206"/>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05"/>
    </row>
    <row r="26" spans="1:38">
      <c r="A26" s="205"/>
      <c r="B26" s="205"/>
      <c r="C26" s="206"/>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05"/>
    </row>
    <row r="27" spans="1:38">
      <c r="A27" s="205"/>
      <c r="B27" s="205"/>
      <c r="C27" s="206"/>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05"/>
    </row>
    <row r="28" spans="1:38">
      <c r="A28" s="205"/>
      <c r="B28" s="205"/>
      <c r="C28" s="206"/>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05"/>
    </row>
    <row r="29" spans="1:38">
      <c r="A29" s="205"/>
      <c r="B29" s="205"/>
      <c r="C29" s="206"/>
      <c r="D29" s="442"/>
      <c r="E29" s="442"/>
      <c r="F29" s="442"/>
      <c r="G29" s="442"/>
      <c r="H29" s="442"/>
      <c r="I29" s="442"/>
      <c r="J29" s="442"/>
      <c r="K29" s="442"/>
      <c r="L29" s="442"/>
      <c r="M29" s="442"/>
      <c r="N29" s="442"/>
      <c r="O29" s="442"/>
      <c r="P29" s="442"/>
      <c r="Q29" s="442"/>
      <c r="R29" s="442"/>
      <c r="S29" s="442"/>
      <c r="T29" s="442"/>
      <c r="U29" s="442"/>
      <c r="V29" s="442"/>
      <c r="W29" s="442"/>
      <c r="X29" s="442"/>
      <c r="Y29" s="442"/>
      <c r="Z29" s="442"/>
      <c r="AA29" s="442"/>
      <c r="AB29" s="442"/>
      <c r="AC29" s="442"/>
      <c r="AD29" s="442"/>
      <c r="AE29" s="442"/>
      <c r="AF29" s="442"/>
      <c r="AG29" s="442"/>
      <c r="AH29" s="442"/>
      <c r="AI29" s="442"/>
      <c r="AJ29" s="442"/>
      <c r="AK29" s="442"/>
      <c r="AL29" s="205"/>
    </row>
    <row r="30" spans="1:38" ht="13.35" customHeight="1">
      <c r="A30" s="205"/>
      <c r="B30" s="205"/>
      <c r="C30" s="206"/>
      <c r="D30" s="1262" t="s">
        <v>2039</v>
      </c>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05"/>
    </row>
    <row r="31" spans="1:38">
      <c r="A31" s="205"/>
      <c r="B31" s="205"/>
      <c r="C31" s="206"/>
      <c r="D31" s="456"/>
      <c r="E31" s="1263" t="s">
        <v>2521</v>
      </c>
      <c r="F31" s="1264"/>
      <c r="G31" s="1264"/>
      <c r="H31" s="1264"/>
      <c r="I31" s="1264"/>
      <c r="J31" s="1264"/>
      <c r="K31" s="1264"/>
      <c r="L31" s="1264"/>
      <c r="M31" s="1264"/>
      <c r="N31" s="1264"/>
      <c r="O31" s="1264"/>
      <c r="P31" s="1264"/>
      <c r="Q31" s="1264"/>
      <c r="R31" s="1264"/>
      <c r="S31" s="1264"/>
      <c r="T31" s="1264"/>
      <c r="U31" s="1264"/>
      <c r="V31" s="1264"/>
      <c r="W31" s="1264"/>
      <c r="X31" s="1264"/>
      <c r="Y31" s="1264"/>
      <c r="Z31" s="1264"/>
      <c r="AA31" s="1264"/>
      <c r="AB31" s="1264"/>
      <c r="AC31" s="1264"/>
      <c r="AD31" s="1264"/>
      <c r="AE31" s="1264"/>
      <c r="AF31" s="1264"/>
      <c r="AG31" s="1264"/>
      <c r="AH31" s="1264"/>
      <c r="AI31" s="1264"/>
      <c r="AJ31" s="1264"/>
      <c r="AK31" s="1264"/>
      <c r="AL31" s="205"/>
    </row>
    <row r="32" spans="1:38">
      <c r="A32" s="4"/>
      <c r="C32" s="2"/>
    </row>
    <row r="33" spans="1:38">
      <c r="A33" s="4"/>
      <c r="D33" s="1274" t="s">
        <v>2143</v>
      </c>
      <c r="E33" s="1274"/>
      <c r="F33" s="1274"/>
      <c r="G33" s="1274"/>
      <c r="H33" s="1274"/>
      <c r="I33" s="1274"/>
      <c r="J33" s="1274"/>
      <c r="K33" s="1274"/>
      <c r="L33" s="1274"/>
      <c r="M33" s="1274"/>
      <c r="N33" s="1274"/>
      <c r="O33" s="1274"/>
      <c r="P33" s="1274"/>
      <c r="Q33" s="1274"/>
      <c r="R33" s="1274"/>
      <c r="S33" s="1274"/>
      <c r="T33" s="1274"/>
      <c r="U33" s="1274"/>
      <c r="V33" s="1274"/>
      <c r="W33" s="1274"/>
      <c r="X33" s="1274"/>
      <c r="Y33" s="1274"/>
      <c r="Z33" s="1274"/>
      <c r="AA33" s="1274"/>
      <c r="AB33" s="1274"/>
      <c r="AC33" s="1274"/>
      <c r="AD33" s="1274"/>
      <c r="AE33" s="1274"/>
      <c r="AF33" s="1274"/>
      <c r="AG33" s="1274"/>
      <c r="AH33" s="1274"/>
      <c r="AI33" s="1274"/>
      <c r="AJ33" s="1274"/>
      <c r="AK33" s="1274"/>
    </row>
    <row r="34" spans="1:38">
      <c r="A34" s="4"/>
      <c r="D34" s="1274"/>
      <c r="E34" s="1274"/>
      <c r="F34" s="1274"/>
      <c r="G34" s="1274"/>
      <c r="H34" s="1274"/>
      <c r="I34" s="1274"/>
      <c r="J34" s="1274"/>
      <c r="K34" s="1274"/>
      <c r="L34" s="1274"/>
      <c r="M34" s="1274"/>
      <c r="N34" s="1274"/>
      <c r="O34" s="1274"/>
      <c r="P34" s="1274"/>
      <c r="Q34" s="1274"/>
      <c r="R34" s="1274"/>
      <c r="S34" s="1274"/>
      <c r="T34" s="1274"/>
      <c r="U34" s="1274"/>
      <c r="V34" s="1274"/>
      <c r="W34" s="1274"/>
      <c r="X34" s="1274"/>
      <c r="Y34" s="1274"/>
      <c r="Z34" s="1274"/>
      <c r="AA34" s="1274"/>
      <c r="AB34" s="1274"/>
      <c r="AC34" s="1274"/>
      <c r="AD34" s="1274"/>
      <c r="AE34" s="1274"/>
      <c r="AF34" s="1274"/>
      <c r="AG34" s="1274"/>
      <c r="AH34" s="1274"/>
      <c r="AI34" s="1274"/>
      <c r="AJ34" s="1274"/>
      <c r="AK34" s="1274"/>
    </row>
    <row r="35" spans="1:38">
      <c r="A35" s="4"/>
      <c r="D35" s="120"/>
      <c r="E35" s="1269" t="s">
        <v>2046</v>
      </c>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0"/>
      <c r="E36" s="1269" t="s">
        <v>2047</v>
      </c>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2" customFormat="1" ht="13.35" customHeight="1">
      <c r="A40" s="4"/>
      <c r="B40"/>
      <c r="C40" s="2"/>
      <c r="D40" s="4"/>
      <c r="E40" s="4" t="s">
        <v>653</v>
      </c>
      <c r="F40" s="1262" t="s">
        <v>1164</v>
      </c>
    </row>
    <row r="41" spans="1:38" s="1262" customFormat="1" ht="13.35" customHeight="1">
      <c r="A41" s="4"/>
      <c r="B41"/>
      <c r="C41" s="2"/>
      <c r="D41" s="4"/>
      <c r="E41" s="4"/>
    </row>
    <row r="42" spans="1:38">
      <c r="A42" s="4"/>
      <c r="C42" s="2"/>
      <c r="D42" s="4"/>
      <c r="E42" s="4"/>
      <c r="F42" s="35" t="s">
        <v>687</v>
      </c>
      <c r="G42" s="4" t="s">
        <v>176</v>
      </c>
      <c r="H42" s="456"/>
      <c r="I42" s="456"/>
      <c r="J42" s="456"/>
      <c r="K42" s="456"/>
      <c r="L42" s="456"/>
      <c r="M42" s="456"/>
      <c r="N42" s="456"/>
      <c r="O42" s="456"/>
      <c r="P42" s="456"/>
      <c r="Q42" s="456"/>
      <c r="R42" s="456"/>
      <c r="S42" s="456"/>
      <c r="T42" s="456"/>
      <c r="U42" s="456"/>
      <c r="V42" s="456"/>
      <c r="W42" s="456"/>
      <c r="X42" s="456"/>
      <c r="Y42" s="456"/>
      <c r="Z42" s="456"/>
      <c r="AA42" s="456"/>
      <c r="AB42" s="456"/>
      <c r="AC42" s="456"/>
      <c r="AD42" s="456"/>
      <c r="AE42" s="456"/>
      <c r="AF42" s="456"/>
      <c r="AG42" s="456"/>
      <c r="AH42" s="456"/>
      <c r="AI42" s="456"/>
      <c r="AJ42" s="456"/>
      <c r="AK42" s="456"/>
    </row>
    <row r="43" spans="1:38" s="118" customFormat="1" ht="13.35" customHeight="1">
      <c r="A43" s="4"/>
      <c r="B43"/>
      <c r="C43" s="2"/>
      <c r="D43" s="4"/>
      <c r="E43" s="3" t="s">
        <v>348</v>
      </c>
      <c r="F43" s="1268" t="s">
        <v>1246</v>
      </c>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row>
    <row r="44" spans="1:38" s="118" customFormat="1">
      <c r="A44" s="4"/>
      <c r="B44"/>
      <c r="C44" s="2"/>
      <c r="D44" s="4"/>
      <c r="E44" s="4"/>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row>
    <row r="45" spans="1:38" s="118" customFormat="1" ht="13.35" customHeight="1">
      <c r="A45" s="4"/>
      <c r="B45"/>
      <c r="C45" s="2"/>
      <c r="D45" s="4"/>
      <c r="E45" s="4"/>
      <c r="F45" s="1268"/>
      <c r="G45" s="1268"/>
      <c r="H45" s="1268"/>
      <c r="I45" s="1268"/>
      <c r="J45" s="1268"/>
      <c r="K45" s="1268"/>
      <c r="L45" s="1268"/>
      <c r="M45" s="1268"/>
      <c r="N45" s="1268"/>
      <c r="O45" s="1268"/>
      <c r="P45" s="1268"/>
      <c r="Q45" s="1268"/>
      <c r="R45" s="1268"/>
      <c r="S45" s="1268"/>
      <c r="T45" s="1268"/>
      <c r="U45" s="1268"/>
      <c r="V45" s="1268"/>
      <c r="W45" s="1268"/>
      <c r="X45" s="1268"/>
      <c r="Y45" s="1268"/>
      <c r="Z45" s="1268"/>
      <c r="AA45" s="1268"/>
      <c r="AB45" s="1268"/>
      <c r="AC45" s="1268"/>
      <c r="AD45" s="1268"/>
      <c r="AE45" s="1268"/>
      <c r="AF45" s="1268"/>
      <c r="AG45" s="1268"/>
      <c r="AH45" s="1268"/>
      <c r="AI45" s="1268"/>
      <c r="AJ45" s="1268"/>
      <c r="AK45" s="1268"/>
      <c r="AL45" s="1268"/>
    </row>
    <row r="46" spans="1:38">
      <c r="A46" s="4"/>
      <c r="C46" s="2"/>
      <c r="D46" s="4"/>
      <c r="E46" s="4"/>
      <c r="F46" s="118" t="s">
        <v>687</v>
      </c>
      <c r="G46" s="3" t="s">
        <v>2040</v>
      </c>
      <c r="H46" s="478"/>
      <c r="I46" s="478"/>
      <c r="J46" s="478"/>
      <c r="K46" s="478"/>
      <c r="L46" s="478"/>
      <c r="M46" s="478"/>
      <c r="N46" s="478"/>
      <c r="O46" s="478"/>
      <c r="P46" s="478"/>
      <c r="Q46" s="478"/>
      <c r="R46" s="478"/>
      <c r="S46" s="478"/>
      <c r="T46" s="478"/>
      <c r="U46" s="478"/>
      <c r="V46" s="478"/>
      <c r="W46" s="478"/>
      <c r="X46" s="478"/>
      <c r="Y46" s="478"/>
      <c r="Z46" s="478"/>
      <c r="AA46" s="478"/>
      <c r="AB46" s="478"/>
      <c r="AC46" s="478"/>
      <c r="AD46" s="478"/>
      <c r="AE46" s="478"/>
      <c r="AF46" s="478"/>
      <c r="AG46" s="478"/>
      <c r="AH46" s="478"/>
      <c r="AI46" s="478"/>
      <c r="AJ46" s="478"/>
      <c r="AK46" s="478"/>
      <c r="AL46" s="478"/>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262" t="s">
        <v>2041</v>
      </c>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row>
    <row r="49" spans="1:38">
      <c r="A49" s="4"/>
      <c r="C49" s="2"/>
      <c r="D49" s="4"/>
      <c r="E49" s="4"/>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row>
    <row r="50" spans="1:38">
      <c r="A50" s="4"/>
      <c r="C50" s="2"/>
      <c r="D50" s="4"/>
      <c r="F50" s="1262"/>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35" customHeight="1">
      <c r="A54" s="205"/>
      <c r="B54" s="205"/>
      <c r="C54" s="206"/>
      <c r="D54" s="206"/>
      <c r="E54" s="205"/>
      <c r="F54" s="207" t="s">
        <v>687</v>
      </c>
      <c r="G54" s="1267" t="s">
        <v>1191</v>
      </c>
      <c r="H54" s="1267"/>
      <c r="I54" s="1267"/>
      <c r="J54" s="1267"/>
      <c r="K54" s="1267"/>
      <c r="L54" s="1267"/>
      <c r="M54" s="1267"/>
      <c r="N54" s="1267"/>
      <c r="O54" s="1267"/>
      <c r="P54" s="1267"/>
      <c r="Q54" s="1267"/>
      <c r="R54" s="1267"/>
      <c r="S54" s="1267"/>
      <c r="T54" s="1267"/>
      <c r="U54" s="1267"/>
      <c r="V54" s="1267"/>
      <c r="W54" s="1267"/>
      <c r="X54" s="1267"/>
      <c r="Y54" s="1267"/>
      <c r="Z54" s="1267"/>
      <c r="AA54" s="1267"/>
      <c r="AB54" s="1267"/>
      <c r="AC54" s="1267"/>
      <c r="AD54" s="1267"/>
      <c r="AE54" s="1267"/>
      <c r="AF54" s="1267"/>
      <c r="AG54" s="1267"/>
      <c r="AH54" s="1267"/>
      <c r="AI54" s="1267"/>
      <c r="AJ54" s="1267"/>
      <c r="AK54" s="1267"/>
      <c r="AL54" s="205"/>
    </row>
    <row r="55" spans="1:38" ht="13.35" customHeight="1">
      <c r="A55" s="205"/>
      <c r="B55" s="205"/>
      <c r="C55" s="206"/>
      <c r="D55" s="206"/>
      <c r="E55" s="205"/>
      <c r="F55" s="207"/>
      <c r="G55" s="479" t="s">
        <v>1193</v>
      </c>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205"/>
    </row>
    <row r="56" spans="1:38">
      <c r="A56" s="205"/>
      <c r="B56" s="205"/>
      <c r="C56" s="206"/>
      <c r="D56" s="206"/>
      <c r="E56" s="205"/>
      <c r="F56" s="207"/>
      <c r="G56" s="1267" t="s">
        <v>575</v>
      </c>
      <c r="H56" s="1267"/>
      <c r="I56" s="1267"/>
      <c r="J56" s="453"/>
      <c r="K56" s="453"/>
      <c r="L56" s="453"/>
      <c r="M56" s="453"/>
      <c r="N56" s="453"/>
      <c r="O56" s="453"/>
      <c r="P56" s="453"/>
      <c r="Q56" s="453"/>
      <c r="R56" s="453"/>
      <c r="S56" s="453"/>
      <c r="T56" s="453"/>
      <c r="U56" s="453"/>
      <c r="V56" s="453"/>
      <c r="W56" s="453"/>
      <c r="X56" s="453"/>
      <c r="Y56" s="453"/>
      <c r="Z56" s="453"/>
      <c r="AA56" s="453"/>
      <c r="AB56" s="453"/>
      <c r="AC56" s="453"/>
      <c r="AD56" s="453"/>
      <c r="AE56" s="453"/>
      <c r="AF56" s="453"/>
      <c r="AG56" s="453"/>
      <c r="AH56" s="453"/>
      <c r="AI56" s="453"/>
      <c r="AJ56" s="453"/>
      <c r="AK56" s="453"/>
      <c r="AL56" s="205"/>
    </row>
    <row r="57" spans="1:38" ht="13.35" customHeight="1">
      <c r="A57" s="205"/>
      <c r="B57" s="206"/>
      <c r="C57" s="206"/>
      <c r="D57" s="206"/>
      <c r="E57" s="205"/>
      <c r="F57" s="207" t="s">
        <v>509</v>
      </c>
      <c r="G57" s="1267" t="s">
        <v>2042</v>
      </c>
      <c r="H57" s="1267"/>
      <c r="I57" s="1267"/>
      <c r="J57" s="1267"/>
      <c r="K57" s="1267"/>
      <c r="L57" s="1267"/>
      <c r="M57" s="1267"/>
      <c r="N57" s="1267"/>
      <c r="O57" s="1267"/>
      <c r="P57" s="1267"/>
      <c r="Q57" s="1267"/>
      <c r="R57" s="1267"/>
      <c r="S57" s="1267"/>
      <c r="T57" s="1267"/>
      <c r="U57" s="1267"/>
      <c r="V57" s="1267"/>
      <c r="W57" s="1267"/>
      <c r="X57" s="1267"/>
      <c r="Y57" s="1267"/>
      <c r="Z57" s="1267"/>
      <c r="AA57" s="1267"/>
      <c r="AB57" s="1267"/>
      <c r="AC57" s="1267"/>
      <c r="AD57" s="1267"/>
      <c r="AE57" s="1267"/>
      <c r="AF57" s="1267"/>
      <c r="AG57" s="1267"/>
      <c r="AH57" s="1267"/>
      <c r="AI57" s="1267"/>
      <c r="AJ57" s="1267"/>
      <c r="AK57" s="1267"/>
      <c r="AL57" s="1267"/>
    </row>
    <row r="58" spans="1:38">
      <c r="A58" s="205"/>
      <c r="B58" s="205"/>
      <c r="C58" s="206"/>
      <c r="D58" s="206"/>
      <c r="E58" s="205"/>
      <c r="F58" s="207"/>
      <c r="G58" s="1267"/>
      <c r="H58" s="1267"/>
      <c r="I58" s="1267"/>
      <c r="J58" s="1267"/>
      <c r="K58" s="1267"/>
      <c r="L58" s="1267"/>
      <c r="M58" s="1267"/>
      <c r="N58" s="1267"/>
      <c r="O58" s="1267"/>
      <c r="P58" s="1267"/>
      <c r="Q58" s="1267"/>
      <c r="R58" s="1267"/>
      <c r="S58" s="1267"/>
      <c r="T58" s="1267"/>
      <c r="U58" s="1267"/>
      <c r="V58" s="1267"/>
      <c r="W58" s="1267"/>
      <c r="X58" s="1267"/>
      <c r="Y58" s="1267"/>
      <c r="Z58" s="1267"/>
      <c r="AA58" s="1267"/>
      <c r="AB58" s="1267"/>
      <c r="AC58" s="1267"/>
      <c r="AD58" s="1267"/>
      <c r="AE58" s="1267"/>
      <c r="AF58" s="1267"/>
      <c r="AG58" s="1267"/>
      <c r="AH58" s="1267"/>
      <c r="AI58" s="1267"/>
      <c r="AJ58" s="1267"/>
      <c r="AK58" s="1267"/>
      <c r="AL58" s="1267"/>
    </row>
    <row r="59" spans="1:38">
      <c r="A59" s="205"/>
      <c r="B59" s="205"/>
      <c r="C59" s="206"/>
      <c r="D59" s="206"/>
      <c r="E59" s="205"/>
      <c r="F59" s="207"/>
      <c r="G59" s="480" t="s">
        <v>1279</v>
      </c>
      <c r="H59" s="453"/>
      <c r="I59" s="453"/>
      <c r="J59" s="453"/>
      <c r="K59" s="453"/>
      <c r="L59" s="453"/>
      <c r="M59" s="453"/>
      <c r="N59" s="453"/>
      <c r="O59" s="453"/>
      <c r="P59" s="453"/>
      <c r="Q59" s="453"/>
      <c r="R59" s="453"/>
      <c r="S59" s="453"/>
      <c r="T59" s="453"/>
      <c r="U59" s="453"/>
      <c r="V59" s="453"/>
      <c r="W59" s="453"/>
      <c r="X59" s="453"/>
      <c r="Y59" s="453"/>
      <c r="Z59" s="453"/>
      <c r="AA59" s="453"/>
      <c r="AB59" s="453"/>
      <c r="AC59" s="453"/>
      <c r="AD59" s="453"/>
      <c r="AE59" s="453"/>
      <c r="AF59" s="453"/>
      <c r="AG59" s="453"/>
      <c r="AH59" s="453"/>
      <c r="AI59" s="453"/>
      <c r="AJ59" s="453"/>
      <c r="AK59" s="453"/>
      <c r="AL59" s="205"/>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2" t="s">
        <v>1166</v>
      </c>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row>
    <row r="65" spans="1:37">
      <c r="A65" s="4"/>
      <c r="C65" s="2"/>
      <c r="D65" s="4"/>
      <c r="E65" s="4"/>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row>
    <row r="66" spans="1:37">
      <c r="A66" s="4"/>
      <c r="C66" s="2"/>
      <c r="D66" s="4"/>
      <c r="E66" s="4"/>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35" customHeight="1">
      <c r="A67" s="4"/>
      <c r="C67" s="2"/>
      <c r="D67" s="4"/>
      <c r="E67" s="4"/>
      <c r="F67" t="s">
        <v>509</v>
      </c>
      <c r="G67" s="1262" t="s">
        <v>1167</v>
      </c>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F68" s="27"/>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c r="A69" s="4"/>
      <c r="C69" s="2"/>
      <c r="D69" s="4"/>
      <c r="E69" s="4" t="s">
        <v>348</v>
      </c>
      <c r="F69" s="4" t="s">
        <v>421</v>
      </c>
      <c r="G69" s="456"/>
      <c r="H69" s="456"/>
      <c r="I69" s="456"/>
      <c r="J69" s="456"/>
      <c r="K69" s="456"/>
      <c r="L69" s="456"/>
      <c r="M69" s="456"/>
      <c r="N69" s="456"/>
      <c r="O69" s="456"/>
      <c r="P69" s="456"/>
      <c r="Q69" s="456"/>
      <c r="R69" s="456"/>
      <c r="S69" s="456"/>
      <c r="T69" s="456"/>
      <c r="U69" s="456"/>
      <c r="V69" s="456"/>
      <c r="W69" s="456"/>
      <c r="X69" s="456"/>
      <c r="Y69" s="456"/>
      <c r="Z69" s="456"/>
      <c r="AA69" s="456"/>
      <c r="AB69" s="456"/>
      <c r="AC69" s="456"/>
      <c r="AD69" s="456"/>
      <c r="AE69" s="456"/>
      <c r="AF69" s="456"/>
      <c r="AG69" s="456"/>
      <c r="AH69" s="456"/>
      <c r="AI69" s="456"/>
      <c r="AJ69" s="456"/>
      <c r="AK69" s="456"/>
    </row>
    <row r="70" spans="1:37">
      <c r="A70" s="4"/>
      <c r="C70" s="2"/>
      <c r="D70" s="4"/>
      <c r="E70" s="4"/>
      <c r="F70" s="8" t="s">
        <v>687</v>
      </c>
      <c r="G70" s="1262" t="s">
        <v>1168</v>
      </c>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c r="F71" s="8"/>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row>
    <row r="72" spans="1:37">
      <c r="A72" s="4"/>
      <c r="C72" s="2"/>
      <c r="D72" s="4"/>
      <c r="E72" s="4"/>
      <c r="F72" s="8" t="s">
        <v>509</v>
      </c>
      <c r="G72" s="1262" t="s">
        <v>1169</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2" t="s">
        <v>1170</v>
      </c>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row>
    <row r="81" spans="1:37">
      <c r="A81" s="4"/>
      <c r="C81" s="2"/>
      <c r="D81" s="4"/>
      <c r="E81" s="4"/>
      <c r="F81" s="4"/>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row>
    <row r="82" spans="1:37">
      <c r="A82" s="4"/>
      <c r="C82" s="2"/>
      <c r="D82" s="4"/>
      <c r="E82" s="4"/>
      <c r="F82" s="4"/>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2" t="s">
        <v>1171</v>
      </c>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c r="F85" s="4"/>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row>
    <row r="86" spans="1:37">
      <c r="A86" s="4"/>
      <c r="C86" s="2"/>
      <c r="D86" s="4"/>
      <c r="E86" s="4"/>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265" t="s">
        <v>1172</v>
      </c>
      <c r="H88" s="1265"/>
      <c r="I88" s="1265"/>
      <c r="J88" s="1265"/>
      <c r="K88" s="1265"/>
      <c r="L88" s="1265"/>
      <c r="M88" s="1265"/>
      <c r="N88" s="1265"/>
      <c r="O88" s="1265"/>
      <c r="P88" s="1265"/>
      <c r="Q88" s="1265"/>
      <c r="R88" s="1265"/>
      <c r="S88" s="1265"/>
      <c r="T88" s="1265"/>
      <c r="U88" s="1265"/>
      <c r="V88" s="1265"/>
      <c r="W88" s="1265"/>
      <c r="X88" s="1265"/>
      <c r="Y88" s="1265"/>
      <c r="Z88" s="1265"/>
      <c r="AA88" s="1265"/>
      <c r="AB88" s="1265"/>
      <c r="AC88" s="1265"/>
      <c r="AD88" s="1265"/>
      <c r="AE88" s="1265"/>
      <c r="AF88" s="1265"/>
      <c r="AG88" s="1265"/>
      <c r="AH88" s="1265"/>
      <c r="AI88" s="1265"/>
      <c r="AJ88" s="1265"/>
      <c r="AK88" s="1265"/>
    </row>
    <row r="89" spans="1:37">
      <c r="A89" s="4"/>
      <c r="C89" s="2"/>
      <c r="D89" s="4"/>
      <c r="E89" s="4"/>
      <c r="G89" s="1265"/>
      <c r="H89" s="1265"/>
      <c r="I89" s="1265"/>
      <c r="J89" s="1265"/>
      <c r="K89" s="1265"/>
      <c r="L89" s="1265"/>
      <c r="M89" s="1265"/>
      <c r="N89" s="1265"/>
      <c r="O89" s="1265"/>
      <c r="P89" s="1265"/>
      <c r="Q89" s="1265"/>
      <c r="R89" s="1265"/>
      <c r="S89" s="1265"/>
      <c r="T89" s="1265"/>
      <c r="U89" s="1265"/>
      <c r="V89" s="1265"/>
      <c r="W89" s="1265"/>
      <c r="X89" s="1265"/>
      <c r="Y89" s="1265"/>
      <c r="Z89" s="1265"/>
      <c r="AA89" s="1265"/>
      <c r="AB89" s="1265"/>
      <c r="AC89" s="1265"/>
      <c r="AD89" s="1265"/>
      <c r="AE89" s="1265"/>
      <c r="AF89" s="1265"/>
      <c r="AG89" s="1265"/>
      <c r="AH89" s="1265"/>
      <c r="AI89" s="1265"/>
      <c r="AJ89" s="1265"/>
      <c r="AK89" s="1265"/>
    </row>
    <row r="90" spans="1:37">
      <c r="A90" s="4"/>
      <c r="C90" s="2"/>
      <c r="D90" s="4"/>
      <c r="E90" s="4"/>
      <c r="G90" s="1265"/>
      <c r="H90" s="1265"/>
      <c r="I90" s="1265"/>
      <c r="J90" s="1265"/>
      <c r="K90" s="1265"/>
      <c r="L90" s="1265"/>
      <c r="M90" s="1265"/>
      <c r="N90" s="1265"/>
      <c r="O90" s="1265"/>
      <c r="P90" s="1265"/>
      <c r="Q90" s="1265"/>
      <c r="R90" s="1265"/>
      <c r="S90" s="1265"/>
      <c r="T90" s="1265"/>
      <c r="U90" s="1265"/>
      <c r="V90" s="1265"/>
      <c r="W90" s="1265"/>
      <c r="X90" s="1265"/>
      <c r="Y90" s="1265"/>
      <c r="Z90" s="1265"/>
      <c r="AA90" s="1265"/>
      <c r="AB90" s="1265"/>
      <c r="AC90" s="1265"/>
      <c r="AD90" s="1265"/>
      <c r="AE90" s="1265"/>
      <c r="AF90" s="1265"/>
      <c r="AG90" s="1265"/>
      <c r="AH90" s="1265"/>
      <c r="AI90" s="1265"/>
      <c r="AJ90" s="1265"/>
      <c r="AK90" s="1265"/>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2" t="s">
        <v>1173</v>
      </c>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c r="A93" s="4"/>
      <c r="C93" s="2"/>
      <c r="D93" s="4"/>
      <c r="E93" s="4"/>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row>
    <row r="94" spans="1:37">
      <c r="A94" s="4"/>
      <c r="C94" s="2"/>
      <c r="D94" s="4"/>
      <c r="E94" s="4" t="s">
        <v>904</v>
      </c>
      <c r="F94" s="205" t="s">
        <v>905</v>
      </c>
      <c r="G94" s="205"/>
      <c r="L94" s="4"/>
      <c r="M94" s="4"/>
      <c r="P94" s="4"/>
      <c r="Q94" s="4"/>
      <c r="R94" s="4"/>
      <c r="S94" s="4"/>
      <c r="T94" s="4"/>
      <c r="U94" s="4"/>
      <c r="V94" s="4"/>
      <c r="W94" s="4"/>
      <c r="X94" s="4"/>
      <c r="Y94" s="4"/>
      <c r="Z94" s="4"/>
      <c r="AA94" s="4"/>
      <c r="AB94" s="4"/>
    </row>
    <row r="95" spans="1:37">
      <c r="A95" s="4"/>
      <c r="C95" s="2"/>
      <c r="D95" s="4"/>
      <c r="E95" s="4"/>
      <c r="G95" s="1262" t="s">
        <v>1174</v>
      </c>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row>
    <row r="97" spans="1:38">
      <c r="A97" s="4"/>
      <c r="C97" s="2"/>
      <c r="D97" s="4"/>
      <c r="E97" s="4"/>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D98" s="99"/>
      <c r="E98" s="1266" t="s">
        <v>1175</v>
      </c>
      <c r="F98" s="1266"/>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c r="A99" s="4"/>
      <c r="D99" s="99"/>
      <c r="E99" s="1266"/>
      <c r="F99" s="1266"/>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1186</v>
      </c>
      <c r="H103" s="2"/>
      <c r="I103" s="2"/>
      <c r="K103" s="2"/>
    </row>
    <row r="104" spans="1:38">
      <c r="B104" s="2"/>
      <c r="C104" s="2"/>
      <c r="D104" s="2" t="s">
        <v>207</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378</v>
      </c>
    </row>
    <row r="121" spans="2:10">
      <c r="E121" s="4"/>
      <c r="F121" s="4" t="s">
        <v>1007</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6"/>
      <c r="G132" s="456"/>
      <c r="H132" s="456"/>
      <c r="I132" s="456"/>
      <c r="J132" s="456"/>
      <c r="K132" s="456"/>
      <c r="L132" s="456"/>
      <c r="M132" s="456"/>
      <c r="N132" s="456"/>
      <c r="O132" s="456"/>
      <c r="P132" s="456"/>
      <c r="Q132" s="456"/>
      <c r="R132" s="456"/>
      <c r="S132" s="456"/>
      <c r="T132" s="456"/>
      <c r="U132" s="456"/>
      <c r="V132" s="456"/>
      <c r="W132" s="456"/>
      <c r="X132" s="456"/>
      <c r="Y132" s="456"/>
      <c r="Z132" s="456"/>
      <c r="AA132" s="456"/>
      <c r="AB132" s="456"/>
      <c r="AC132" s="456"/>
      <c r="AD132" s="456"/>
      <c r="AE132" s="456"/>
      <c r="AF132" s="456"/>
      <c r="AG132" s="456"/>
      <c r="AH132" s="456"/>
      <c r="AI132" s="456"/>
      <c r="AJ132" s="456"/>
      <c r="AK132" s="456"/>
    </row>
    <row r="133" spans="4:37">
      <c r="E133" s="119" t="s">
        <v>1256</v>
      </c>
      <c r="F133" s="456"/>
      <c r="G133" s="456"/>
      <c r="H133" s="456"/>
      <c r="I133" s="456"/>
      <c r="J133" s="456"/>
      <c r="K133" s="456"/>
      <c r="L133" s="456"/>
      <c r="M133" s="456"/>
      <c r="N133" s="456"/>
      <c r="O133" s="456"/>
      <c r="P133" s="456"/>
      <c r="Q133" s="456"/>
      <c r="R133" s="456"/>
      <c r="S133" s="456"/>
      <c r="T133" s="456"/>
      <c r="U133" s="456"/>
      <c r="V133" s="456"/>
      <c r="W133" s="456"/>
      <c r="X133" s="456"/>
      <c r="Y133" s="456"/>
      <c r="Z133" s="456"/>
      <c r="AA133" s="456"/>
      <c r="AB133" s="456"/>
      <c r="AC133" s="456"/>
      <c r="AD133" s="456"/>
      <c r="AE133" s="456"/>
      <c r="AF133" s="456"/>
      <c r="AG133" s="456"/>
      <c r="AH133" s="456"/>
      <c r="AI133" s="456"/>
      <c r="AJ133" s="456"/>
      <c r="AK133" s="456"/>
    </row>
    <row r="134" spans="4:37">
      <c r="F134" s="4"/>
    </row>
    <row r="135" spans="4:37">
      <c r="D135" s="2" t="s">
        <v>514</v>
      </c>
      <c r="E135" s="2" t="s">
        <v>517</v>
      </c>
      <c r="F135" s="2"/>
    </row>
    <row r="136" spans="4:37">
      <c r="E136" s="3" t="s">
        <v>1213</v>
      </c>
      <c r="F136" s="4"/>
    </row>
    <row r="137" spans="4:37">
      <c r="F137" s="4"/>
    </row>
    <row r="138" spans="4:37">
      <c r="D138" s="2" t="s">
        <v>303</v>
      </c>
      <c r="E138" s="2" t="s">
        <v>2043</v>
      </c>
      <c r="F138" s="2"/>
      <c r="G138" s="2"/>
      <c r="H138" s="2"/>
    </row>
    <row r="139" spans="4:37">
      <c r="E139" t="s">
        <v>112</v>
      </c>
      <c r="F139" t="s">
        <v>52</v>
      </c>
    </row>
    <row r="140" spans="4:37">
      <c r="E140" t="s">
        <v>113</v>
      </c>
      <c r="F140" t="s">
        <v>466</v>
      </c>
    </row>
    <row r="141" spans="4:37"/>
    <row r="142" spans="4:37">
      <c r="D142" s="2" t="s">
        <v>429</v>
      </c>
      <c r="E142" s="2" t="s">
        <v>2044</v>
      </c>
    </row>
    <row r="143" spans="4:37">
      <c r="E143" s="205" t="s">
        <v>2045</v>
      </c>
      <c r="F143" s="205"/>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2" t="s">
        <v>1176</v>
      </c>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row>
    <row r="206" spans="2:37">
      <c r="B206" s="4"/>
      <c r="C206" s="4"/>
      <c r="D206" s="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5" t="s">
        <v>653</v>
      </c>
      <c r="G253" s="205" t="s">
        <v>811</v>
      </c>
      <c r="I253" s="3"/>
      <c r="K253" s="3"/>
      <c r="L253" s="3"/>
      <c r="M253" s="3"/>
      <c r="N253" s="3"/>
      <c r="O253" s="3"/>
      <c r="Q253" s="4"/>
      <c r="R253" s="4"/>
      <c r="S253" s="4"/>
      <c r="T253" s="4"/>
      <c r="U253" s="4"/>
    </row>
    <row r="254" spans="2:21">
      <c r="B254" s="2"/>
      <c r="C254" s="2"/>
      <c r="E254" s="4"/>
      <c r="F254" s="205"/>
      <c r="G254" s="205" t="s">
        <v>812</v>
      </c>
      <c r="I254" s="3"/>
      <c r="K254" s="3"/>
      <c r="L254" s="3"/>
      <c r="M254" s="3"/>
      <c r="N254" s="3"/>
      <c r="O254" s="3"/>
      <c r="P254" s="3"/>
    </row>
    <row r="255" spans="2:21">
      <c r="B255" s="2"/>
      <c r="C255" s="2"/>
      <c r="E255" s="4"/>
      <c r="F255" s="205" t="s">
        <v>348</v>
      </c>
      <c r="G255" s="205" t="s">
        <v>944</v>
      </c>
      <c r="I255" s="4"/>
      <c r="K255" s="4"/>
      <c r="L255" s="4"/>
      <c r="M255" s="4"/>
      <c r="N255" s="4"/>
      <c r="O255" s="4"/>
      <c r="P255" s="3"/>
    </row>
    <row r="256" spans="2:21">
      <c r="B256" s="2"/>
      <c r="C256" s="2"/>
      <c r="E256" s="4"/>
      <c r="F256" s="205"/>
      <c r="G256" s="205"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5"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50"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2" t="s">
        <v>1155</v>
      </c>
      <c r="G336" s="1262"/>
      <c r="H336" s="1262"/>
      <c r="I336" s="1262"/>
      <c r="J336" s="1262"/>
      <c r="K336" s="1262"/>
      <c r="L336" s="1262"/>
      <c r="M336" s="1262"/>
      <c r="N336" s="1262"/>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row>
    <row r="337" spans="2:37">
      <c r="B337" s="2"/>
      <c r="E337" s="4"/>
      <c r="F337" s="1262"/>
      <c r="G337" s="1262"/>
      <c r="H337" s="1262"/>
      <c r="I337" s="1262"/>
      <c r="J337" s="1262"/>
      <c r="K337" s="1262"/>
      <c r="L337" s="1262"/>
      <c r="M337" s="1262"/>
      <c r="N337" s="1262"/>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row>
    <row r="338" spans="2:37">
      <c r="B338" s="2"/>
      <c r="E338" s="4"/>
      <c r="F338" s="1262"/>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F339" s="4"/>
      <c r="H339" s="4"/>
      <c r="I339" s="4"/>
      <c r="J339" s="4"/>
      <c r="K339" s="4"/>
      <c r="L339" s="4"/>
      <c r="M339" s="4"/>
      <c r="N339" s="4"/>
      <c r="O339" s="4"/>
      <c r="P339" s="4"/>
      <c r="Q339" s="4"/>
      <c r="R339" s="4"/>
      <c r="S339" s="4"/>
    </row>
    <row r="340" spans="2:37">
      <c r="B340" s="2"/>
      <c r="C340" s="2" t="s">
        <v>431</v>
      </c>
      <c r="G340" s="2" t="s">
        <v>1228</v>
      </c>
      <c r="I340" s="2"/>
      <c r="J340" s="4"/>
      <c r="K340" s="4"/>
      <c r="L340" s="4"/>
      <c r="M340" s="4"/>
      <c r="N340" s="4"/>
      <c r="O340" s="4"/>
      <c r="P340" s="4"/>
      <c r="Q340" s="4"/>
      <c r="R340" s="4"/>
      <c r="S340" s="4"/>
    </row>
    <row r="341" spans="2:37" ht="13.35" customHeight="1">
      <c r="B341" s="2"/>
      <c r="E341" s="1267" t="s">
        <v>1235</v>
      </c>
      <c r="F341" s="1267"/>
      <c r="G341" s="1267"/>
      <c r="H341" s="1267"/>
      <c r="I341" s="1267"/>
      <c r="J341" s="1267"/>
      <c r="K341" s="1267"/>
      <c r="L341" s="1267"/>
      <c r="M341" s="1267"/>
      <c r="N341" s="1267"/>
      <c r="O341" s="1267"/>
      <c r="P341" s="1267"/>
      <c r="Q341" s="1267"/>
      <c r="R341" s="1267"/>
      <c r="S341" s="1267"/>
      <c r="T341" s="1267"/>
      <c r="U341" s="1267"/>
      <c r="V341" s="1267"/>
      <c r="W341" s="1267"/>
      <c r="X341" s="1267"/>
      <c r="Y341" s="1267"/>
      <c r="Z341" s="1267"/>
      <c r="AA341" s="1267"/>
      <c r="AB341" s="1267"/>
      <c r="AC341" s="1267"/>
      <c r="AD341" s="1267"/>
      <c r="AE341" s="1267"/>
      <c r="AF341" s="1267"/>
      <c r="AG341" s="1267"/>
      <c r="AH341" s="1267"/>
      <c r="AI341" s="1267"/>
      <c r="AJ341" s="1267"/>
      <c r="AK341" s="1267"/>
    </row>
    <row r="342" spans="2:37">
      <c r="B342" s="2"/>
      <c r="E342" s="1267"/>
      <c r="F342" s="1267"/>
      <c r="G342" s="1267"/>
      <c r="H342" s="1267"/>
      <c r="I342" s="1267"/>
      <c r="J342" s="1267"/>
      <c r="K342" s="1267"/>
      <c r="L342" s="1267"/>
      <c r="M342" s="1267"/>
      <c r="N342" s="1267"/>
      <c r="O342" s="1267"/>
      <c r="P342" s="1267"/>
      <c r="Q342" s="1267"/>
      <c r="R342" s="1267"/>
      <c r="S342" s="1267"/>
      <c r="T342" s="1267"/>
      <c r="U342" s="1267"/>
      <c r="V342" s="1267"/>
      <c r="W342" s="1267"/>
      <c r="X342" s="1267"/>
      <c r="Y342" s="1267"/>
      <c r="Z342" s="1267"/>
      <c r="AA342" s="1267"/>
      <c r="AB342" s="1267"/>
      <c r="AC342" s="1267"/>
      <c r="AD342" s="1267"/>
      <c r="AE342" s="1267"/>
      <c r="AF342" s="1267"/>
      <c r="AG342" s="1267"/>
      <c r="AH342" s="1267"/>
      <c r="AI342" s="1267"/>
      <c r="AJ342" s="1267"/>
      <c r="AK342" s="1267"/>
    </row>
    <row r="343" spans="2:37">
      <c r="B343" s="2"/>
      <c r="E343" s="1267"/>
      <c r="F343" s="1267"/>
      <c r="G343" s="1267"/>
      <c r="H343" s="1267"/>
      <c r="I343" s="1267"/>
      <c r="J343" s="1267"/>
      <c r="K343" s="1267"/>
      <c r="L343" s="1267"/>
      <c r="M343" s="1267"/>
      <c r="N343" s="1267"/>
      <c r="O343" s="1267"/>
      <c r="P343" s="1267"/>
      <c r="Q343" s="1267"/>
      <c r="R343" s="1267"/>
      <c r="S343" s="1267"/>
      <c r="T343" s="1267"/>
      <c r="U343" s="1267"/>
      <c r="V343" s="1267"/>
      <c r="W343" s="1267"/>
      <c r="X343" s="1267"/>
      <c r="Y343" s="1267"/>
      <c r="Z343" s="1267"/>
      <c r="AA343" s="1267"/>
      <c r="AB343" s="1267"/>
      <c r="AC343" s="1267"/>
      <c r="AD343" s="1267"/>
      <c r="AE343" s="1267"/>
      <c r="AF343" s="1267"/>
      <c r="AG343" s="1267"/>
      <c r="AH343" s="1267"/>
      <c r="AI343" s="1267"/>
      <c r="AJ343" s="1267"/>
      <c r="AK343" s="1267"/>
    </row>
    <row r="344" spans="2:37">
      <c r="B344" s="2"/>
      <c r="E344" s="1267"/>
      <c r="F344" s="1267"/>
      <c r="G344" s="1267"/>
      <c r="H344" s="1267"/>
      <c r="I344" s="1267"/>
      <c r="J344" s="1267"/>
      <c r="K344" s="1267"/>
      <c r="L344" s="1267"/>
      <c r="M344" s="1267"/>
      <c r="N344" s="1267"/>
      <c r="O344" s="1267"/>
      <c r="P344" s="1267"/>
      <c r="Q344" s="1267"/>
      <c r="R344" s="1267"/>
      <c r="S344" s="1267"/>
      <c r="T344" s="1267"/>
      <c r="U344" s="1267"/>
      <c r="V344" s="1267"/>
      <c r="W344" s="1267"/>
      <c r="X344" s="1267"/>
      <c r="Y344" s="1267"/>
      <c r="Z344" s="1267"/>
      <c r="AA344" s="1267"/>
      <c r="AB344" s="1267"/>
      <c r="AC344" s="1267"/>
      <c r="AD344" s="1267"/>
      <c r="AE344" s="1267"/>
      <c r="AF344" s="1267"/>
      <c r="AG344" s="1267"/>
      <c r="AH344" s="1267"/>
      <c r="AI344" s="1267"/>
      <c r="AJ344" s="1267"/>
      <c r="AK344" s="1267"/>
    </row>
    <row r="345" spans="2:37">
      <c r="B345" s="2"/>
      <c r="E345" s="1267"/>
      <c r="F345" s="1267"/>
      <c r="G345" s="1267"/>
      <c r="H345" s="1267"/>
      <c r="I345" s="1267"/>
      <c r="J345" s="1267"/>
      <c r="K345" s="1267"/>
      <c r="L345" s="1267"/>
      <c r="M345" s="1267"/>
      <c r="N345" s="1267"/>
      <c r="O345" s="1267"/>
      <c r="P345" s="1267"/>
      <c r="Q345" s="1267"/>
      <c r="R345" s="1267"/>
      <c r="S345" s="1267"/>
      <c r="T345" s="1267"/>
      <c r="U345" s="1267"/>
      <c r="V345" s="1267"/>
      <c r="W345" s="1267"/>
      <c r="X345" s="1267"/>
      <c r="Y345" s="1267"/>
      <c r="Z345" s="1267"/>
      <c r="AA345" s="1267"/>
      <c r="AB345" s="1267"/>
      <c r="AC345" s="1267"/>
      <c r="AD345" s="1267"/>
      <c r="AE345" s="1267"/>
      <c r="AF345" s="1267"/>
      <c r="AG345" s="1267"/>
      <c r="AH345" s="1267"/>
      <c r="AI345" s="1267"/>
      <c r="AJ345" s="1267"/>
      <c r="AK345" s="1267"/>
    </row>
    <row r="346" spans="2:37">
      <c r="B346" s="2"/>
      <c r="E346" s="3" t="s">
        <v>112</v>
      </c>
      <c r="F346" s="1262" t="s">
        <v>1237</v>
      </c>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c r="B347" s="2"/>
      <c r="E347" s="3"/>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c r="B348" s="2"/>
      <c r="E348" s="3"/>
      <c r="F348" s="1262"/>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t="s">
        <v>113</v>
      </c>
      <c r="F350" s="1262" t="s">
        <v>1236</v>
      </c>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F352" s="1262"/>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3"/>
      <c r="E355" s="2"/>
      <c r="M355" s="4"/>
      <c r="N355" s="4"/>
      <c r="O355" s="4"/>
      <c r="P355" s="4"/>
      <c r="Q355" s="4"/>
      <c r="R355" s="4"/>
      <c r="S355" s="4"/>
      <c r="T355" s="4"/>
    </row>
    <row r="356" spans="1:38" ht="13.35" customHeight="1">
      <c r="B356" s="2"/>
      <c r="C356" s="11" t="s">
        <v>1218</v>
      </c>
      <c r="D356" s="5"/>
      <c r="E356" s="5"/>
      <c r="F356" s="5"/>
      <c r="G356" s="5"/>
      <c r="H356" s="5"/>
      <c r="I356" s="453"/>
      <c r="J356" s="453"/>
      <c r="K356" s="453"/>
      <c r="L356" s="453"/>
      <c r="M356" s="453"/>
      <c r="N356" s="453"/>
      <c r="O356" s="453"/>
      <c r="P356" s="453"/>
      <c r="Q356" s="453"/>
      <c r="R356" s="453"/>
      <c r="S356" s="453"/>
      <c r="T356" s="453"/>
      <c r="U356" s="453"/>
      <c r="V356" s="453"/>
      <c r="W356" s="453"/>
      <c r="X356" s="453"/>
      <c r="Y356" s="453"/>
      <c r="Z356" s="453"/>
      <c r="AA356" s="453"/>
      <c r="AB356" s="453"/>
      <c r="AC356" s="453"/>
      <c r="AD356" s="453"/>
      <c r="AE356" s="453"/>
      <c r="AF356" s="453"/>
      <c r="AG356" s="453"/>
      <c r="AH356" s="453"/>
      <c r="AI356" s="453"/>
      <c r="AJ356" s="453"/>
      <c r="AK356" s="453"/>
    </row>
    <row r="357" spans="1:38" ht="13.35" customHeight="1">
      <c r="B357" s="2"/>
      <c r="C357" s="2"/>
      <c r="E357" s="454"/>
      <c r="F357" s="454"/>
      <c r="G357" s="454"/>
      <c r="H357" s="454"/>
      <c r="I357" s="454"/>
      <c r="J357" s="454"/>
      <c r="K357" s="454"/>
      <c r="L357" s="454"/>
      <c r="M357" s="454"/>
      <c r="N357" s="454"/>
      <c r="O357" s="454"/>
      <c r="P357" s="454"/>
      <c r="Q357" s="454"/>
      <c r="R357" s="454"/>
      <c r="S357" s="454"/>
      <c r="T357" s="454"/>
      <c r="U357" s="454"/>
      <c r="V357" s="454"/>
      <c r="W357" s="454"/>
      <c r="X357" s="454"/>
      <c r="Y357" s="454"/>
      <c r="Z357" s="454"/>
      <c r="AA357" s="454"/>
      <c r="AB357" s="454"/>
      <c r="AC357" s="454"/>
      <c r="AD357" s="454"/>
      <c r="AE357" s="454"/>
      <c r="AF357" s="454"/>
      <c r="AG357" s="454"/>
      <c r="AH357" s="454"/>
      <c r="AI357" s="454"/>
      <c r="AJ357" s="454"/>
      <c r="AK357" s="454"/>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70" t="s">
        <v>1226</v>
      </c>
      <c r="F365" s="1270"/>
      <c r="G365" s="1270"/>
      <c r="H365" s="1270"/>
      <c r="I365" s="1270"/>
      <c r="J365" s="1270"/>
      <c r="K365" s="1270"/>
      <c r="L365" s="1270"/>
      <c r="M365" s="1270"/>
      <c r="N365" s="1270"/>
      <c r="O365" s="1270"/>
      <c r="P365" s="1270"/>
      <c r="Q365" s="1270"/>
      <c r="R365" s="1270"/>
      <c r="S365" s="1270"/>
      <c r="T365" s="1270"/>
      <c r="U365" s="1270"/>
      <c r="V365" s="1270"/>
      <c r="W365" s="1270"/>
      <c r="X365" s="1270"/>
      <c r="Y365" s="1270"/>
      <c r="Z365" s="1270"/>
      <c r="AA365" s="1270"/>
      <c r="AB365" s="1270"/>
      <c r="AC365" s="1270"/>
      <c r="AD365" s="1270"/>
      <c r="AE365" s="1270"/>
      <c r="AF365" s="1270"/>
      <c r="AG365" s="1270"/>
      <c r="AH365" s="1270"/>
      <c r="AI365" s="1270"/>
      <c r="AJ365" s="1270"/>
      <c r="AK365" s="1270"/>
      <c r="AL365" s="1270"/>
    </row>
    <row r="366" spans="1:38">
      <c r="B366" s="2"/>
      <c r="E366" s="1270"/>
      <c r="F366" s="1270"/>
      <c r="G366" s="1270"/>
      <c r="H366" s="1270"/>
      <c r="I366" s="1270"/>
      <c r="J366" s="1270"/>
      <c r="K366" s="1270"/>
      <c r="L366" s="1270"/>
      <c r="M366" s="1270"/>
      <c r="N366" s="1270"/>
      <c r="O366" s="1270"/>
      <c r="P366" s="1270"/>
      <c r="Q366" s="1270"/>
      <c r="R366" s="1270"/>
      <c r="S366" s="1270"/>
      <c r="T366" s="1270"/>
      <c r="U366" s="1270"/>
      <c r="V366" s="1270"/>
      <c r="W366" s="1270"/>
      <c r="X366" s="1270"/>
      <c r="Y366" s="1270"/>
      <c r="Z366" s="1270"/>
      <c r="AA366" s="1270"/>
      <c r="AB366" s="1270"/>
      <c r="AC366" s="1270"/>
      <c r="AD366" s="1270"/>
      <c r="AE366" s="1270"/>
      <c r="AF366" s="1270"/>
      <c r="AG366" s="1270"/>
      <c r="AH366" s="1270"/>
      <c r="AI366" s="1270"/>
      <c r="AJ366" s="1270"/>
      <c r="AK366" s="1270"/>
      <c r="AL366" s="1270"/>
    </row>
    <row r="367" spans="1:38" s="1271" customFormat="1">
      <c r="A367"/>
      <c r="B367" s="2"/>
      <c r="C367"/>
      <c r="D367"/>
      <c r="E367" s="1268" t="s">
        <v>1258</v>
      </c>
    </row>
    <row r="368" spans="1:38" s="1271" customFormat="1">
      <c r="A368"/>
      <c r="B368" s="2"/>
      <c r="C368" s="2"/>
      <c r="D368"/>
    </row>
    <row r="369" spans="1:38">
      <c r="B369" s="2"/>
      <c r="E369" s="4"/>
      <c r="F369" s="456"/>
      <c r="G369" s="456"/>
      <c r="H369" s="456"/>
      <c r="I369" s="456"/>
      <c r="J369" s="456"/>
      <c r="K369" s="456"/>
      <c r="L369" s="456"/>
      <c r="M369" s="456"/>
      <c r="N369" s="456"/>
      <c r="O369" s="456"/>
      <c r="P369" s="456"/>
      <c r="Q369" s="456"/>
      <c r="R369" s="456"/>
      <c r="S369" s="456"/>
      <c r="T369" s="456"/>
      <c r="U369" s="456"/>
      <c r="V369" s="456"/>
      <c r="W369" s="456"/>
      <c r="X369" s="456"/>
      <c r="Y369" s="456"/>
      <c r="Z369" s="456"/>
      <c r="AA369" s="456"/>
      <c r="AB369" s="456"/>
      <c r="AC369" s="456"/>
      <c r="AD369" s="456"/>
      <c r="AE369" s="456"/>
      <c r="AF369" s="456"/>
      <c r="AG369" s="456"/>
      <c r="AH369" s="456"/>
      <c r="AI369" s="456"/>
      <c r="AJ369" s="456"/>
      <c r="AK369" s="456"/>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2" t="s">
        <v>1269</v>
      </c>
      <c r="G386" s="1262"/>
      <c r="H386" s="1262"/>
      <c r="I386" s="1262"/>
      <c r="J386" s="1262"/>
      <c r="K386" s="1262"/>
      <c r="L386" s="1262"/>
      <c r="M386" s="1262"/>
      <c r="N386" s="1262"/>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row>
    <row r="387" spans="1:38">
      <c r="B387" s="2"/>
      <c r="E387" s="3"/>
      <c r="F387" s="1262"/>
      <c r="G387" s="1262"/>
      <c r="H387" s="1262"/>
      <c r="I387" s="1262"/>
      <c r="J387" s="1262"/>
      <c r="K387" s="1262"/>
      <c r="L387" s="1262"/>
      <c r="M387" s="1262"/>
      <c r="N387" s="1262"/>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row>
    <row r="388" spans="1:38">
      <c r="B388" s="2"/>
      <c r="E388" s="3"/>
      <c r="F388" s="1262"/>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4"/>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c r="AG389" s="442"/>
      <c r="AH389" s="442"/>
      <c r="AI389" s="442"/>
      <c r="AJ389" s="442"/>
      <c r="AK389" s="442"/>
      <c r="AL389" s="454"/>
    </row>
    <row r="390" spans="1:38">
      <c r="B390" s="2"/>
      <c r="C390" s="2"/>
      <c r="D390" s="2" t="s">
        <v>429</v>
      </c>
      <c r="E390" s="2" t="s">
        <v>1275</v>
      </c>
      <c r="F390" s="3"/>
      <c r="G390" s="2"/>
      <c r="I390" s="120"/>
      <c r="J390" s="3"/>
      <c r="K390" s="3"/>
      <c r="L390" s="3"/>
      <c r="M390" s="3"/>
      <c r="N390" s="3"/>
      <c r="O390" s="3"/>
      <c r="P390" s="3"/>
      <c r="Q390" s="3"/>
      <c r="R390" s="3"/>
      <c r="S390" s="3"/>
    </row>
    <row r="391" spans="1:38" ht="13.35" customHeight="1">
      <c r="B391" s="2"/>
      <c r="D391" s="2"/>
      <c r="E391" s="3" t="s">
        <v>1274</v>
      </c>
      <c r="F391" s="456"/>
      <c r="G391" s="456"/>
      <c r="H391" s="456"/>
      <c r="I391" s="456"/>
      <c r="J391" s="456"/>
      <c r="K391" s="456"/>
      <c r="L391" s="456"/>
      <c r="M391" s="456"/>
      <c r="N391" s="456"/>
      <c r="O391" s="456"/>
      <c r="P391" s="456"/>
      <c r="Q391" s="456"/>
      <c r="R391" s="456"/>
      <c r="S391" s="456"/>
      <c r="T391" s="456"/>
      <c r="U391" s="456"/>
      <c r="V391" s="456"/>
      <c r="W391" s="456"/>
      <c r="X391" s="456"/>
      <c r="Y391" s="456"/>
      <c r="Z391" s="456"/>
      <c r="AA391" s="456"/>
      <c r="AB391" s="456"/>
      <c r="AC391" s="456"/>
      <c r="AD391" s="456"/>
      <c r="AE391" s="456"/>
      <c r="AF391" s="456"/>
      <c r="AG391" s="456"/>
      <c r="AH391" s="456"/>
      <c r="AI391" s="456"/>
      <c r="AJ391" s="456"/>
      <c r="AK391" s="456"/>
    </row>
    <row r="392" spans="1:38">
      <c r="B392" s="2"/>
      <c r="E392" t="s">
        <v>1156</v>
      </c>
      <c r="F392" s="453"/>
      <c r="G392" s="453"/>
      <c r="H392" s="453"/>
      <c r="I392" s="453"/>
      <c r="J392" s="453"/>
      <c r="K392" s="453"/>
      <c r="L392" s="453"/>
      <c r="M392" s="453"/>
      <c r="N392" s="453"/>
      <c r="O392" s="453"/>
      <c r="P392" s="453"/>
      <c r="Q392" s="453"/>
      <c r="R392" s="453"/>
      <c r="S392" s="453"/>
      <c r="T392" s="453"/>
      <c r="U392" s="453"/>
      <c r="V392" s="453"/>
      <c r="W392" s="453"/>
      <c r="X392" s="453"/>
      <c r="Y392" s="453"/>
      <c r="Z392" s="453"/>
      <c r="AA392" s="453"/>
      <c r="AB392" s="453"/>
      <c r="AC392" s="453"/>
      <c r="AD392" s="453"/>
      <c r="AE392" s="453"/>
      <c r="AF392" s="453"/>
      <c r="AG392" s="453"/>
      <c r="AH392" s="453"/>
      <c r="AI392" s="453"/>
      <c r="AJ392" s="453"/>
      <c r="AK392" s="453"/>
      <c r="AL392" s="453"/>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O21" sqref="O21"/>
    </sheetView>
  </sheetViews>
  <sheetFormatPr defaultColWidth="9.140625" defaultRowHeight="14.25"/>
  <cols>
    <col min="1" max="1" width="2.42578125" style="1045" customWidth="1"/>
    <col min="2" max="9" width="14.5703125" style="1045" customWidth="1"/>
    <col min="10" max="10" width="2.42578125" style="1045" customWidth="1"/>
    <col min="11" max="11" width="11.85546875" style="1046" customWidth="1"/>
    <col min="12" max="12" width="10.5703125" style="1045" customWidth="1"/>
    <col min="13" max="13" width="10.42578125" style="1045" customWidth="1"/>
    <col min="14" max="14" width="10.85546875" style="1045" customWidth="1"/>
    <col min="15" max="18" width="9.140625" style="1045"/>
    <col min="19" max="19" width="9.42578125" style="1045" bestFit="1" customWidth="1"/>
    <col min="20" max="16384" width="9.140625" style="1045"/>
  </cols>
  <sheetData>
    <row r="1" spans="1:13" ht="30" customHeight="1">
      <c r="A1" s="2678" t="s">
        <v>1585</v>
      </c>
      <c r="B1" s="2678"/>
      <c r="C1" s="2678"/>
      <c r="D1" s="2678"/>
      <c r="E1" s="2678"/>
      <c r="F1" s="2678"/>
      <c r="G1" s="2678"/>
      <c r="H1" s="2678"/>
      <c r="I1" s="2678"/>
      <c r="J1" s="2678"/>
    </row>
    <row r="2" spans="1:13" ht="15" customHeight="1" thickBot="1">
      <c r="A2" s="1047"/>
      <c r="B2" s="1047"/>
      <c r="I2" s="1048"/>
      <c r="K2" s="1049"/>
    </row>
    <row r="3" spans="1:13" s="1052" customFormat="1" ht="20.100000000000001" customHeight="1">
      <c r="A3" s="1102"/>
      <c r="B3" s="1103"/>
      <c r="C3" s="1104"/>
      <c r="D3" s="1109"/>
      <c r="E3" s="1104"/>
      <c r="F3" s="1105" t="s">
        <v>1991</v>
      </c>
      <c r="G3" s="1104"/>
      <c r="H3" s="1106">
        <f>E18</f>
        <v>33069762</v>
      </c>
      <c r="I3" s="1107"/>
    </row>
    <row r="4" spans="1:13" s="1052" customFormat="1" ht="20.100000000000001" customHeight="1">
      <c r="B4" s="1096"/>
      <c r="D4" s="1110"/>
      <c r="F4" s="1094" t="s">
        <v>1993</v>
      </c>
      <c r="G4" s="1093" t="s">
        <v>1992</v>
      </c>
      <c r="H4" s="1095">
        <f>I18</f>
        <v>14128676.470588235</v>
      </c>
      <c r="I4" s="1097"/>
      <c r="K4" s="1056"/>
    </row>
    <row r="5" spans="1:13" s="1052" customFormat="1" ht="20.100000000000001" customHeight="1" thickBot="1">
      <c r="B5" s="1098"/>
      <c r="C5" s="1099"/>
      <c r="D5" s="1111"/>
      <c r="E5" s="1100"/>
      <c r="F5" s="1111" t="s">
        <v>1942</v>
      </c>
      <c r="G5" s="1112"/>
      <c r="H5" s="1108">
        <f>IFERROR(H3/H4,0)</f>
        <v>2.3406128711943794</v>
      </c>
      <c r="I5" s="1101"/>
      <c r="K5" s="1056"/>
    </row>
    <row r="6" spans="1:13" s="1052" customFormat="1" ht="15" customHeight="1">
      <c r="B6" s="1053"/>
      <c r="C6" s="1054"/>
      <c r="F6" s="1055"/>
      <c r="K6" s="1056"/>
    </row>
    <row r="7" spans="1:13" s="1052" customFormat="1" ht="15" customHeight="1">
      <c r="E7" s="1057"/>
      <c r="F7" s="1055"/>
      <c r="K7" s="1058"/>
    </row>
    <row r="8" spans="1:13" s="1052" customFormat="1" ht="15" customHeight="1">
      <c r="A8" s="1059"/>
      <c r="B8" s="2681" t="s">
        <v>1940</v>
      </c>
      <c r="C8" s="2682"/>
      <c r="D8" s="2682"/>
      <c r="E8" s="2683"/>
      <c r="G8" s="2658" t="s">
        <v>1941</v>
      </c>
      <c r="H8" s="2659"/>
      <c r="I8" s="2660"/>
      <c r="K8" s="1058"/>
    </row>
    <row r="9" spans="1:13" ht="15" customHeight="1">
      <c r="A9" s="1047"/>
      <c r="B9" s="2679" t="s">
        <v>1974</v>
      </c>
      <c r="C9" s="2679"/>
      <c r="D9" s="2679"/>
      <c r="E9" s="1060">
        <f>G33</f>
        <v>4997500</v>
      </c>
      <c r="G9" s="2671" t="s">
        <v>1972</v>
      </c>
      <c r="H9" s="2671"/>
      <c r="I9" s="1061">
        <f>Application!AM554</f>
        <v>16200000</v>
      </c>
      <c r="K9" s="1062"/>
      <c r="M9" s="1063"/>
    </row>
    <row r="10" spans="1:13" ht="15" customHeight="1" thickBot="1">
      <c r="A10" s="1047"/>
      <c r="B10" s="2679" t="s">
        <v>1975</v>
      </c>
      <c r="C10" s="2679"/>
      <c r="D10" s="2679"/>
      <c r="E10" s="1061">
        <f>G47</f>
        <v>22254912</v>
      </c>
      <c r="G10" s="2685" t="s">
        <v>1943</v>
      </c>
      <c r="H10" s="2685"/>
      <c r="I10" s="1142">
        <f>'Basis &amp; Credits'!AB78</f>
        <v>0</v>
      </c>
      <c r="M10" s="1063"/>
    </row>
    <row r="11" spans="1:13" ht="15" customHeight="1">
      <c r="A11" s="1047"/>
      <c r="B11" s="2672" t="s">
        <v>2266</v>
      </c>
      <c r="C11" s="2673"/>
      <c r="D11" s="2674"/>
      <c r="E11" s="1061">
        <f>SUM(E12,E13)</f>
        <v>520000</v>
      </c>
      <c r="G11" s="2670" t="s">
        <v>1983</v>
      </c>
      <c r="H11" s="2670"/>
      <c r="I11" s="1141">
        <f>I9+I10</f>
        <v>16200000</v>
      </c>
      <c r="M11" s="1063"/>
    </row>
    <row r="12" spans="1:13" ht="15" customHeight="1">
      <c r="A12" s="1064"/>
      <c r="B12" s="2680" t="s">
        <v>2268</v>
      </c>
      <c r="C12" s="2680"/>
      <c r="D12" s="2680"/>
      <c r="E12" s="1167">
        <f>G56</f>
        <v>0</v>
      </c>
      <c r="M12" s="1063"/>
    </row>
    <row r="13" spans="1:13" ht="15" customHeight="1">
      <c r="A13" s="1050"/>
      <c r="B13" s="2680" t="s">
        <v>2269</v>
      </c>
      <c r="C13" s="2680"/>
      <c r="D13" s="2680"/>
      <c r="E13" s="1167">
        <f>G65</f>
        <v>520000</v>
      </c>
      <c r="G13" s="2658" t="s">
        <v>2007</v>
      </c>
      <c r="H13" s="2659"/>
      <c r="I13" s="2660"/>
      <c r="M13" s="1063"/>
    </row>
    <row r="14" spans="1:13" ht="15" customHeight="1">
      <c r="A14" s="1050"/>
      <c r="B14" s="2672" t="s">
        <v>2267</v>
      </c>
      <c r="C14" s="2673"/>
      <c r="D14" s="2674"/>
      <c r="E14" s="1169">
        <f>MAX(E15,E16)+E17</f>
        <v>5297350</v>
      </c>
      <c r="G14" s="2671" t="s">
        <v>139</v>
      </c>
      <c r="H14" s="2671"/>
      <c r="I14" s="1065">
        <f>15%*(AND(G120="Yes",G122&lt;&gt;""))</f>
        <v>0</v>
      </c>
      <c r="M14" s="1063"/>
    </row>
    <row r="15" spans="1:13" ht="15" customHeight="1">
      <c r="A15" s="1050"/>
      <c r="B15" s="2655" t="s">
        <v>2273</v>
      </c>
      <c r="C15" s="2656"/>
      <c r="D15" s="2657"/>
      <c r="E15" s="1167">
        <f>G80</f>
        <v>0</v>
      </c>
      <c r="G15" s="1139" t="s">
        <v>1984</v>
      </c>
      <c r="H15" s="1139"/>
      <c r="I15" s="1065">
        <f>IF(Application!AJ1032&gt;0,10%,IF(Application!AJ1036&gt;0,5%,0))</f>
        <v>0</v>
      </c>
      <c r="M15" s="1063"/>
    </row>
    <row r="16" spans="1:13" ht="15" customHeight="1">
      <c r="A16" s="1050"/>
      <c r="B16" s="2655" t="s">
        <v>2272</v>
      </c>
      <c r="C16" s="2656"/>
      <c r="D16" s="2657"/>
      <c r="E16" s="1167">
        <f>G90</f>
        <v>0</v>
      </c>
      <c r="G16" s="2671" t="s">
        <v>1985</v>
      </c>
      <c r="H16" s="2671"/>
      <c r="I16" s="1065">
        <f>G132</f>
        <v>0.127859477124183</v>
      </c>
    </row>
    <row r="17" spans="1:21" ht="15" customHeight="1" thickBot="1">
      <c r="A17" s="1050"/>
      <c r="B17" s="2655" t="s">
        <v>2271</v>
      </c>
      <c r="C17" s="2656"/>
      <c r="D17" s="2657"/>
      <c r="E17" s="1167">
        <f>G115</f>
        <v>5297350</v>
      </c>
      <c r="G17" s="2671" t="s">
        <v>2281</v>
      </c>
      <c r="H17" s="2671"/>
      <c r="I17" s="1065">
        <f>IF(AND(G139="Yes",OR(G136,G137)),IF(G143&gt;15%,15%,G143),0)</f>
        <v>0</v>
      </c>
    </row>
    <row r="18" spans="1:21" ht="15" customHeight="1">
      <c r="A18" s="1047"/>
      <c r="B18" s="2684" t="s">
        <v>1939</v>
      </c>
      <c r="C18" s="2684"/>
      <c r="D18" s="2684"/>
      <c r="E18" s="1113">
        <f>SUM(E9:E11,E14)</f>
        <v>33069762</v>
      </c>
      <c r="G18" s="1140" t="s">
        <v>1973</v>
      </c>
      <c r="H18" s="1140"/>
      <c r="I18" s="1114">
        <f>I11-((I11*I14)+(I11*I15)+(I11*I16)+(I11*I17))</f>
        <v>14128676.470588235</v>
      </c>
      <c r="M18" s="1066">
        <f>SUM(Cdlac[Quantity])</f>
        <v>84</v>
      </c>
      <c r="O18" s="1086" t="s">
        <v>582</v>
      </c>
      <c r="P18" s="1045">
        <f>MATCH(Application!T189,Application!CB160:CB217,0)</f>
        <v>43</v>
      </c>
      <c r="T18" s="1066">
        <f>SUM(Cdlac[Population])</f>
        <v>0</v>
      </c>
    </row>
    <row r="19" spans="1:21" ht="15" customHeight="1">
      <c r="A19" s="1047"/>
      <c r="B19" s="1047"/>
      <c r="C19" s="1047"/>
      <c r="D19" s="1047"/>
      <c r="E19" s="1047"/>
      <c r="L19" s="1045" t="s">
        <v>1935</v>
      </c>
      <c r="M19" s="1045" t="s">
        <v>1934</v>
      </c>
      <c r="N19" s="1045" t="s">
        <v>1946</v>
      </c>
      <c r="O19" s="1045" t="s">
        <v>1947</v>
      </c>
      <c r="P19" s="1045" t="s">
        <v>1936</v>
      </c>
      <c r="Q19" s="1045" t="s">
        <v>2264</v>
      </c>
      <c r="R19" s="1045" t="s">
        <v>1937</v>
      </c>
      <c r="S19" s="1045" t="s">
        <v>1948</v>
      </c>
      <c r="T19" s="1045" t="s">
        <v>1954</v>
      </c>
      <c r="U19" s="1045" t="s">
        <v>385</v>
      </c>
    </row>
    <row r="20" spans="1:21" ht="15" customHeight="1">
      <c r="B20" s="1067" t="str">
        <f>B9</f>
        <v>A. Unit Production Benefit</v>
      </c>
      <c r="C20" s="1068"/>
      <c r="D20" s="1068"/>
      <c r="E20" s="1068"/>
      <c r="F20" s="1068"/>
      <c r="G20" s="1068"/>
      <c r="H20" s="1068"/>
      <c r="I20" s="1069"/>
      <c r="L20" s="1045">
        <f>IFERROR(MIN(4,MATCH(Application!B718,UnitSizes,0)-1),"")</f>
        <v>0</v>
      </c>
      <c r="M20" s="1066">
        <f>Application!G718</f>
        <v>1</v>
      </c>
      <c r="N20" s="1072">
        <f>Application!AC718</f>
        <v>0.25</v>
      </c>
      <c r="O20" s="1072">
        <f>IF(Cdlac[[#This Row],[Quantity]]&gt;0,IF(Cdlac[[#This Row],[Federal]],30%,IF(AND(OR(NOT($G$38),$G$38=""),$G$43),40%,Cdlac[[#This Row],[iAMI]])),"")</f>
        <v>0.25</v>
      </c>
      <c r="P20" s="1066" cm="1">
        <f t="array" ref="P20">IF(Cdlac[[#This Row],[Quantity]]&gt;0,INDEX(TcacRents,$P$18,Cdlac[[#This Row],[Bedrooms]]+1)*Cdlac[[#This Row],[AMI]],"")</f>
        <v>806.5</v>
      </c>
      <c r="Q20" s="1166"/>
      <c r="R20" s="1066" cm="1">
        <f t="array" ref="R20">IF(Cdlac[[#This Row],[Quantity]]&gt;0,INDEX(HudFmrs,$P$18,Cdlac[[#This Row],[Bedrooms]]+1),"")</f>
        <v>2383</v>
      </c>
      <c r="S20" s="1066">
        <f>IF(Cdlac[[#This Row],[Quantity]]&gt;0,MAX(0,Cdlac[[#This Row],[Fair Market Rent]]-IF(AND($G$37,$G$38,$G$38&lt;&gt;"",NOT(Cdlac[[#This Row],[Federal]]),Cdlac[[#This Row],[Preservation Rent]]&lt;&gt;""),Cdlac[[#This Row],[Preservation Rent]],Cdlac[[#This Row],[Restricted Rent]])),"")</f>
        <v>1576.5</v>
      </c>
      <c r="T20" s="1045">
        <f>IF(Cdlac[[#This Row],[Quantity]]&gt;0,AND(Application!AK718&lt;&gt;"N/A",Application!AK718&lt;&gt;"")*Cdlac[[#This Row],[Quantity]],"")</f>
        <v>0</v>
      </c>
      <c r="U20" s="1045" t="b">
        <f>AND('Subsidy Contract Calculation'!F4&gt;0,OR('Subsidy Contract Calculation'!C4="Federal",'Subsidy Contract Calculation'!C4="Local - Approved by ED"),Cdlac[[#This Row],[Quantity]]&gt;0)</f>
        <v>0</v>
      </c>
    </row>
    <row r="21" spans="1:21" ht="15" customHeight="1">
      <c r="A21" s="1047"/>
      <c r="B21" s="1047"/>
      <c r="I21" s="1070"/>
      <c r="L21" s="1045">
        <f>IFERROR(MIN(4,MATCH(Application!B719,UnitSizes,0)-1),"")</f>
        <v>0</v>
      </c>
      <c r="M21" s="1066">
        <f>Application!G719</f>
        <v>5</v>
      </c>
      <c r="N21" s="1072">
        <f>Application!AC719</f>
        <v>0.3</v>
      </c>
      <c r="O21" s="1072">
        <f>IF(Cdlac[[#This Row],[Quantity]]&gt;0,IF(Cdlac[[#This Row],[Federal]],30%,IF(AND(OR(NOT($G$38),$G$38=""),$G$43),40%,Cdlac[[#This Row],[iAMI]])),"")</f>
        <v>0.3</v>
      </c>
      <c r="P21" s="1066" cm="1">
        <f t="array" ref="P21">IF(Cdlac[[#This Row],[Quantity]]&gt;0,INDEX(TcacRents,$P$18,Cdlac[[#This Row],[Bedrooms]]+1)*Cdlac[[#This Row],[AMI]],"")</f>
        <v>967.8</v>
      </c>
      <c r="Q21" s="1166"/>
      <c r="R21" s="1066" cm="1">
        <f t="array" ref="R21">IF(Cdlac[[#This Row],[Quantity]]&gt;0,INDEX(HudFmrs,$P$18,Cdlac[[#This Row],[Bedrooms]]+1),"")</f>
        <v>2383</v>
      </c>
      <c r="S21" s="1066">
        <f>IF(Cdlac[[#This Row],[Quantity]]&gt;0,MAX(0,Cdlac[[#This Row],[Fair Market Rent]]-IF(AND($G$37,$G$38,$G$38&lt;&gt;"",NOT(Cdlac[[#This Row],[Federal]]),Cdlac[[#This Row],[Preservation Rent]]&lt;&gt;""),Cdlac[[#This Row],[Preservation Rent]],Cdlac[[#This Row],[Restricted Rent]])),"")</f>
        <v>1415.2</v>
      </c>
      <c r="T21" s="1045">
        <f>IF(Cdlac[[#This Row],[Quantity]]&gt;0,AND(Application!AK719&lt;&gt;"N/A",Application!AK719&lt;&gt;"")*Cdlac[[#This Row],[Quantity]],"")</f>
        <v>0</v>
      </c>
      <c r="U21" s="1045" t="b">
        <f>AND('Subsidy Contract Calculation'!F5&gt;0,OR('Subsidy Contract Calculation'!C5="Federal",'Subsidy Contract Calculation'!C5="Local - Approved by ED"),Cdlac[[#This Row],[Quantity]]&gt;0)</f>
        <v>0</v>
      </c>
    </row>
    <row r="22" spans="1:21" ht="15" customHeight="1">
      <c r="A22" s="1050"/>
      <c r="C22" s="2662" t="s">
        <v>1987</v>
      </c>
      <c r="D22" s="2662" t="s">
        <v>1988</v>
      </c>
      <c r="E22" s="2662" t="s">
        <v>1989</v>
      </c>
      <c r="F22" s="2662" t="s">
        <v>1990</v>
      </c>
      <c r="G22" s="2662" t="s">
        <v>1986</v>
      </c>
      <c r="H22" s="1071"/>
      <c r="I22" s="1070"/>
      <c r="L22" s="1045">
        <f>IFERROR(MIN(4,MATCH(Application!B720,UnitSizes,0)-1),"")</f>
        <v>0</v>
      </c>
      <c r="M22" s="1066">
        <f>Application!G720</f>
        <v>7</v>
      </c>
      <c r="N22" s="1072">
        <f>Application!AC720</f>
        <v>0.45</v>
      </c>
      <c r="O22" s="1072">
        <f>IF(Cdlac[[#This Row],[Quantity]]&gt;0,IF(Cdlac[[#This Row],[Federal]],30%,IF(AND(OR(NOT($G$38),$G$38=""),$G$43),40%,Cdlac[[#This Row],[iAMI]])),"")</f>
        <v>0.45</v>
      </c>
      <c r="P22" s="1066" cm="1">
        <f t="array" ref="P22">IF(Cdlac[[#This Row],[Quantity]]&gt;0,INDEX(TcacRents,$P$18,Cdlac[[#This Row],[Bedrooms]]+1)*Cdlac[[#This Row],[AMI]],"")</f>
        <v>1451.7</v>
      </c>
      <c r="Q22" s="1166"/>
      <c r="R22" s="1066" cm="1">
        <f t="array" ref="R22">IF(Cdlac[[#This Row],[Quantity]]&gt;0,INDEX(HudFmrs,$P$18,Cdlac[[#This Row],[Bedrooms]]+1),"")</f>
        <v>2383</v>
      </c>
      <c r="S22" s="1066">
        <f>IF(Cdlac[[#This Row],[Quantity]]&gt;0,MAX(0,Cdlac[[#This Row],[Fair Market Rent]]-IF(AND($G$37,$G$38,$G$38&lt;&gt;"",NOT(Cdlac[[#This Row],[Federal]]),Cdlac[[#This Row],[Preservation Rent]]&lt;&gt;""),Cdlac[[#This Row],[Preservation Rent]],Cdlac[[#This Row],[Restricted Rent]])),"")</f>
        <v>931.3</v>
      </c>
      <c r="T22" s="1045">
        <f>IF(Cdlac[[#This Row],[Quantity]]&gt;0,AND(Application!AK720&lt;&gt;"N/A",Application!AK720&lt;&gt;"")*Cdlac[[#This Row],[Quantity]],"")</f>
        <v>0</v>
      </c>
      <c r="U22" s="1045" t="b">
        <f>AND('Subsidy Contract Calculation'!F6&gt;0,OR('Subsidy Contract Calculation'!C6="Federal",'Subsidy Contract Calculation'!C6="Local - Approved by ED"),Cdlac[[#This Row],[Quantity]]&gt;0)</f>
        <v>0</v>
      </c>
    </row>
    <row r="23" spans="1:21" ht="15" customHeight="1">
      <c r="A23" s="1050"/>
      <c r="C23" s="2663"/>
      <c r="D23" s="2663"/>
      <c r="E23" s="2663"/>
      <c r="F23" s="2663"/>
      <c r="G23" s="2663"/>
      <c r="H23" s="1071"/>
      <c r="I23" s="1070"/>
      <c r="L23" s="1045">
        <f>IFERROR(MIN(4,MATCH(Application!B721,UnitSizes,0)-1),"")</f>
        <v>1</v>
      </c>
      <c r="M23" s="1066">
        <f>Application!G721</f>
        <v>1</v>
      </c>
      <c r="N23" s="1072">
        <f>Application!AC721</f>
        <v>0.25</v>
      </c>
      <c r="O23" s="1072">
        <f>IF(Cdlac[[#This Row],[Quantity]]&gt;0,IF(Cdlac[[#This Row],[Federal]],30%,IF(AND(OR(NOT($G$38),$G$38=""),$G$43),40%,Cdlac[[#This Row],[iAMI]])),"")</f>
        <v>0.25</v>
      </c>
      <c r="P23" s="1066" cm="1">
        <f t="array" ref="P23">IF(Cdlac[[#This Row],[Quantity]]&gt;0,INDEX(TcacRents,$P$18,Cdlac[[#This Row],[Bedrooms]]+1)*Cdlac[[#This Row],[AMI]],"")</f>
        <v>864</v>
      </c>
      <c r="Q23" s="1166"/>
      <c r="R23" s="1066" cm="1">
        <f t="array" ref="R23">IF(Cdlac[[#This Row],[Quantity]]&gt;0,INDEX(HudFmrs,$P$18,Cdlac[[#This Row],[Bedrooms]]+1),"")</f>
        <v>2694</v>
      </c>
      <c r="S23" s="1066">
        <f>IF(Cdlac[[#This Row],[Quantity]]&gt;0,MAX(0,Cdlac[[#This Row],[Fair Market Rent]]-IF(AND($G$37,$G$38,$G$38&lt;&gt;"",NOT(Cdlac[[#This Row],[Federal]]),Cdlac[[#This Row],[Preservation Rent]]&lt;&gt;""),Cdlac[[#This Row],[Preservation Rent]],Cdlac[[#This Row],[Restricted Rent]])),"")</f>
        <v>1830</v>
      </c>
      <c r="T23" s="1045">
        <f>IF(Cdlac[[#This Row],[Quantity]]&gt;0,AND(Application!AK721&lt;&gt;"N/A",Application!AK721&lt;&gt;"")*Cdlac[[#This Row],[Quantity]],"")</f>
        <v>0</v>
      </c>
      <c r="U23" s="1045" t="b">
        <f>AND('Subsidy Contract Calculation'!F7&gt;0,OR('Subsidy Contract Calculation'!C7="Federal",'Subsidy Contract Calculation'!C7="Local - Approved by ED"),Cdlac[[#This Row],[Quantity]]&gt;0)</f>
        <v>0</v>
      </c>
    </row>
    <row r="24" spans="1:21" ht="15" customHeight="1">
      <c r="C24" s="1073">
        <v>0</v>
      </c>
      <c r="D24" s="1074">
        <v>0.9</v>
      </c>
      <c r="E24" s="1073">
        <f>SUMIFS(Cdlac[Quantity],Cdlac[Bedrooms],C24)</f>
        <v>13</v>
      </c>
      <c r="F24" s="1073">
        <f>E24</f>
        <v>13</v>
      </c>
      <c r="G24" s="1073">
        <f>D24*F24</f>
        <v>11.700000000000001</v>
      </c>
      <c r="L24" s="1045">
        <f>IFERROR(MIN(4,MATCH(Application!B722,UnitSizes,0)-1),"")</f>
        <v>1</v>
      </c>
      <c r="M24" s="1066">
        <f>Application!G722</f>
        <v>5</v>
      </c>
      <c r="N24" s="1072">
        <f>Application!AC722</f>
        <v>0.3</v>
      </c>
      <c r="O24" s="1072">
        <f>IF(Cdlac[[#This Row],[Quantity]]&gt;0,IF(Cdlac[[#This Row],[Federal]],30%,IF(AND(OR(NOT($G$38),$G$38=""),$G$43),40%,Cdlac[[#This Row],[iAMI]])),"")</f>
        <v>0.3</v>
      </c>
      <c r="P24" s="1066" cm="1">
        <f t="array" ref="P24">IF(Cdlac[[#This Row],[Quantity]]&gt;0,INDEX(TcacRents,$P$18,Cdlac[[#This Row],[Bedrooms]]+1)*Cdlac[[#This Row],[AMI]],"")</f>
        <v>1036.8</v>
      </c>
      <c r="Q24" s="1166"/>
      <c r="R24" s="1066" cm="1">
        <f t="array" ref="R24">IF(Cdlac[[#This Row],[Quantity]]&gt;0,INDEX(HudFmrs,$P$18,Cdlac[[#This Row],[Bedrooms]]+1),"")</f>
        <v>2694</v>
      </c>
      <c r="S24" s="1066">
        <f>IF(Cdlac[[#This Row],[Quantity]]&gt;0,MAX(0,Cdlac[[#This Row],[Fair Market Rent]]-IF(AND($G$37,$G$38,$G$38&lt;&gt;"",NOT(Cdlac[[#This Row],[Federal]]),Cdlac[[#This Row],[Preservation Rent]]&lt;&gt;""),Cdlac[[#This Row],[Preservation Rent]],Cdlac[[#This Row],[Restricted Rent]])),"")</f>
        <v>1657.2</v>
      </c>
      <c r="T24" s="1045">
        <f>IF(Cdlac[[#This Row],[Quantity]]&gt;0,AND(Application!AK722&lt;&gt;"N/A",Application!AK722&lt;&gt;"")*Cdlac[[#This Row],[Quantity]],"")</f>
        <v>0</v>
      </c>
      <c r="U24" s="1045" t="b">
        <f>AND('Subsidy Contract Calculation'!F8&gt;0,OR('Subsidy Contract Calculation'!C8="Federal",'Subsidy Contract Calculation'!C8="Local - Approved by ED"),Cdlac[[#This Row],[Quantity]]&gt;0)</f>
        <v>0</v>
      </c>
    </row>
    <row r="25" spans="1:21" ht="15" customHeight="1">
      <c r="C25" s="1073">
        <v>1</v>
      </c>
      <c r="D25" s="1074">
        <v>1</v>
      </c>
      <c r="E25" s="1073">
        <f>SUMIFS(Cdlac[Quantity],Cdlac[Bedrooms],C25)</f>
        <v>27</v>
      </c>
      <c r="F25" s="1073">
        <f>E25</f>
        <v>27</v>
      </c>
      <c r="G25" s="1073">
        <f>D25*F25</f>
        <v>27</v>
      </c>
      <c r="L25" s="1045">
        <f>IFERROR(MIN(4,MATCH(Application!B723,UnitSizes,0)-1),"")</f>
        <v>1</v>
      </c>
      <c r="M25" s="1066">
        <f>Application!G723</f>
        <v>15</v>
      </c>
      <c r="N25" s="1072">
        <f>Application!AC723</f>
        <v>0.45</v>
      </c>
      <c r="O25" s="1072">
        <f>IF(Cdlac[[#This Row],[Quantity]]&gt;0,IF(Cdlac[[#This Row],[Federal]],30%,IF(AND(OR(NOT($G$38),$G$38=""),$G$43),40%,Cdlac[[#This Row],[iAMI]])),"")</f>
        <v>0.45</v>
      </c>
      <c r="P25" s="1066" cm="1">
        <f t="array" ref="P25">IF(Cdlac[[#This Row],[Quantity]]&gt;0,INDEX(TcacRents,$P$18,Cdlac[[#This Row],[Bedrooms]]+1)*Cdlac[[#This Row],[AMI]],"")</f>
        <v>1555.2</v>
      </c>
      <c r="Q25" s="1166"/>
      <c r="R25" s="1066" cm="1">
        <f t="array" ref="R25">IF(Cdlac[[#This Row],[Quantity]]&gt;0,INDEX(HudFmrs,$P$18,Cdlac[[#This Row],[Bedrooms]]+1),"")</f>
        <v>2694</v>
      </c>
      <c r="S25" s="1066">
        <f>IF(Cdlac[[#This Row],[Quantity]]&gt;0,MAX(0,Cdlac[[#This Row],[Fair Market Rent]]-IF(AND($G$37,$G$38,$G$38&lt;&gt;"",NOT(Cdlac[[#This Row],[Federal]]),Cdlac[[#This Row],[Preservation Rent]]&lt;&gt;""),Cdlac[[#This Row],[Preservation Rent]],Cdlac[[#This Row],[Restricted Rent]])),"")</f>
        <v>1138.8</v>
      </c>
      <c r="T25" s="1045">
        <f>IF(Cdlac[[#This Row],[Quantity]]&gt;0,AND(Application!AK723&lt;&gt;"N/A",Application!AK723&lt;&gt;"")*Cdlac[[#This Row],[Quantity]],"")</f>
        <v>0</v>
      </c>
      <c r="U25" s="1045" t="b">
        <f>AND('Subsidy Contract Calculation'!F9&gt;0,OR('Subsidy Contract Calculation'!C9="Federal",'Subsidy Contract Calculation'!C9="Local - Approved by ED"),Cdlac[[#This Row],[Quantity]]&gt;0)</f>
        <v>0</v>
      </c>
    </row>
    <row r="26" spans="1:21" ht="15" customHeight="1">
      <c r="A26" s="1075"/>
      <c r="C26" s="1076">
        <v>2</v>
      </c>
      <c r="D26" s="1074">
        <v>1.25</v>
      </c>
      <c r="E26" s="1073">
        <f>SUMIFS(Cdlac[Quantity],Cdlac[Bedrooms],C26)</f>
        <v>15</v>
      </c>
      <c r="F26" s="1076">
        <f>SUM(E26:E28)-SUM(F27:F28)</f>
        <v>19</v>
      </c>
      <c r="G26" s="1073">
        <f>D26*F26</f>
        <v>23.75</v>
      </c>
      <c r="H26" s="1075"/>
      <c r="I26" s="1075"/>
      <c r="L26" s="1045">
        <f>IFERROR(MIN(4,MATCH(Application!B724,UnitSizes,0)-1),"")</f>
        <v>1</v>
      </c>
      <c r="M26" s="1066">
        <f>Application!G724</f>
        <v>6</v>
      </c>
      <c r="N26" s="1072">
        <f>Application!AC724</f>
        <v>0.5</v>
      </c>
      <c r="O26" s="1072">
        <f>IF(Cdlac[[#This Row],[Quantity]]&gt;0,IF(Cdlac[[#This Row],[Federal]],30%,IF(AND(OR(NOT($G$38),$G$38=""),$G$43),40%,Cdlac[[#This Row],[iAMI]])),"")</f>
        <v>0.5</v>
      </c>
      <c r="P26" s="1066" cm="1">
        <f t="array" ref="P26">IF(Cdlac[[#This Row],[Quantity]]&gt;0,INDEX(TcacRents,$P$18,Cdlac[[#This Row],[Bedrooms]]+1)*Cdlac[[#This Row],[AMI]],"")</f>
        <v>1728</v>
      </c>
      <c r="Q26" s="1166"/>
      <c r="R26" s="1066" cm="1">
        <f t="array" ref="R26">IF(Cdlac[[#This Row],[Quantity]]&gt;0,INDEX(HudFmrs,$P$18,Cdlac[[#This Row],[Bedrooms]]+1),"")</f>
        <v>2694</v>
      </c>
      <c r="S26" s="1066">
        <f>IF(Cdlac[[#This Row],[Quantity]]&gt;0,MAX(0,Cdlac[[#This Row],[Fair Market Rent]]-IF(AND($G$37,$G$38,$G$38&lt;&gt;"",NOT(Cdlac[[#This Row],[Federal]]),Cdlac[[#This Row],[Preservation Rent]]&lt;&gt;""),Cdlac[[#This Row],[Preservation Rent]],Cdlac[[#This Row],[Restricted Rent]])),"")</f>
        <v>966</v>
      </c>
      <c r="T26" s="1045">
        <f>IF(Cdlac[[#This Row],[Quantity]]&gt;0,AND(Application!AK724&lt;&gt;"N/A",Application!AK724&lt;&gt;"")*Cdlac[[#This Row],[Quantity]],"")</f>
        <v>0</v>
      </c>
      <c r="U26" s="1045" t="b">
        <f>AND('Subsidy Contract Calculation'!F10&gt;0,OR('Subsidy Contract Calculation'!C10="Federal",'Subsidy Contract Calculation'!C10="Local - Approved by ED"),Cdlac[[#This Row],[Quantity]]&gt;0)</f>
        <v>0</v>
      </c>
    </row>
    <row r="27" spans="1:21" ht="15" customHeight="1">
      <c r="A27" s="1075"/>
      <c r="C27" s="1076">
        <v>3</v>
      </c>
      <c r="D27" s="1074">
        <f>1.5+0.25*0</f>
        <v>1.5</v>
      </c>
      <c r="E27" s="1073">
        <f>SUMIFS(Cdlac[Quantity],Cdlac[Bedrooms],C27)</f>
        <v>29</v>
      </c>
      <c r="F27" s="1076">
        <f>MIN(E27,ROUNDDOWN(E29*30%,0))</f>
        <v>25</v>
      </c>
      <c r="G27" s="1073">
        <f>D27*F27</f>
        <v>37.5</v>
      </c>
      <c r="H27" s="1075"/>
      <c r="I27" s="1075"/>
      <c r="L27" s="1045">
        <f>IFERROR(MIN(4,MATCH(Application!B725,UnitSizes,0)-1),"")</f>
        <v>2</v>
      </c>
      <c r="M27" s="1066">
        <f>Application!G725</f>
        <v>1</v>
      </c>
      <c r="N27" s="1072">
        <f>Application!AC725</f>
        <v>0.3</v>
      </c>
      <c r="O27" s="1072">
        <f>IF(Cdlac[[#This Row],[Quantity]]&gt;0,IF(Cdlac[[#This Row],[Federal]],30%,IF(AND(OR(NOT($G$38),$G$38=""),$G$43),40%,Cdlac[[#This Row],[iAMI]])),"")</f>
        <v>0.3</v>
      </c>
      <c r="P27" s="1066" cm="1">
        <f t="array" ref="P27">IF(Cdlac[[#This Row],[Quantity]]&gt;0,INDEX(TcacRents,$P$18,Cdlac[[#This Row],[Bedrooms]]+1)*Cdlac[[#This Row],[AMI]],"")</f>
        <v>1243.8</v>
      </c>
      <c r="Q27" s="1166"/>
      <c r="R27" s="1066" cm="1">
        <f t="array" ref="R27">IF(Cdlac[[#This Row],[Quantity]]&gt;0,INDEX(HudFmrs,$P$18,Cdlac[[#This Row],[Bedrooms]]+1),"")</f>
        <v>3132</v>
      </c>
      <c r="S27" s="1066">
        <f>IF(Cdlac[[#This Row],[Quantity]]&gt;0,MAX(0,Cdlac[[#This Row],[Fair Market Rent]]-IF(AND($G$37,$G$38,$G$38&lt;&gt;"",NOT(Cdlac[[#This Row],[Federal]]),Cdlac[[#This Row],[Preservation Rent]]&lt;&gt;""),Cdlac[[#This Row],[Preservation Rent]],Cdlac[[#This Row],[Restricted Rent]])),"")</f>
        <v>1888.2</v>
      </c>
      <c r="T27" s="1045">
        <f>IF(Cdlac[[#This Row],[Quantity]]&gt;0,AND(Application!AK725&lt;&gt;"N/A",Application!AK725&lt;&gt;"")*Cdlac[[#This Row],[Quantity]],"")</f>
        <v>0</v>
      </c>
      <c r="U27" s="1045" t="b">
        <f>AND('Subsidy Contract Calculation'!F11&gt;0,OR('Subsidy Contract Calculation'!C11="Federal",'Subsidy Contract Calculation'!C11="Local - Approved by ED"),Cdlac[[#This Row],[Quantity]]&gt;0)</f>
        <v>0</v>
      </c>
    </row>
    <row r="28" spans="1:21" ht="15" customHeight="1" thickBot="1">
      <c r="A28" s="1075"/>
      <c r="C28" s="1088">
        <v>4</v>
      </c>
      <c r="D28" s="1089">
        <f>1.75+0.25*0</f>
        <v>1.75</v>
      </c>
      <c r="E28" s="1090">
        <f>SUMIFS(Cdlac[Quantity],Cdlac[Bedrooms],C28)</f>
        <v>0</v>
      </c>
      <c r="F28" s="1088">
        <f>MIN(E28,ROUNDDOWN(E29*10%,0))</f>
        <v>0</v>
      </c>
      <c r="G28" s="1090">
        <f>D28*F28</f>
        <v>0</v>
      </c>
      <c r="H28" s="1075"/>
      <c r="I28" s="1075"/>
      <c r="L28" s="1045">
        <f>IFERROR(MIN(4,MATCH(Application!B726,UnitSizes,0)-1),"")</f>
        <v>2</v>
      </c>
      <c r="M28" s="1066">
        <f>Application!G726</f>
        <v>6</v>
      </c>
      <c r="N28" s="1072">
        <f>Application!AC726</f>
        <v>0.3</v>
      </c>
      <c r="O28" s="1072">
        <f>IF(Cdlac[[#This Row],[Quantity]]&gt;0,IF(Cdlac[[#This Row],[Federal]],30%,IF(AND(OR(NOT($G$38),$G$38=""),$G$43),40%,Cdlac[[#This Row],[iAMI]])),"")</f>
        <v>0.3</v>
      </c>
      <c r="P28" s="1066" cm="1">
        <f t="array" ref="P28">IF(Cdlac[[#This Row],[Quantity]]&gt;0,INDEX(TcacRents,$P$18,Cdlac[[#This Row],[Bedrooms]]+1)*Cdlac[[#This Row],[AMI]],"")</f>
        <v>1243.8</v>
      </c>
      <c r="Q28" s="1166"/>
      <c r="R28" s="1066" cm="1">
        <f t="array" ref="R28">IF(Cdlac[[#This Row],[Quantity]]&gt;0,INDEX(HudFmrs,$P$18,Cdlac[[#This Row],[Bedrooms]]+1),"")</f>
        <v>3132</v>
      </c>
      <c r="S28" s="1066">
        <f>IF(Cdlac[[#This Row],[Quantity]]&gt;0,MAX(0,Cdlac[[#This Row],[Fair Market Rent]]-IF(AND($G$37,$G$38,$G$38&lt;&gt;"",NOT(Cdlac[[#This Row],[Federal]]),Cdlac[[#This Row],[Preservation Rent]]&lt;&gt;""),Cdlac[[#This Row],[Preservation Rent]],Cdlac[[#This Row],[Restricted Rent]])),"")</f>
        <v>1888.2</v>
      </c>
      <c r="T28" s="1045">
        <f>IF(Cdlac[[#This Row],[Quantity]]&gt;0,AND(Application!AK726&lt;&gt;"N/A",Application!AK726&lt;&gt;"")*Cdlac[[#This Row],[Quantity]],"")</f>
        <v>0</v>
      </c>
      <c r="U28" s="1045" t="b">
        <f>AND('Subsidy Contract Calculation'!F12&gt;0,OR('Subsidy Contract Calculation'!C12="Federal",'Subsidy Contract Calculation'!C12="Local - Approved by ED"),Cdlac[[#This Row],[Quantity]]&gt;0)</f>
        <v>0</v>
      </c>
    </row>
    <row r="29" spans="1:21" ht="15" customHeight="1">
      <c r="A29" s="1075"/>
      <c r="C29" s="2664" t="s">
        <v>1586</v>
      </c>
      <c r="D29" s="2665"/>
      <c r="E29" s="1091">
        <f>SUM(E24:E28)</f>
        <v>84</v>
      </c>
      <c r="F29" s="1091">
        <f>SUM(F24:F28)</f>
        <v>84</v>
      </c>
      <c r="G29" s="1092">
        <f>SUMPRODUCT(D24:D28,F24:F28)</f>
        <v>99.95</v>
      </c>
      <c r="H29" s="1075"/>
      <c r="I29" s="1075"/>
      <c r="L29" s="1045">
        <f>IFERROR(MIN(4,MATCH(Application!B727,UnitSizes,0)-1),"")</f>
        <v>2</v>
      </c>
      <c r="M29" s="1066">
        <f>Application!G727</f>
        <v>8</v>
      </c>
      <c r="N29" s="1072">
        <f>Application!AC727</f>
        <v>0.5</v>
      </c>
      <c r="O29" s="1072">
        <f>IF(Cdlac[[#This Row],[Quantity]]&gt;0,IF(Cdlac[[#This Row],[Federal]],30%,IF(AND(OR(NOT($G$38),$G$38=""),$G$43),40%,Cdlac[[#This Row],[iAMI]])),"")</f>
        <v>0.5</v>
      </c>
      <c r="P29" s="1066" cm="1">
        <f t="array" ref="P29">IF(Cdlac[[#This Row],[Quantity]]&gt;0,INDEX(TcacRents,$P$18,Cdlac[[#This Row],[Bedrooms]]+1)*Cdlac[[#This Row],[AMI]],"")</f>
        <v>2073</v>
      </c>
      <c r="Q29" s="1166"/>
      <c r="R29" s="1066" cm="1">
        <f t="array" ref="R29">IF(Cdlac[[#This Row],[Quantity]]&gt;0,INDEX(HudFmrs,$P$18,Cdlac[[#This Row],[Bedrooms]]+1),"")</f>
        <v>3132</v>
      </c>
      <c r="S29" s="1066">
        <f>IF(Cdlac[[#This Row],[Quantity]]&gt;0,MAX(0,Cdlac[[#This Row],[Fair Market Rent]]-IF(AND($G$37,$G$38,$G$38&lt;&gt;"",NOT(Cdlac[[#This Row],[Federal]]),Cdlac[[#This Row],[Preservation Rent]]&lt;&gt;""),Cdlac[[#This Row],[Preservation Rent]],Cdlac[[#This Row],[Restricted Rent]])),"")</f>
        <v>1059</v>
      </c>
      <c r="T29" s="1045">
        <f>IF(Cdlac[[#This Row],[Quantity]]&gt;0,AND(Application!AK727&lt;&gt;"N/A",Application!AK727&lt;&gt;"")*Cdlac[[#This Row],[Quantity]],"")</f>
        <v>0</v>
      </c>
      <c r="U29" s="1045" t="b">
        <f>AND('Subsidy Contract Calculation'!F13&gt;0,OR('Subsidy Contract Calculation'!C13="Federal",'Subsidy Contract Calculation'!C13="Local - Approved by ED"),Cdlac[[#This Row],[Quantity]]&gt;0)</f>
        <v>0</v>
      </c>
    </row>
    <row r="30" spans="1:21" ht="15" customHeight="1">
      <c r="A30" s="1075"/>
      <c r="C30" s="1075"/>
      <c r="D30" s="1075"/>
      <c r="E30" s="1075"/>
      <c r="F30" s="1075"/>
      <c r="G30" s="1075"/>
      <c r="H30" s="1075"/>
      <c r="I30" s="1075"/>
      <c r="L30" s="1045">
        <f>IFERROR(MIN(4,MATCH(Application!B728,UnitSizes,0)-1),"")</f>
        <v>3</v>
      </c>
      <c r="M30" s="1066">
        <f>Application!G728</f>
        <v>1</v>
      </c>
      <c r="N30" s="1072">
        <f>Application!AC728</f>
        <v>0.25</v>
      </c>
      <c r="O30" s="1072">
        <f>IF(Cdlac[[#This Row],[Quantity]]&gt;0,IF(Cdlac[[#This Row],[Federal]],30%,IF(AND(OR(NOT($G$38),$G$38=""),$G$43),40%,Cdlac[[#This Row],[iAMI]])),"")</f>
        <v>0.25</v>
      </c>
      <c r="P30" s="1066" cm="1">
        <f t="array" ref="P30">IF(Cdlac[[#This Row],[Quantity]]&gt;0,INDEX(TcacRents,$P$18,Cdlac[[#This Row],[Bedrooms]]+1)*Cdlac[[#This Row],[AMI]],"")</f>
        <v>1198</v>
      </c>
      <c r="Q30" s="1166"/>
      <c r="R30" s="1066" cm="1">
        <f t="array" ref="R30">IF(Cdlac[[#This Row],[Quantity]]&gt;0,INDEX(HudFmrs,$P$18,Cdlac[[#This Row],[Bedrooms]]+1),"")</f>
        <v>4011</v>
      </c>
      <c r="S30" s="1066">
        <f>IF(Cdlac[[#This Row],[Quantity]]&gt;0,MAX(0,Cdlac[[#This Row],[Fair Market Rent]]-IF(AND($G$37,$G$38,$G$38&lt;&gt;"",NOT(Cdlac[[#This Row],[Federal]]),Cdlac[[#This Row],[Preservation Rent]]&lt;&gt;""),Cdlac[[#This Row],[Preservation Rent]],Cdlac[[#This Row],[Restricted Rent]])),"")</f>
        <v>2813</v>
      </c>
      <c r="T30" s="1045">
        <f>IF(Cdlac[[#This Row],[Quantity]]&gt;0,AND(Application!AK728&lt;&gt;"N/A",Application!AK728&lt;&gt;"")*Cdlac[[#This Row],[Quantity]],"")</f>
        <v>0</v>
      </c>
      <c r="U30" s="1045" t="b">
        <f>AND('Subsidy Contract Calculation'!F14&gt;0,OR('Subsidy Contract Calculation'!C14="Federal",'Subsidy Contract Calculation'!C14="Local - Approved by ED"),Cdlac[[#This Row],[Quantity]]&gt;0)</f>
        <v>0</v>
      </c>
    </row>
    <row r="31" spans="1:21" ht="15" customHeight="1">
      <c r="A31" s="1075"/>
      <c r="E31" s="1119" t="s">
        <v>1986</v>
      </c>
      <c r="G31" s="1116">
        <f>G29</f>
        <v>99.95</v>
      </c>
      <c r="H31" s="1075"/>
      <c r="I31" s="1075"/>
      <c r="L31" s="1045">
        <f>IFERROR(MIN(4,MATCH(Application!B729,UnitSizes,0)-1),"")</f>
        <v>3</v>
      </c>
      <c r="M31" s="1066">
        <f>Application!G729</f>
        <v>6</v>
      </c>
      <c r="N31" s="1072">
        <f>Application!AC729</f>
        <v>0.3</v>
      </c>
      <c r="O31" s="1072">
        <f>IF(Cdlac[[#This Row],[Quantity]]&gt;0,IF(Cdlac[[#This Row],[Federal]],30%,IF(AND(OR(NOT($G$38),$G$38=""),$G$43),40%,Cdlac[[#This Row],[iAMI]])),"")</f>
        <v>0.3</v>
      </c>
      <c r="P31" s="1066" cm="1">
        <f t="array" ref="P31">IF(Cdlac[[#This Row],[Quantity]]&gt;0,INDEX(TcacRents,$P$18,Cdlac[[#This Row],[Bedrooms]]+1)*Cdlac[[#This Row],[AMI]],"")</f>
        <v>1437.6</v>
      </c>
      <c r="Q31" s="1166"/>
      <c r="R31" s="1066" cm="1">
        <f t="array" ref="R31">IF(Cdlac[[#This Row],[Quantity]]&gt;0,INDEX(HudFmrs,$P$18,Cdlac[[#This Row],[Bedrooms]]+1),"")</f>
        <v>4011</v>
      </c>
      <c r="S31" s="1066">
        <f>IF(Cdlac[[#This Row],[Quantity]]&gt;0,MAX(0,Cdlac[[#This Row],[Fair Market Rent]]-IF(AND($G$37,$G$38,$G$38&lt;&gt;"",NOT(Cdlac[[#This Row],[Federal]]),Cdlac[[#This Row],[Preservation Rent]]&lt;&gt;""),Cdlac[[#This Row],[Preservation Rent]],Cdlac[[#This Row],[Restricted Rent]])),"")</f>
        <v>2573.4</v>
      </c>
      <c r="T31" s="1045">
        <f>IF(Cdlac[[#This Row],[Quantity]]&gt;0,AND(Application!AK729&lt;&gt;"N/A",Application!AK729&lt;&gt;"")*Cdlac[[#This Row],[Quantity]],"")</f>
        <v>0</v>
      </c>
      <c r="U31" s="1045" t="b">
        <f>AND('Subsidy Contract Calculation'!F15&gt;0,OR('Subsidy Contract Calculation'!C15="Federal",'Subsidy Contract Calculation'!C15="Local - Approved by ED"),Cdlac[[#This Row],[Quantity]]&gt;0)</f>
        <v>0</v>
      </c>
    </row>
    <row r="32" spans="1:21" ht="15" customHeight="1">
      <c r="A32" s="1075"/>
      <c r="E32" s="1119" t="s">
        <v>1945</v>
      </c>
      <c r="F32" s="1115" t="s">
        <v>1994</v>
      </c>
      <c r="G32" s="1117">
        <v>50000</v>
      </c>
      <c r="H32" s="1075"/>
      <c r="I32" s="1075"/>
      <c r="L32" s="1045">
        <f>IFERROR(MIN(4,MATCH(Application!B730,UnitSizes,0)-1),"")</f>
        <v>3</v>
      </c>
      <c r="M32" s="1066">
        <f>Application!G730</f>
        <v>22</v>
      </c>
      <c r="N32" s="1072">
        <f>Application!AC730</f>
        <v>0.5</v>
      </c>
      <c r="O32" s="1072">
        <f>IF(Cdlac[[#This Row],[Quantity]]&gt;0,IF(Cdlac[[#This Row],[Federal]],30%,IF(AND(OR(NOT($G$38),$G$38=""),$G$43),40%,Cdlac[[#This Row],[iAMI]])),"")</f>
        <v>0.5</v>
      </c>
      <c r="P32" s="1066" cm="1">
        <f t="array" ref="P32">IF(Cdlac[[#This Row],[Quantity]]&gt;0,INDEX(TcacRents,$P$18,Cdlac[[#This Row],[Bedrooms]]+1)*Cdlac[[#This Row],[AMI]],"")</f>
        <v>2396</v>
      </c>
      <c r="Q32" s="1166"/>
      <c r="R32" s="1066" cm="1">
        <f t="array" ref="R32">IF(Cdlac[[#This Row],[Quantity]]&gt;0,INDEX(HudFmrs,$P$18,Cdlac[[#This Row],[Bedrooms]]+1),"")</f>
        <v>4011</v>
      </c>
      <c r="S32" s="1066">
        <f>IF(Cdlac[[#This Row],[Quantity]]&gt;0,MAX(0,Cdlac[[#This Row],[Fair Market Rent]]-IF(AND($G$37,$G$38,$G$38&lt;&gt;"",NOT(Cdlac[[#This Row],[Federal]]),Cdlac[[#This Row],[Preservation Rent]]&lt;&gt;""),Cdlac[[#This Row],[Preservation Rent]],Cdlac[[#This Row],[Restricted Rent]])),"")</f>
        <v>1615</v>
      </c>
      <c r="T32" s="1045">
        <f>IF(Cdlac[[#This Row],[Quantity]]&gt;0,AND(Application!AK730&lt;&gt;"N/A",Application!AK730&lt;&gt;"")*Cdlac[[#This Row],[Quantity]],"")</f>
        <v>0</v>
      </c>
      <c r="U32" s="1045" t="b">
        <f>AND('Subsidy Contract Calculation'!F16&gt;0,OR('Subsidy Contract Calculation'!C16="Federal",'Subsidy Contract Calculation'!C16="Local - Approved by ED"),Cdlac[[#This Row],[Quantity]]&gt;0)</f>
        <v>0</v>
      </c>
    </row>
    <row r="33" spans="1:21" ht="15" customHeight="1">
      <c r="A33" s="1075"/>
      <c r="E33" s="1120" t="s">
        <v>1979</v>
      </c>
      <c r="F33" s="1047"/>
      <c r="G33" s="1121">
        <f>G32*G31</f>
        <v>4997500</v>
      </c>
      <c r="H33" s="1075"/>
      <c r="I33" s="1075"/>
      <c r="L33" s="1045" t="str">
        <f>IFERROR(MIN(4,MATCH(Application!B731,UnitSizes,0)-1),"")</f>
        <v/>
      </c>
      <c r="M33" s="1066">
        <f>Application!G731</f>
        <v>0</v>
      </c>
      <c r="N33" s="1072">
        <f>Application!AC731</f>
        <v>0</v>
      </c>
      <c r="O33" s="1072" t="str">
        <f>IF(Cdlac[[#This Row],[Quantity]]&gt;0,IF(Cdlac[[#This Row],[Federal]],30%,IF(AND(OR(NOT($G$38),$G$38=""),$G$43),40%,Cdlac[[#This Row],[iAMI]])),"")</f>
        <v/>
      </c>
      <c r="P33" s="1066" t="str" cm="1">
        <f t="array" ref="P33">IF(Cdlac[[#This Row],[Quantity]]&gt;0,INDEX(TcacRents,$P$18,Cdlac[[#This Row],[Bedrooms]]+1)*Cdlac[[#This Row],[AMI]],"")</f>
        <v/>
      </c>
      <c r="Q33" s="1166"/>
      <c r="R33" s="1066" t="str" cm="1">
        <f t="array" ref="R33">IF(Cdlac[[#This Row],[Quantity]]&gt;0,INDEX(HudFmrs,$P$18,Cdlac[[#This Row],[Bedrooms]]+1),"")</f>
        <v/>
      </c>
      <c r="S33" s="1066" t="str">
        <f>IF(Cdlac[[#This Row],[Quantity]]&gt;0,MAX(0,Cdlac[[#This Row],[Fair Market Rent]]-IF(AND($G$37,$G$38,$G$38&lt;&gt;"",NOT(Cdlac[[#This Row],[Federal]]),Cdlac[[#This Row],[Preservation Rent]]&lt;&gt;""),Cdlac[[#This Row],[Preservation Rent]],Cdlac[[#This Row],[Restricted Rent]])),"")</f>
        <v/>
      </c>
      <c r="T33" s="1045" t="str">
        <f>IF(Cdlac[[#This Row],[Quantity]]&gt;0,AND(Application!AK731&lt;&gt;"N/A",Application!AK731&lt;&gt;"")*Cdlac[[#This Row],[Quantity]],"")</f>
        <v/>
      </c>
      <c r="U33" s="1045" t="b">
        <f>AND('Subsidy Contract Calculation'!F17&gt;0,OR('Subsidy Contract Calculation'!C17="Federal",'Subsidy Contract Calculation'!C17="Local - Approved by ED"),Cdlac[[#This Row],[Quantity]]&gt;0)</f>
        <v>0</v>
      </c>
    </row>
    <row r="34" spans="1:21" ht="15" customHeight="1">
      <c r="A34" s="1075"/>
      <c r="B34" s="1075"/>
      <c r="C34" s="1075"/>
      <c r="D34" s="1075"/>
      <c r="E34" s="1075"/>
      <c r="F34" s="1075"/>
      <c r="G34" s="1075"/>
      <c r="H34" s="1075"/>
      <c r="I34" s="1075"/>
      <c r="L34" s="1045" t="str">
        <f>IFERROR(MIN(4,MATCH(Application!B732,UnitSizes,0)-1),"")</f>
        <v/>
      </c>
      <c r="M34" s="1066">
        <f>Application!G732</f>
        <v>0</v>
      </c>
      <c r="N34" s="1072">
        <f>Application!AC732</f>
        <v>0</v>
      </c>
      <c r="O34" s="1072" t="str">
        <f>IF(Cdlac[[#This Row],[Quantity]]&gt;0,IF(Cdlac[[#This Row],[Federal]],30%,IF(AND(OR(NOT($G$38),$G$38=""),$G$43),40%,Cdlac[[#This Row],[iAMI]])),"")</f>
        <v/>
      </c>
      <c r="P34" s="1066" t="str" cm="1">
        <f t="array" ref="P34">IF(Cdlac[[#This Row],[Quantity]]&gt;0,INDEX(TcacRents,$P$18,Cdlac[[#This Row],[Bedrooms]]+1)*Cdlac[[#This Row],[AMI]],"")</f>
        <v/>
      </c>
      <c r="Q34" s="1166"/>
      <c r="R34" s="1066" t="str" cm="1">
        <f t="array" ref="R34">IF(Cdlac[[#This Row],[Quantity]]&gt;0,INDEX(HudFmrs,$P$18,Cdlac[[#This Row],[Bedrooms]]+1),"")</f>
        <v/>
      </c>
      <c r="S34" s="1066" t="str">
        <f>IF(Cdlac[[#This Row],[Quantity]]&gt;0,MAX(0,Cdlac[[#This Row],[Fair Market Rent]]-IF(AND($G$37,$G$38,$G$38&lt;&gt;"",NOT(Cdlac[[#This Row],[Federal]]),Cdlac[[#This Row],[Preservation Rent]]&lt;&gt;""),Cdlac[[#This Row],[Preservation Rent]],Cdlac[[#This Row],[Restricted Rent]])),"")</f>
        <v/>
      </c>
      <c r="T34" s="1045" t="str">
        <f>IF(Cdlac[[#This Row],[Quantity]]&gt;0,AND(Application!AK732&lt;&gt;"N/A",Application!AK732&lt;&gt;"")*Cdlac[[#This Row],[Quantity]],"")</f>
        <v/>
      </c>
      <c r="U34" s="1045" t="b">
        <f>AND('Subsidy Contract Calculation'!F18&gt;0,OR('Subsidy Contract Calculation'!C18="Federal",'Subsidy Contract Calculation'!C18="Local - Approved by ED"),Cdlac[[#This Row],[Quantity]]&gt;0)</f>
        <v>0</v>
      </c>
    </row>
    <row r="35" spans="1:21" ht="15" customHeight="1">
      <c r="B35" s="1067" t="str">
        <f>B10</f>
        <v>B. Rent Savings Benefit</v>
      </c>
      <c r="C35" s="1068"/>
      <c r="D35" s="1068"/>
      <c r="E35" s="1068"/>
      <c r="F35" s="1068"/>
      <c r="G35" s="1068"/>
      <c r="H35" s="1068"/>
      <c r="I35" s="1069"/>
      <c r="L35" s="1045" t="str">
        <f>IFERROR(MIN(4,MATCH(Application!B733,UnitSizes,0)-1),"")</f>
        <v/>
      </c>
      <c r="M35" s="1066">
        <f>Application!G733</f>
        <v>0</v>
      </c>
      <c r="N35" s="1072">
        <f>Application!AC733</f>
        <v>0</v>
      </c>
      <c r="O35" s="1072" t="str">
        <f>IF(Cdlac[[#This Row],[Quantity]]&gt;0,IF(Cdlac[[#This Row],[Federal]],30%,IF(AND(OR(NOT($G$38),$G$38=""),$G$43),40%,Cdlac[[#This Row],[iAMI]])),"")</f>
        <v/>
      </c>
      <c r="P35" s="1066" t="str" cm="1">
        <f t="array" ref="P35">IF(Cdlac[[#This Row],[Quantity]]&gt;0,INDEX(TcacRents,$P$18,Cdlac[[#This Row],[Bedrooms]]+1)*Cdlac[[#This Row],[AMI]],"")</f>
        <v/>
      </c>
      <c r="Q35" s="1166"/>
      <c r="R35" s="1066" t="str" cm="1">
        <f t="array" ref="R35">IF(Cdlac[[#This Row],[Quantity]]&gt;0,INDEX(HudFmrs,$P$18,Cdlac[[#This Row],[Bedrooms]]+1),"")</f>
        <v/>
      </c>
      <c r="S35" s="1066" t="str">
        <f>IF(Cdlac[[#This Row],[Quantity]]&gt;0,MAX(0,Cdlac[[#This Row],[Fair Market Rent]]-IF(AND($G$37,$G$38,$G$38&lt;&gt;"",NOT(Cdlac[[#This Row],[Federal]]),Cdlac[[#This Row],[Preservation Rent]]&lt;&gt;""),Cdlac[[#This Row],[Preservation Rent]],Cdlac[[#This Row],[Restricted Rent]])),"")</f>
        <v/>
      </c>
      <c r="T35" s="1045" t="str">
        <f>IF(Cdlac[[#This Row],[Quantity]]&gt;0,AND(Application!AK733&lt;&gt;"N/A",Application!AK733&lt;&gt;"")*Cdlac[[#This Row],[Quantity]],"")</f>
        <v/>
      </c>
      <c r="U35" s="1045" t="b">
        <f>AND('Subsidy Contract Calculation'!F19&gt;0,OR('Subsidy Contract Calculation'!C19="Federal",'Subsidy Contract Calculation'!C19="Local - Approved by ED"),Cdlac[[#This Row],[Quantity]]&gt;0)</f>
        <v>0</v>
      </c>
    </row>
    <row r="36" spans="1:21" ht="15" customHeight="1">
      <c r="L36" s="1045" t="str">
        <f>IFERROR(MIN(4,MATCH(Application!B734,UnitSizes,0)-1),"")</f>
        <v/>
      </c>
      <c r="M36" s="1066">
        <f>Application!G734</f>
        <v>0</v>
      </c>
      <c r="N36" s="1072">
        <f>Application!AC734</f>
        <v>0</v>
      </c>
      <c r="O36" s="1072" t="str">
        <f>IF(Cdlac[[#This Row],[Quantity]]&gt;0,IF(Cdlac[[#This Row],[Federal]],30%,IF(AND(OR(NOT($G$38),$G$38=""),$G$43),40%,Cdlac[[#This Row],[iAMI]])),"")</f>
        <v/>
      </c>
      <c r="P36" s="1066" t="str" cm="1">
        <f t="array" ref="P36">IF(Cdlac[[#This Row],[Quantity]]&gt;0,INDEX(TcacRents,$P$18,Cdlac[[#This Row],[Bedrooms]]+1)*Cdlac[[#This Row],[AMI]],"")</f>
        <v/>
      </c>
      <c r="Q36" s="1166"/>
      <c r="R36" s="1066" t="str" cm="1">
        <f t="array" ref="R36">IF(Cdlac[[#This Row],[Quantity]]&gt;0,INDEX(HudFmrs,$P$18,Cdlac[[#This Row],[Bedrooms]]+1),"")</f>
        <v/>
      </c>
      <c r="S36" s="1066" t="str">
        <f>IF(Cdlac[[#This Row],[Quantity]]&gt;0,MAX(0,Cdlac[[#This Row],[Fair Market Rent]]-IF(AND($G$37,$G$38,$G$38&lt;&gt;"",NOT(Cdlac[[#This Row],[Federal]]),Cdlac[[#This Row],[Preservation Rent]]&lt;&gt;""),Cdlac[[#This Row],[Preservation Rent]],Cdlac[[#This Row],[Restricted Rent]])),"")</f>
        <v/>
      </c>
      <c r="T36" s="1045" t="str">
        <f>IF(Cdlac[[#This Row],[Quantity]]&gt;0,AND(Application!AK734&lt;&gt;"N/A",Application!AK734&lt;&gt;"")*Cdlac[[#This Row],[Quantity]],"")</f>
        <v/>
      </c>
      <c r="U36" s="1045" t="b">
        <f>AND('Subsidy Contract Calculation'!F20&gt;0,OR('Subsidy Contract Calculation'!C20="Federal",'Subsidy Contract Calculation'!C20="Local - Approved by ED"),Cdlac[[#This Row],[Quantity]]&gt;0)</f>
        <v>0</v>
      </c>
    </row>
    <row r="37" spans="1:21" ht="15" customHeight="1">
      <c r="E37" s="1086" t="s">
        <v>2262</v>
      </c>
      <c r="G37" s="1045" t="b">
        <f>OR('Points System'!B13="Yes",'Points System'!B16="Yes",'Points System'!B22="Yes",'Points System'!B25="Yes",'Points System'!B28="Yes",'Points System'!B33="Yes",'Points System'!B36="Yes",'Points System'!B40="Yes",'Points System'!B45="Yes")</f>
        <v>0</v>
      </c>
      <c r="L37" s="1045" t="str">
        <f>IFERROR(MIN(4,MATCH(Application!B735,UnitSizes,0)-1),"")</f>
        <v/>
      </c>
      <c r="M37" s="1066">
        <f>Application!G735</f>
        <v>0</v>
      </c>
      <c r="N37" s="1072">
        <f>Application!AC735</f>
        <v>0</v>
      </c>
      <c r="O37" s="1072" t="str">
        <f>IF(Cdlac[[#This Row],[Quantity]]&gt;0,IF(Cdlac[[#This Row],[Federal]],30%,IF(AND(OR(NOT($G$38),$G$38=""),$G$43),40%,Cdlac[[#This Row],[iAMI]])),"")</f>
        <v/>
      </c>
      <c r="P37" s="1066" t="str" cm="1">
        <f t="array" ref="P37">IF(Cdlac[[#This Row],[Quantity]]&gt;0,INDEX(TcacRents,$P$18,Cdlac[[#This Row],[Bedrooms]]+1)*Cdlac[[#This Row],[AMI]],"")</f>
        <v/>
      </c>
      <c r="Q37" s="1166"/>
      <c r="R37" s="1066" t="str" cm="1">
        <f t="array" ref="R37">IF(Cdlac[[#This Row],[Quantity]]&gt;0,INDEX(HudFmrs,$P$18,Cdlac[[#This Row],[Bedrooms]]+1),"")</f>
        <v/>
      </c>
      <c r="S37" s="1066" t="str">
        <f>IF(Cdlac[[#This Row],[Quantity]]&gt;0,MAX(0,Cdlac[[#This Row],[Fair Market Rent]]-IF(AND($G$37,$G$38,$G$38&lt;&gt;"",NOT(Cdlac[[#This Row],[Federal]]),Cdlac[[#This Row],[Preservation Rent]]&lt;&gt;""),Cdlac[[#This Row],[Preservation Rent]],Cdlac[[#This Row],[Restricted Rent]])),"")</f>
        <v/>
      </c>
      <c r="T37" s="1045" t="str">
        <f>IF(Cdlac[[#This Row],[Quantity]]&gt;0,AND(Application!AK735&lt;&gt;"N/A",Application!AK735&lt;&gt;"")*Cdlac[[#This Row],[Quantity]],"")</f>
        <v/>
      </c>
      <c r="U37" s="1045" t="b">
        <f>AND('Subsidy Contract Calculation'!F21&gt;0,OR('Subsidy Contract Calculation'!C21="Federal",'Subsidy Contract Calculation'!C21="Local - Approved by ED"),Cdlac[[#This Row],[Quantity]]&gt;0)</f>
        <v>0</v>
      </c>
    </row>
    <row r="38" spans="1:21" ht="15" customHeight="1">
      <c r="E38" s="1086" t="s">
        <v>2263</v>
      </c>
      <c r="G38" s="1165"/>
      <c r="L38" s="1045" t="str">
        <f>IFERROR(MIN(4,MATCH(Application!B736,UnitSizes,0)-1),"")</f>
        <v/>
      </c>
      <c r="M38" s="1066">
        <f>Application!G736</f>
        <v>0</v>
      </c>
      <c r="N38" s="1072">
        <f>Application!AC736</f>
        <v>0</v>
      </c>
      <c r="O38" s="1072" t="str">
        <f>IF(Cdlac[[#This Row],[Quantity]]&gt;0,IF(Cdlac[[#This Row],[Federal]],30%,IF(AND(OR(NOT($G$38),$G$38=""),$G$43),40%,Cdlac[[#This Row],[iAMI]])),"")</f>
        <v/>
      </c>
      <c r="P38" s="1066" t="str" cm="1">
        <f t="array" ref="P38">IF(Cdlac[[#This Row],[Quantity]]&gt;0,INDEX(TcacRents,$P$18,Cdlac[[#This Row],[Bedrooms]]+1)*Cdlac[[#This Row],[AMI]],"")</f>
        <v/>
      </c>
      <c r="Q38" s="1166"/>
      <c r="R38" s="1066" t="str" cm="1">
        <f t="array" ref="R38">IF(Cdlac[[#This Row],[Quantity]]&gt;0,INDEX(HudFmrs,$P$18,Cdlac[[#This Row],[Bedrooms]]+1),"")</f>
        <v/>
      </c>
      <c r="S38" s="1066" t="str">
        <f>IF(Cdlac[[#This Row],[Quantity]]&gt;0,MAX(0,Cdlac[[#This Row],[Fair Market Rent]]-IF(AND($G$37,$G$38,$G$38&lt;&gt;"",NOT(Cdlac[[#This Row],[Federal]]),Cdlac[[#This Row],[Preservation Rent]]&lt;&gt;""),Cdlac[[#This Row],[Preservation Rent]],Cdlac[[#This Row],[Restricted Rent]])),"")</f>
        <v/>
      </c>
      <c r="T38" s="1045" t="str">
        <f>IF(Cdlac[[#This Row],[Quantity]]&gt;0,AND(Application!AK736&lt;&gt;"N/A",Application!AK736&lt;&gt;"")*Cdlac[[#This Row],[Quantity]],"")</f>
        <v/>
      </c>
      <c r="U38" s="1045" t="b">
        <f>AND('Subsidy Contract Calculation'!F22&gt;0,OR('Subsidy Contract Calculation'!C22="Federal",'Subsidy Contract Calculation'!C22="Local - Approved by ED"),Cdlac[[#This Row],[Quantity]]&gt;0)</f>
        <v>0</v>
      </c>
    </row>
    <row r="39" spans="1:21" ht="15" customHeight="1">
      <c r="C39" s="2667" t="str">
        <f>IF(AND(G37,G38,G38&lt;&gt;""),"Enter the average rent charged for each unit type over the last three years, as documented with rent rolls or property audits, in cells Q20:Q44","")</f>
        <v/>
      </c>
      <c r="D39" s="2667"/>
      <c r="E39" s="2667"/>
      <c r="F39" s="2667"/>
      <c r="G39" s="2667"/>
      <c r="H39" s="2667"/>
      <c r="L39" s="1045" t="str">
        <f>IFERROR(MIN(4,MATCH(Application!B737,UnitSizes,0)-1),"")</f>
        <v/>
      </c>
      <c r="M39" s="1066">
        <f>Application!G737</f>
        <v>0</v>
      </c>
      <c r="N39" s="1072">
        <f>Application!AC737</f>
        <v>0</v>
      </c>
      <c r="O39" s="1072" t="str">
        <f>IF(Cdlac[[#This Row],[Quantity]]&gt;0,IF(Cdlac[[#This Row],[Federal]],30%,IF(AND(OR(NOT($G$38),$G$38=""),$G$43),40%,Cdlac[[#This Row],[iAMI]])),"")</f>
        <v/>
      </c>
      <c r="P39" s="1066" t="str" cm="1">
        <f t="array" ref="P39">IF(Cdlac[[#This Row],[Quantity]]&gt;0,INDEX(TcacRents,$P$18,Cdlac[[#This Row],[Bedrooms]]+1)*Cdlac[[#This Row],[AMI]],"")</f>
        <v/>
      </c>
      <c r="Q39" s="1166"/>
      <c r="R39" s="1066" t="str" cm="1">
        <f t="array" ref="R39">IF(Cdlac[[#This Row],[Quantity]]&gt;0,INDEX(HudFmrs,$P$18,Cdlac[[#This Row],[Bedrooms]]+1),"")</f>
        <v/>
      </c>
      <c r="S39" s="1066" t="str">
        <f>IF(Cdlac[[#This Row],[Quantity]]&gt;0,MAX(0,Cdlac[[#This Row],[Fair Market Rent]]-IF(AND($G$37,$G$38,$G$38&lt;&gt;"",NOT(Cdlac[[#This Row],[Federal]]),Cdlac[[#This Row],[Preservation Rent]]&lt;&gt;""),Cdlac[[#This Row],[Preservation Rent]],Cdlac[[#This Row],[Restricted Rent]])),"")</f>
        <v/>
      </c>
      <c r="T39" s="1045" t="str">
        <f>IF(Cdlac[[#This Row],[Quantity]]&gt;0,AND(Application!AK737&lt;&gt;"N/A",Application!AK737&lt;&gt;"")*Cdlac[[#This Row],[Quantity]],"")</f>
        <v/>
      </c>
      <c r="U39" s="1045" t="b">
        <f>AND('Subsidy Contract Calculation'!F23&gt;0,OR('Subsidy Contract Calculation'!C23="Federal",'Subsidy Contract Calculation'!C23="Local - Approved by ED"),Cdlac[[#This Row],[Quantity]]&gt;0)</f>
        <v>0</v>
      </c>
    </row>
    <row r="40" spans="1:21" ht="15" customHeight="1">
      <c r="C40" s="2667"/>
      <c r="D40" s="2667"/>
      <c r="E40" s="2667"/>
      <c r="F40" s="2667"/>
      <c r="G40" s="2667"/>
      <c r="H40" s="2667"/>
      <c r="L40" s="1045" t="str">
        <f>IFERROR(MIN(4,MATCH(Application!B738,UnitSizes,0)-1),"")</f>
        <v/>
      </c>
      <c r="M40" s="1066">
        <f>Application!G738</f>
        <v>0</v>
      </c>
      <c r="N40" s="1072">
        <f>Application!AC738</f>
        <v>0</v>
      </c>
      <c r="O40" s="1072" t="str">
        <f>IF(Cdlac[[#This Row],[Quantity]]&gt;0,IF(Cdlac[[#This Row],[Federal]],30%,IF(AND(OR(NOT($G$38),$G$38=""),$G$43),40%,Cdlac[[#This Row],[iAMI]])),"")</f>
        <v/>
      </c>
      <c r="P40" s="1066" t="str" cm="1">
        <f t="array" ref="P40">IF(Cdlac[[#This Row],[Quantity]]&gt;0,INDEX(TcacRents,$P$18,Cdlac[[#This Row],[Bedrooms]]+1)*Cdlac[[#This Row],[AMI]],"")</f>
        <v/>
      </c>
      <c r="Q40" s="1166"/>
      <c r="R40" s="1066" t="str" cm="1">
        <f t="array" ref="R40">IF(Cdlac[[#This Row],[Quantity]]&gt;0,INDEX(HudFmrs,$P$18,Cdlac[[#This Row],[Bedrooms]]+1),"")</f>
        <v/>
      </c>
      <c r="S40" s="1066" t="str">
        <f>IF(Cdlac[[#This Row],[Quantity]]&gt;0,MAX(0,Cdlac[[#This Row],[Fair Market Rent]]-IF(AND($G$37,$G$38,$G$38&lt;&gt;"",NOT(Cdlac[[#This Row],[Federal]]),Cdlac[[#This Row],[Preservation Rent]]&lt;&gt;""),Cdlac[[#This Row],[Preservation Rent]],Cdlac[[#This Row],[Restricted Rent]])),"")</f>
        <v/>
      </c>
      <c r="T40" s="1045" t="str">
        <f>IF(Cdlac[[#This Row],[Quantity]]&gt;0,AND(Application!AK738&lt;&gt;"N/A",Application!AK738&lt;&gt;"")*Cdlac[[#This Row],[Quantity]],"")</f>
        <v/>
      </c>
      <c r="U40" s="1045" t="b">
        <f>AND('Subsidy Contract Calculation'!F24&gt;0,OR('Subsidy Contract Calculation'!C24="Federal",'Subsidy Contract Calculation'!C24="Local - Approved by ED"),Cdlac[[#This Row],[Quantity]]&gt;0)</f>
        <v>0</v>
      </c>
    </row>
    <row r="41" spans="1:21" ht="15" customHeight="1">
      <c r="C41" s="2667"/>
      <c r="D41" s="2667"/>
      <c r="E41" s="2667"/>
      <c r="F41" s="2667"/>
      <c r="G41" s="2667"/>
      <c r="H41" s="2667"/>
      <c r="L41" s="1045" t="str">
        <f>IFERROR(MIN(4,MATCH(Application!B739,UnitSizes,0)-1),"")</f>
        <v/>
      </c>
      <c r="M41" s="1066">
        <f>Application!G739</f>
        <v>0</v>
      </c>
      <c r="N41" s="1072">
        <f>Application!AC739</f>
        <v>0</v>
      </c>
      <c r="O41" s="1072" t="str">
        <f>IF(Cdlac[[#This Row],[Quantity]]&gt;0,IF(Cdlac[[#This Row],[Federal]],30%,IF(AND(OR(NOT($G$38),$G$38=""),$G$43),40%,Cdlac[[#This Row],[iAMI]])),"")</f>
        <v/>
      </c>
      <c r="P41" s="1066" t="str" cm="1">
        <f t="array" ref="P41">IF(Cdlac[[#This Row],[Quantity]]&gt;0,INDEX(TcacRents,$P$18,Cdlac[[#This Row],[Bedrooms]]+1)*Cdlac[[#This Row],[AMI]],"")</f>
        <v/>
      </c>
      <c r="Q41" s="1166"/>
      <c r="R41" s="1066" t="str" cm="1">
        <f t="array" ref="R41">IF(Cdlac[[#This Row],[Quantity]]&gt;0,INDEX(HudFmrs,$P$18,Cdlac[[#This Row],[Bedrooms]]+1),"")</f>
        <v/>
      </c>
      <c r="S41" s="1066" t="str">
        <f>IF(Cdlac[[#This Row],[Quantity]]&gt;0,MAX(0,Cdlac[[#This Row],[Fair Market Rent]]-IF(AND($G$37,$G$38,$G$38&lt;&gt;"",NOT(Cdlac[[#This Row],[Federal]]),Cdlac[[#This Row],[Preservation Rent]]&lt;&gt;""),Cdlac[[#This Row],[Preservation Rent]],Cdlac[[#This Row],[Restricted Rent]])),"")</f>
        <v/>
      </c>
      <c r="T41" s="1045" t="str">
        <f>IF(Cdlac[[#This Row],[Quantity]]&gt;0,AND(Application!AK739&lt;&gt;"N/A",Application!AK739&lt;&gt;"")*Cdlac[[#This Row],[Quantity]],"")</f>
        <v/>
      </c>
      <c r="U41" s="1045" t="b">
        <f>AND('Subsidy Contract Calculation'!F25&gt;0,OR('Subsidy Contract Calculation'!C25="Federal",'Subsidy Contract Calculation'!C25="Local - Approved by ED"),Cdlac[[#This Row],[Quantity]]&gt;0)</f>
        <v>0</v>
      </c>
    </row>
    <row r="42" spans="1:21" ht="15" customHeight="1">
      <c r="E42" s="1086" t="s">
        <v>2005</v>
      </c>
      <c r="G42" s="1122" cm="1">
        <f t="array" ref="G42">SUMPRODUCT(Cdlac[Quantity],Cdlac[iAMI],IF(Cdlac[Federal],0,1))/SUMIFS(Cdlac[Quantity],Cdlac[Federal],FALSE)</f>
        <v>0.42321428571428565</v>
      </c>
      <c r="L42" s="1045" t="str">
        <f>IFERROR(MIN(4,MATCH(Application!B740,UnitSizes,0)-1),"")</f>
        <v/>
      </c>
      <c r="M42" s="1066">
        <f>Application!G740</f>
        <v>0</v>
      </c>
      <c r="N42" s="1072">
        <f>Application!AC740</f>
        <v>0</v>
      </c>
      <c r="O42" s="1072" t="str">
        <f>IF(Cdlac[[#This Row],[Quantity]]&gt;0,IF(Cdlac[[#This Row],[Federal]],30%,IF(AND(OR(NOT($G$38),$G$38=""),$G$43),40%,Cdlac[[#This Row],[iAMI]])),"")</f>
        <v/>
      </c>
      <c r="P42" s="1066" t="str" cm="1">
        <f t="array" ref="P42">IF(Cdlac[[#This Row],[Quantity]]&gt;0,INDEX(TcacRents,$P$18,Cdlac[[#This Row],[Bedrooms]]+1)*Cdlac[[#This Row],[AMI]],"")</f>
        <v/>
      </c>
      <c r="Q42" s="1166"/>
      <c r="R42" s="1066" t="str" cm="1">
        <f t="array" ref="R42">IF(Cdlac[[#This Row],[Quantity]]&gt;0,INDEX(HudFmrs,$P$18,Cdlac[[#This Row],[Bedrooms]]+1),"")</f>
        <v/>
      </c>
      <c r="S42" s="1066" t="str">
        <f>IF(Cdlac[[#This Row],[Quantity]]&gt;0,MAX(0,Cdlac[[#This Row],[Fair Market Rent]]-IF(AND($G$37,$G$38,$G$38&lt;&gt;"",NOT(Cdlac[[#This Row],[Federal]]),Cdlac[[#This Row],[Preservation Rent]]&lt;&gt;""),Cdlac[[#This Row],[Preservation Rent]],Cdlac[[#This Row],[Restricted Rent]])),"")</f>
        <v/>
      </c>
      <c r="T42" s="1045" t="str">
        <f>IF(Cdlac[[#This Row],[Quantity]]&gt;0,AND(Application!AK740&lt;&gt;"N/A",Application!AK740&lt;&gt;"")*Cdlac[[#This Row],[Quantity]],"")</f>
        <v/>
      </c>
      <c r="U42" s="1045" t="b">
        <f>AND('Subsidy Contract Calculation'!F26&gt;0,OR('Subsidy Contract Calculation'!C26="Federal",'Subsidy Contract Calculation'!C26="Local - Approved by ED"),Cdlac[[#This Row],[Quantity]]&gt;0)</f>
        <v>0</v>
      </c>
    </row>
    <row r="43" spans="1:21" ht="15" customHeight="1">
      <c r="E43" s="1086" t="s">
        <v>2000</v>
      </c>
      <c r="G43" s="1082" t="b">
        <f>G42&lt;40%</f>
        <v>0</v>
      </c>
      <c r="L43" s="1045" t="str">
        <f>IFERROR(MIN(4,MATCH(Application!B741,UnitSizes,0)-1),"")</f>
        <v/>
      </c>
      <c r="M43" s="1066">
        <f>Application!G741</f>
        <v>0</v>
      </c>
      <c r="N43" s="1072">
        <f>Application!AC741</f>
        <v>0</v>
      </c>
      <c r="O43" s="1072" t="str">
        <f>IF(Cdlac[[#This Row],[Quantity]]&gt;0,IF(Cdlac[[#This Row],[Federal]],30%,IF(AND(OR(NOT($G$38),$G$38=""),$G$43),40%,Cdlac[[#This Row],[iAMI]])),"")</f>
        <v/>
      </c>
      <c r="P43" s="1066" t="str" cm="1">
        <f t="array" ref="P43">IF(Cdlac[[#This Row],[Quantity]]&gt;0,INDEX(TcacRents,$P$18,Cdlac[[#This Row],[Bedrooms]]+1)*Cdlac[[#This Row],[AMI]],"")</f>
        <v/>
      </c>
      <c r="Q43" s="1166"/>
      <c r="R43" s="1066" t="str" cm="1">
        <f t="array" ref="R43">IF(Cdlac[[#This Row],[Quantity]]&gt;0,INDEX(HudFmrs,$P$18,Cdlac[[#This Row],[Bedrooms]]+1),"")</f>
        <v/>
      </c>
      <c r="S43" s="1066" t="str">
        <f>IF(Cdlac[[#This Row],[Quantity]]&gt;0,MAX(0,Cdlac[[#This Row],[Fair Market Rent]]-IF(AND($G$37,$G$38,$G$38&lt;&gt;"",NOT(Cdlac[[#This Row],[Federal]]),Cdlac[[#This Row],[Preservation Rent]]&lt;&gt;""),Cdlac[[#This Row],[Preservation Rent]],Cdlac[[#This Row],[Restricted Rent]])),"")</f>
        <v/>
      </c>
      <c r="T43" s="1045" t="str">
        <f>IF(Cdlac[[#This Row],[Quantity]]&gt;0,AND(Application!AK741&lt;&gt;"N/A",Application!AK741&lt;&gt;"")*Cdlac[[#This Row],[Quantity]],"")</f>
        <v/>
      </c>
      <c r="U43" s="1045" t="b">
        <f>AND('Subsidy Contract Calculation'!F27&gt;0,OR('Subsidy Contract Calculation'!C27="Federal",'Subsidy Contract Calculation'!C27="Local - Approved by ED"),Cdlac[[#This Row],[Quantity]]&gt;0)</f>
        <v>0</v>
      </c>
    </row>
    <row r="44" spans="1:21" ht="15" customHeight="1">
      <c r="L44" s="1045" t="str">
        <f>IFERROR(MIN(4,MATCH(Application!B752,UnitSizes,0)-1),"")</f>
        <v/>
      </c>
      <c r="M44" s="1066">
        <f>Application!G752</f>
        <v>0</v>
      </c>
      <c r="N44" s="1072">
        <f>Application!AC752</f>
        <v>0</v>
      </c>
      <c r="O44" s="1083" t="str">
        <f>IF(Cdlac[[#This Row],[Quantity]]&gt;0,IF(Cdlac[[#This Row],[Federal]],30%,IF(AND(OR(NOT($G$38),$G$38=""),$G$43),40%,Cdlac[[#This Row],[iAMI]])),"")</f>
        <v/>
      </c>
      <c r="P44" s="1066" t="str" cm="1">
        <f t="array" ref="P44">IF(Cdlac[[#This Row],[Quantity]]&gt;0,INDEX(TcacRents,$P$18,Cdlac[[#This Row],[Bedrooms]]+1)*Cdlac[[#This Row],[AMI]],"")</f>
        <v/>
      </c>
      <c r="Q44" s="1166"/>
      <c r="R44" s="1066" t="str" cm="1">
        <f t="array" ref="R44">IF(Cdlac[[#This Row],[Quantity]]&gt;0,INDEX(HudFmrs,$P$18,Cdlac[[#This Row],[Bedrooms]]+1),"")</f>
        <v/>
      </c>
      <c r="S44" s="1066" t="str">
        <f>IF(Cdlac[[#This Row],[Quantity]]&gt;0,MAX(0,Cdlac[[#This Row],[Fair Market Rent]]-IF(AND($G$37,$G$38,$G$38&lt;&gt;"",NOT(Cdlac[[#This Row],[Federal]]),Cdlac[[#This Row],[Preservation Rent]]&lt;&gt;""),Cdlac[[#This Row],[Preservation Rent]],Cdlac[[#This Row],[Restricted Rent]])),"")</f>
        <v/>
      </c>
      <c r="T44" s="1045" t="str">
        <f>IF(Cdlac[[#This Row],[Quantity]]&gt;0,AND(Application!AK752&lt;&gt;"N/A",Application!AK752&lt;&gt;"")*Cdlac[[#This Row],[Quantity]],"")</f>
        <v/>
      </c>
      <c r="U44" s="1045" t="b">
        <f>AND('Subsidy Contract Calculation'!F28&gt;0,OR('Subsidy Contract Calculation'!C28="Federal",'Subsidy Contract Calculation'!C28="Local - Approved by ED"),Cdlac[[#This Row],[Quantity]]&gt;0)</f>
        <v>0</v>
      </c>
    </row>
    <row r="45" spans="1:21" ht="15" customHeight="1">
      <c r="E45" s="1086" t="s">
        <v>1949</v>
      </c>
      <c r="G45" s="1079">
        <f>IFERROR(SUMPRODUCT(Cdlac[Quantity],Cdlac[Delta]),0)</f>
        <v>123638.39999999999</v>
      </c>
    </row>
    <row r="46" spans="1:21" ht="15" customHeight="1">
      <c r="E46" s="1119" t="s">
        <v>2006</v>
      </c>
      <c r="F46" s="1115" t="s">
        <v>1994</v>
      </c>
      <c r="G46" s="1123">
        <f>12*15</f>
        <v>180</v>
      </c>
    </row>
    <row r="47" spans="1:21" ht="15" customHeight="1">
      <c r="E47" s="1124" t="s">
        <v>1944</v>
      </c>
      <c r="F47" s="1047"/>
      <c r="G47" s="1125">
        <f>G45*G46</f>
        <v>22254912</v>
      </c>
    </row>
    <row r="48" spans="1:21" ht="15" customHeight="1"/>
    <row r="49" spans="2:9" ht="15" customHeight="1">
      <c r="B49" s="1067" t="str">
        <f>B11&amp;": "&amp;B12</f>
        <v>C. Population Benefit: (1) Special Needs Population Benefit</v>
      </c>
      <c r="C49" s="1068"/>
      <c r="D49" s="1068"/>
      <c r="E49" s="1068"/>
      <c r="F49" s="1068"/>
      <c r="G49" s="1068"/>
      <c r="H49" s="1068"/>
      <c r="I49" s="1069"/>
    </row>
    <row r="50" spans="2:9" ht="15" customHeight="1"/>
    <row r="51" spans="2:9" ht="15" customHeight="1">
      <c r="E51" s="1119" t="s">
        <v>1995</v>
      </c>
      <c r="G51" s="1116">
        <f>T18</f>
        <v>0</v>
      </c>
    </row>
    <row r="52" spans="2:9" ht="15" customHeight="1">
      <c r="E52" s="1119" t="s">
        <v>1996</v>
      </c>
      <c r="G52" s="1116">
        <f>ROUNDDOWN(E29*50%,0)</f>
        <v>42</v>
      </c>
    </row>
    <row r="53" spans="2:9" ht="15" customHeight="1">
      <c r="E53" s="1119"/>
      <c r="G53" s="1127"/>
    </row>
    <row r="54" spans="2:9" ht="15" customHeight="1">
      <c r="E54" s="1119" t="s">
        <v>1955</v>
      </c>
      <c r="G54" s="1116">
        <f>MIN(G51:G52)</f>
        <v>0</v>
      </c>
    </row>
    <row r="55" spans="2:9" ht="15" customHeight="1">
      <c r="E55" s="1119" t="s">
        <v>1945</v>
      </c>
      <c r="F55" s="1115" t="s">
        <v>1994</v>
      </c>
      <c r="G55" s="1126">
        <v>10000</v>
      </c>
    </row>
    <row r="56" spans="2:9" ht="15" customHeight="1">
      <c r="E56" s="1120" t="s">
        <v>1978</v>
      </c>
      <c r="F56" s="1047"/>
      <c r="G56" s="1125">
        <f>G54*G55</f>
        <v>0</v>
      </c>
    </row>
    <row r="57" spans="2:9" ht="15" customHeight="1"/>
    <row r="58" spans="2:9" ht="15" customHeight="1">
      <c r="B58" s="1067" t="str">
        <f>B11&amp;": "&amp;B13</f>
        <v>C. Population Benefit: (2) Extremely Low Income Benefit</v>
      </c>
      <c r="C58" s="1068"/>
      <c r="D58" s="1068"/>
      <c r="E58" s="1068"/>
      <c r="F58" s="1068"/>
      <c r="G58" s="1068"/>
      <c r="H58" s="1068"/>
      <c r="I58" s="1069"/>
    </row>
    <row r="59" spans="2:9" ht="15" customHeight="1"/>
    <row r="60" spans="2:9" ht="15" customHeight="1">
      <c r="E60" s="1119" t="s">
        <v>1997</v>
      </c>
      <c r="G60" s="1080">
        <f>SUMIFS(Cdlac[Quantity],Cdlac[iAMI],"&lt;=30%")</f>
        <v>26</v>
      </c>
    </row>
    <row r="61" spans="2:9" ht="15" customHeight="1">
      <c r="E61" s="1119" t="s">
        <v>1996</v>
      </c>
      <c r="G61" s="1080">
        <f>ROUNDDOWN(E29*50%,0)</f>
        <v>42</v>
      </c>
    </row>
    <row r="62" spans="2:9" ht="15" customHeight="1">
      <c r="E62" s="1119"/>
      <c r="G62" s="1080"/>
    </row>
    <row r="63" spans="2:9" ht="15" customHeight="1">
      <c r="E63" s="1119" t="s">
        <v>1955</v>
      </c>
      <c r="G63" s="1116">
        <f>MIN(G60:G61)</f>
        <v>26</v>
      </c>
    </row>
    <row r="64" spans="2:9" ht="15" customHeight="1">
      <c r="E64" s="1119" t="s">
        <v>1945</v>
      </c>
      <c r="F64" s="1115" t="s">
        <v>1994</v>
      </c>
      <c r="G64" s="1126">
        <v>20000</v>
      </c>
    </row>
    <row r="65" spans="2:14" ht="15" customHeight="1">
      <c r="E65" s="1120" t="s">
        <v>1977</v>
      </c>
      <c r="F65" s="1047"/>
      <c r="G65" s="1125">
        <f>G63*G64</f>
        <v>520000</v>
      </c>
    </row>
    <row r="66" spans="2:14" ht="15" customHeight="1"/>
    <row r="67" spans="2:14" ht="15" customHeight="1">
      <c r="B67" s="1067" t="str">
        <f>B14&amp;": "&amp;B15</f>
        <v>D. Location Benefit: (1) Resource Area Benefit</v>
      </c>
      <c r="C67" s="1068"/>
      <c r="D67" s="1068"/>
      <c r="E67" s="1068"/>
      <c r="F67" s="1068"/>
      <c r="G67" s="1068"/>
      <c r="H67" s="1068"/>
      <c r="I67" s="1069"/>
    </row>
    <row r="68" spans="2:14" ht="15" customHeight="1"/>
    <row r="69" spans="2:14" ht="15" customHeight="1">
      <c r="C69" s="1078" t="s">
        <v>1981</v>
      </c>
      <c r="G69" s="1044" t="s">
        <v>669</v>
      </c>
    </row>
    <row r="70" spans="2:14" ht="15" customHeight="1">
      <c r="C70" s="1078" t="s">
        <v>1982</v>
      </c>
      <c r="G70" s="1082" t="str">
        <f>IF(Application!D211="Large Family","Yes","No")</f>
        <v>No</v>
      </c>
    </row>
    <row r="71" spans="2:14" ht="15" customHeight="1" thickBot="1">
      <c r="C71" s="1078" t="s">
        <v>1968</v>
      </c>
      <c r="G71" s="1044" t="s">
        <v>669</v>
      </c>
    </row>
    <row r="72" spans="2:14" ht="15" customHeight="1">
      <c r="C72" s="1078" t="s">
        <v>1969</v>
      </c>
      <c r="G72" s="1045" t="str">
        <f>Application!T193</f>
        <v>Low Resource</v>
      </c>
      <c r="L72" s="2675" t="s">
        <v>1970</v>
      </c>
      <c r="M72" s="2676"/>
      <c r="N72" s="1133">
        <v>30000</v>
      </c>
    </row>
    <row r="73" spans="2:14" ht="15" customHeight="1">
      <c r="C73" s="2677" t="s">
        <v>2265</v>
      </c>
      <c r="D73" s="2677"/>
      <c r="E73" s="2677"/>
      <c r="F73" s="2677"/>
      <c r="G73" s="1044" t="s">
        <v>669</v>
      </c>
      <c r="L73" s="2686" t="s">
        <v>1938</v>
      </c>
      <c r="M73" s="2687"/>
      <c r="N73" s="1134">
        <v>20000</v>
      </c>
    </row>
    <row r="74" spans="2:14" ht="15" customHeight="1" thickBot="1">
      <c r="C74" s="2677"/>
      <c r="D74" s="2677"/>
      <c r="E74" s="2677"/>
      <c r="F74" s="2677"/>
      <c r="L74" s="2688" t="s">
        <v>1971</v>
      </c>
      <c r="M74" s="2689"/>
      <c r="N74" s="1135">
        <v>10000</v>
      </c>
    </row>
    <row r="75" spans="2:14" ht="15" customHeight="1">
      <c r="C75" s="1078"/>
    </row>
    <row r="76" spans="2:14" ht="15" customHeight="1">
      <c r="E76" s="1086" t="s">
        <v>2001</v>
      </c>
      <c r="G76" s="1080" t="b">
        <f>OR(AND(COUNTIFS(G70:G71,"Yes")&gt;=1,G69="Yes"),G73="Yes")</f>
        <v>0</v>
      </c>
    </row>
    <row r="77" spans="2:14" ht="15" customHeight="1">
      <c r="E77" s="1086"/>
      <c r="G77" s="1080"/>
    </row>
    <row r="78" spans="2:14" ht="15" customHeight="1">
      <c r="E78" s="1086" t="s">
        <v>1945</v>
      </c>
      <c r="G78" s="1079">
        <f>IFERROR(IF($G$73="Yes",30000,INDEX(N72:N74,MATCH(LEFT(G72,17),L72:L74,0))),0)</f>
        <v>0</v>
      </c>
    </row>
    <row r="79" spans="2:14" ht="15" customHeight="1">
      <c r="E79" s="1086" t="str">
        <f>E96</f>
        <v>Bedroom-Adjusted Low-Income Units</v>
      </c>
      <c r="F79" s="1115" t="s">
        <v>1994</v>
      </c>
      <c r="G79" s="1116">
        <f>G29</f>
        <v>99.95</v>
      </c>
    </row>
    <row r="80" spans="2:14" ht="15" customHeight="1">
      <c r="D80" s="1047"/>
      <c r="E80" s="1120" t="s">
        <v>2270</v>
      </c>
      <c r="F80" s="1047"/>
      <c r="G80" s="1125">
        <f>G79*G78*G76</f>
        <v>0</v>
      </c>
    </row>
    <row r="81" spans="2:9" ht="15" customHeight="1"/>
    <row r="82" spans="2:9" ht="15" customHeight="1">
      <c r="B82" s="1067" t="str">
        <f>B14&amp;": "&amp;B16</f>
        <v>D. Location Benefit: (2) Community Revitalization Benefit</v>
      </c>
      <c r="C82" s="1068"/>
      <c r="D82" s="1068"/>
      <c r="E82" s="1068"/>
      <c r="F82" s="1068"/>
      <c r="G82" s="1068"/>
      <c r="H82" s="1068"/>
      <c r="I82" s="1069"/>
    </row>
    <row r="83" spans="2:9" ht="15" customHeight="1"/>
    <row r="84" spans="2:9" ht="15" customHeight="1">
      <c r="F84" s="1118" t="s">
        <v>1976</v>
      </c>
      <c r="G84" s="1044" t="s">
        <v>669</v>
      </c>
    </row>
    <row r="85" spans="2:9" ht="15" customHeight="1">
      <c r="F85" s="1118"/>
    </row>
    <row r="86" spans="2:9" ht="15" customHeight="1">
      <c r="E86" s="1086" t="s">
        <v>2001</v>
      </c>
      <c r="G86" s="1080" t="b">
        <f>G84="Yes"</f>
        <v>0</v>
      </c>
    </row>
    <row r="87" spans="2:9" ht="15" customHeight="1"/>
    <row r="88" spans="2:9" ht="15" customHeight="1">
      <c r="E88" s="1086" t="str">
        <f>E96</f>
        <v>Bedroom-Adjusted Low-Income Units</v>
      </c>
      <c r="G88" s="1116">
        <f>G29</f>
        <v>99.95</v>
      </c>
    </row>
    <row r="89" spans="2:9" ht="15" customHeight="1">
      <c r="E89" s="1086" t="s">
        <v>1945</v>
      </c>
      <c r="F89" s="1115" t="s">
        <v>1994</v>
      </c>
      <c r="G89" s="1051">
        <v>20000</v>
      </c>
    </row>
    <row r="90" spans="2:9" ht="15" customHeight="1">
      <c r="E90" s="1120" t="s">
        <v>2274</v>
      </c>
      <c r="F90" s="1047"/>
      <c r="G90" s="1125">
        <f>G86*G89*G88</f>
        <v>0</v>
      </c>
    </row>
    <row r="91" spans="2:9" ht="15" customHeight="1"/>
    <row r="92" spans="2:9" ht="15" customHeight="1">
      <c r="B92" s="1067" t="str">
        <f>B14&amp;": "&amp;B17</f>
        <v>D. Location Benefit: (3) Transit/Walkability Benefit</v>
      </c>
      <c r="C92" s="1068"/>
      <c r="D92" s="1068"/>
      <c r="E92" s="1068"/>
      <c r="F92" s="1068"/>
      <c r="G92" s="1068"/>
      <c r="H92" s="1068"/>
      <c r="I92" s="1069"/>
    </row>
    <row r="93" spans="2:9" ht="15" customHeight="1"/>
    <row r="94" spans="2:9" ht="15" customHeight="1">
      <c r="E94" s="1086" t="s">
        <v>1956</v>
      </c>
      <c r="G94" s="1116">
        <f>VLOOKUP('Points System'!$H$606,'Points System'!$AO$586:$AP$591,2,FALSE)</f>
        <v>5</v>
      </c>
    </row>
    <row r="95" spans="2:9" ht="15" customHeight="1">
      <c r="E95" s="1086" t="s">
        <v>1945</v>
      </c>
      <c r="F95" s="1115" t="s">
        <v>1994</v>
      </c>
      <c r="G95" s="1077">
        <v>4000</v>
      </c>
    </row>
    <row r="96" spans="2:9" ht="15" customHeight="1" thickBot="1">
      <c r="E96" s="1086" t="s">
        <v>1998</v>
      </c>
      <c r="F96" s="1115" t="s">
        <v>1994</v>
      </c>
      <c r="G96" s="1128">
        <f>G29</f>
        <v>99.95</v>
      </c>
    </row>
    <row r="97" spans="2:14" ht="15" customHeight="1">
      <c r="E97" s="1120" t="s">
        <v>1962</v>
      </c>
      <c r="F97" s="1047"/>
      <c r="G97" s="1125">
        <f>G94*G95*G96</f>
        <v>1999000</v>
      </c>
      <c r="L97" s="1129" t="str">
        <f>'Points System'!H638</f>
        <v>(i)</v>
      </c>
      <c r="M97" s="2694" t="s">
        <v>1405</v>
      </c>
      <c r="N97" s="2695"/>
    </row>
    <row r="98" spans="2:14" ht="15" customHeight="1">
      <c r="C98" s="1078"/>
      <c r="G98" s="1116"/>
      <c r="L98" s="1130" t="str">
        <f>'Points System'!H650</f>
        <v>(ii)</v>
      </c>
      <c r="M98" s="2690" t="s">
        <v>1957</v>
      </c>
      <c r="N98" s="2691"/>
    </row>
    <row r="99" spans="2:14" ht="15" customHeight="1">
      <c r="E99" s="1086" t="s">
        <v>1999</v>
      </c>
      <c r="G99" s="1128">
        <f>COUNTIFS(L97:L104,"(i)")</f>
        <v>2</v>
      </c>
      <c r="L99" s="1130" t="str">
        <f>'Points System'!H685</f>
        <v>(ii)</v>
      </c>
      <c r="M99" s="2690" t="s">
        <v>1958</v>
      </c>
      <c r="N99" s="2691"/>
    </row>
    <row r="100" spans="2:14" ht="15" customHeight="1">
      <c r="E100" s="1086" t="s">
        <v>1945</v>
      </c>
      <c r="F100" s="1115" t="s">
        <v>1994</v>
      </c>
      <c r="G100" s="1126">
        <v>4000</v>
      </c>
      <c r="L100" s="1130" t="str">
        <f>IF(OR('Points System'!H709="(ii)",'Points System'!H709="(i)"),"(i)","N/A")</f>
        <v>(i)</v>
      </c>
      <c r="M100" s="2690" t="s">
        <v>1959</v>
      </c>
      <c r="N100" s="2691"/>
    </row>
    <row r="101" spans="2:14" ht="15" customHeight="1">
      <c r="E101" s="1120" t="s">
        <v>1963</v>
      </c>
      <c r="F101" s="1047"/>
      <c r="G101" s="1125">
        <f>G96*G99*G100</f>
        <v>799600</v>
      </c>
      <c r="L101" s="1131" t="str">
        <f>'Points System'!H723</f>
        <v>N/A</v>
      </c>
      <c r="M101" s="2690" t="s">
        <v>1431</v>
      </c>
      <c r="N101" s="2691"/>
    </row>
    <row r="102" spans="2:14" ht="15" customHeight="1">
      <c r="L102" s="1130" t="str">
        <f>'Points System'!H735</f>
        <v>N/A</v>
      </c>
      <c r="M102" s="2690" t="s">
        <v>1960</v>
      </c>
      <c r="N102" s="2691"/>
    </row>
    <row r="103" spans="2:14" ht="15" customHeight="1">
      <c r="C103" s="1081" t="s">
        <v>1965</v>
      </c>
      <c r="L103" s="1130" t="str">
        <f>'Points System'!H751</f>
        <v>N/A</v>
      </c>
      <c r="M103" s="2690" t="s">
        <v>1961</v>
      </c>
      <c r="N103" s="2691"/>
    </row>
    <row r="104" spans="2:14" ht="15" customHeight="1" thickBot="1">
      <c r="C104" s="1078" t="s">
        <v>1966</v>
      </c>
      <c r="G104" s="1044"/>
      <c r="L104" s="1132" t="str">
        <f>'Points System'!H763</f>
        <v>(ii)</v>
      </c>
      <c r="M104" s="2692" t="s">
        <v>1434</v>
      </c>
      <c r="N104" s="2693"/>
    </row>
    <row r="105" spans="2:14" ht="15" customHeight="1">
      <c r="C105" s="1078" t="s">
        <v>1967</v>
      </c>
      <c r="G105" s="1044"/>
    </row>
    <row r="106" spans="2:14" ht="15" customHeight="1">
      <c r="C106" s="1078" t="s">
        <v>2141</v>
      </c>
      <c r="G106" s="1044"/>
    </row>
    <row r="107" spans="2:14" ht="15" customHeight="1">
      <c r="C107" s="1078" t="s">
        <v>2142</v>
      </c>
      <c r="G107" s="1044" t="s">
        <v>545</v>
      </c>
    </row>
    <row r="108" spans="2:14" ht="15" customHeight="1"/>
    <row r="109" spans="2:14" ht="15" customHeight="1">
      <c r="B109" s="1079"/>
      <c r="C109" s="1078"/>
      <c r="E109" s="1086" t="s">
        <v>2001</v>
      </c>
      <c r="G109" s="1080" t="b">
        <f>COUNTIFS(G104:G107,"Yes")&gt;=1</f>
        <v>1</v>
      </c>
    </row>
    <row r="110" spans="2:14" ht="15" customHeight="1">
      <c r="E110" s="1078"/>
    </row>
    <row r="111" spans="2:14" ht="15" customHeight="1">
      <c r="E111" s="1086" t="s">
        <v>1998</v>
      </c>
      <c r="F111" s="1115" t="s">
        <v>1994</v>
      </c>
      <c r="G111" s="1116">
        <f>G29</f>
        <v>99.95</v>
      </c>
    </row>
    <row r="112" spans="2:14" ht="15" customHeight="1">
      <c r="E112" s="1086" t="s">
        <v>1945</v>
      </c>
      <c r="F112" s="1115" t="s">
        <v>1994</v>
      </c>
      <c r="G112" s="1126">
        <v>25000</v>
      </c>
    </row>
    <row r="113" spans="2:9" ht="15" customHeight="1">
      <c r="E113" s="1120" t="s">
        <v>1964</v>
      </c>
      <c r="F113" s="1047"/>
      <c r="G113" s="1125">
        <f>G109*G112*G96</f>
        <v>2498750</v>
      </c>
    </row>
    <row r="114" spans="2:9" ht="15" customHeight="1">
      <c r="C114" s="1078"/>
      <c r="E114" s="1078"/>
    </row>
    <row r="115" spans="2:9" ht="15" customHeight="1">
      <c r="E115" s="1120" t="s">
        <v>2275</v>
      </c>
      <c r="G115" s="1125">
        <f>G113+G101+G97</f>
        <v>5297350</v>
      </c>
    </row>
    <row r="116" spans="2:9" ht="15" customHeight="1"/>
    <row r="117" spans="2:9" ht="15" customHeight="1">
      <c r="B117" s="1067" t="s">
        <v>139</v>
      </c>
      <c r="C117" s="1068"/>
      <c r="D117" s="1068"/>
      <c r="E117" s="1068"/>
      <c r="F117" s="1068"/>
      <c r="G117" s="1068"/>
      <c r="H117" s="1068"/>
      <c r="I117" s="1069"/>
    </row>
    <row r="118" spans="2:9" ht="15" customHeight="1"/>
    <row r="119" spans="2:9" ht="15" customHeight="1">
      <c r="C119" s="2666" t="s">
        <v>2230</v>
      </c>
      <c r="D119" s="2666"/>
      <c r="E119" s="2666"/>
      <c r="F119" s="2666"/>
    </row>
    <row r="120" spans="2:9" ht="15" customHeight="1">
      <c r="C120" s="2666"/>
      <c r="D120" s="2666"/>
      <c r="E120" s="2666"/>
      <c r="F120" s="2666"/>
      <c r="G120" s="1044"/>
    </row>
    <row r="121" spans="2:9" ht="15" customHeight="1"/>
    <row r="122" spans="2:9" ht="15" customHeight="1">
      <c r="C122" s="1045" t="s">
        <v>2232</v>
      </c>
      <c r="G122" s="2668"/>
      <c r="H122" s="2668"/>
    </row>
    <row r="123" spans="2:9" ht="15" customHeight="1">
      <c r="G123" s="2668"/>
      <c r="H123" s="2668"/>
    </row>
    <row r="124" spans="2:9" ht="15" customHeight="1">
      <c r="G124" s="2669"/>
      <c r="H124" s="2669"/>
    </row>
    <row r="125" spans="2:9" ht="15" customHeight="1">
      <c r="G125" s="1162"/>
      <c r="H125" s="1162"/>
    </row>
    <row r="126" spans="2:9" ht="15" customHeight="1">
      <c r="B126" s="1067" t="s">
        <v>2003</v>
      </c>
      <c r="C126" s="1068"/>
      <c r="D126" s="1068"/>
      <c r="E126" s="1068"/>
      <c r="F126" s="1068"/>
      <c r="G126" s="1068"/>
      <c r="H126" s="1068"/>
      <c r="I126" s="1069"/>
    </row>
    <row r="128" spans="2:9">
      <c r="E128" s="1086" t="s">
        <v>582</v>
      </c>
      <c r="G128" s="1045" t="str">
        <f>IF(Application!T189="","",Application!T189)</f>
        <v>Santa Clara</v>
      </c>
    </row>
    <row r="129" spans="2:9">
      <c r="E129" s="1086"/>
      <c r="G129" s="1079"/>
    </row>
    <row r="130" spans="2:9">
      <c r="E130" s="1086" t="str">
        <f>"2-Bedroom "&amp;G128&amp;" County Basis Limit"</f>
        <v>2-Bedroom Santa Clara County Basis Limit</v>
      </c>
      <c r="G130" s="1079">
        <f>Application!R988</f>
        <v>740000</v>
      </c>
    </row>
    <row r="131" spans="2:9">
      <c r="E131" s="1086" t="s">
        <v>2002</v>
      </c>
      <c r="G131" s="1079">
        <f>MEDIAN((Application!CU160:CU217))</f>
        <v>489600</v>
      </c>
    </row>
    <row r="132" spans="2:9" ht="15">
      <c r="D132" s="1047"/>
      <c r="E132" s="1120" t="s">
        <v>2004</v>
      </c>
      <c r="F132" s="1136"/>
      <c r="G132" s="1137">
        <f>((G130-G131)/G131)*0.25</f>
        <v>0.127859477124183</v>
      </c>
      <c r="H132" s="1043"/>
      <c r="I132" s="1043"/>
    </row>
    <row r="133" spans="2:9">
      <c r="D133" s="1046"/>
      <c r="E133" s="1046"/>
    </row>
    <row r="134" spans="2:9" ht="15">
      <c r="B134" s="1067" t="s">
        <v>2276</v>
      </c>
      <c r="C134" s="1068"/>
      <c r="D134" s="1068"/>
      <c r="E134" s="1068"/>
      <c r="F134" s="1068"/>
      <c r="G134" s="1068"/>
      <c r="H134" s="1068"/>
      <c r="I134" s="1069"/>
    </row>
    <row r="136" spans="2:9">
      <c r="E136" s="1086" t="s">
        <v>2262</v>
      </c>
      <c r="G136" s="1045" t="b">
        <f>G37</f>
        <v>0</v>
      </c>
    </row>
    <row r="137" spans="2:9">
      <c r="E137" s="1086" t="s">
        <v>2277</v>
      </c>
      <c r="G137" s="1045" t="b">
        <f>OR('Points System'!B52="Yes", 'Points System'!B56="Yes",'Points System'!B58="Yes")</f>
        <v>1</v>
      </c>
    </row>
    <row r="138" spans="2:9">
      <c r="C138" s="2661" t="s">
        <v>2278</v>
      </c>
      <c r="D138" s="2661"/>
      <c r="E138" s="2661"/>
      <c r="F138" s="2661"/>
    </row>
    <row r="139" spans="2:9">
      <c r="B139" s="1046"/>
      <c r="C139" s="2661"/>
      <c r="D139" s="2661"/>
      <c r="E139" s="2661"/>
      <c r="F139" s="2661"/>
      <c r="G139" s="1044"/>
    </row>
    <row r="140" spans="2:9">
      <c r="B140" s="1046"/>
      <c r="C140" s="1046"/>
      <c r="D140" s="1046"/>
      <c r="E140" s="1046"/>
      <c r="F140" s="1046"/>
    </row>
    <row r="141" spans="2:9" ht="14.25" customHeight="1">
      <c r="E141" s="1086" t="s">
        <v>2280</v>
      </c>
      <c r="G141" s="1171"/>
    </row>
    <row r="143" spans="2:9">
      <c r="E143" s="1086" t="s">
        <v>2282</v>
      </c>
      <c r="G143" s="1170">
        <f>IF(I9=0,0,G141/I9)</f>
        <v>0</v>
      </c>
    </row>
    <row r="144" spans="2:9">
      <c r="E144" s="1086" t="s">
        <v>2279</v>
      </c>
      <c r="G144" s="1168">
        <f>I9*0.15</f>
        <v>2430000</v>
      </c>
    </row>
  </sheetData>
  <sheetProtection algorithmName="SHA-512" hashValue="u1Pe/IlK7nQtl/M5cS/LTYCFt6e8j2jpF1b7nxedd0jX4JqGB/SiOQwnFShsBLzzu7MWRONtJkjTTpuufrkSiQ==" saltValue="O/duG3vH38rRwePQN67Mng=="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5" type="noConversion"/>
  <conditionalFormatting sqref="G38">
    <cfRule type="expression" dxfId="4" priority="1">
      <formula>NOT($G$37)</formula>
    </cfRule>
  </conditionalFormatting>
  <conditionalFormatting sqref="L20:U44">
    <cfRule type="expression" dxfId="3" priority="4">
      <formula>$M20=0</formula>
    </cfRule>
  </conditionalFormatting>
  <conditionalFormatting sqref="Q20:Q44">
    <cfRule type="expression" dxfId="2" priority="2">
      <formula>NOT($G$37)</formula>
    </cfRule>
    <cfRule type="expression" dxfId="1" priority="3">
      <formula>AND($G$37,$G$38,$G$38&lt;&gt;"")</formula>
    </cfRule>
  </conditionalFormatting>
  <conditionalFormatting sqref="U20:U4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14" workbookViewId="0">
      <selection activeCell="C4" sqref="C4"/>
    </sheetView>
  </sheetViews>
  <sheetFormatPr defaultColWidth="9.140625" defaultRowHeight="14.25" zeroHeight="1"/>
  <cols>
    <col min="1" max="2" width="15.5703125" style="305" customWidth="1"/>
    <col min="3" max="3" width="11" style="305" customWidth="1"/>
    <col min="4" max="4" width="15.5703125" style="305" customWidth="1"/>
    <col min="5" max="5" width="3.5703125" style="305" customWidth="1"/>
    <col min="6" max="7" width="15.5703125" style="305" customWidth="1"/>
    <col min="8" max="8" width="3.5703125" style="305" customWidth="1"/>
    <col min="9" max="10" width="15.5703125" style="305" customWidth="1"/>
    <col min="11" max="11" width="3.42578125" style="305" customWidth="1"/>
    <col min="12" max="17" width="15.5703125" style="305" customWidth="1"/>
    <col min="18" max="16384" width="9.140625" style="305"/>
  </cols>
  <sheetData>
    <row r="1" spans="1:12">
      <c r="A1" s="2696" t="s">
        <v>909</v>
      </c>
      <c r="B1" s="2696"/>
      <c r="C1" s="2696"/>
      <c r="D1" s="2696"/>
      <c r="E1" s="2696"/>
      <c r="F1" s="2696"/>
      <c r="G1" s="2696"/>
      <c r="H1" s="2696"/>
      <c r="I1" s="2696"/>
      <c r="J1" s="2696"/>
      <c r="K1" s="205"/>
      <c r="L1" s="205"/>
    </row>
    <row r="2" spans="1:12">
      <c r="A2" s="211"/>
      <c r="B2" s="211"/>
      <c r="C2" s="211"/>
      <c r="D2" s="211"/>
      <c r="E2" s="211"/>
      <c r="F2" s="211"/>
      <c r="G2" s="211"/>
      <c r="H2" s="211"/>
      <c r="I2" s="211"/>
      <c r="J2" s="211"/>
    </row>
    <row r="3" spans="1:12" ht="100.5">
      <c r="A3" s="427" t="s">
        <v>910</v>
      </c>
      <c r="B3" s="427" t="s">
        <v>2257</v>
      </c>
      <c r="C3" s="427" t="s">
        <v>2258</v>
      </c>
      <c r="D3" s="1148" t="s">
        <v>2259</v>
      </c>
      <c r="E3" s="205"/>
      <c r="F3" s="1148" t="s">
        <v>911</v>
      </c>
      <c r="G3" s="427" t="s">
        <v>912</v>
      </c>
      <c r="H3" s="428"/>
      <c r="I3" s="427" t="s">
        <v>913</v>
      </c>
      <c r="J3" s="427" t="s">
        <v>914</v>
      </c>
      <c r="K3" s="205"/>
      <c r="L3" s="306"/>
    </row>
    <row r="4" spans="1:12">
      <c r="A4" s="429" t="str">
        <f>Application!B718</f>
        <v>SRO/Studio</v>
      </c>
      <c r="B4" s="1084">
        <f>Application!G718</f>
        <v>1</v>
      </c>
      <c r="C4" s="1164"/>
      <c r="D4" s="429">
        <f>Application!O718</f>
        <v>672</v>
      </c>
      <c r="E4" s="430"/>
      <c r="F4" s="1085"/>
      <c r="G4" s="429">
        <f>F4*B4</f>
        <v>0</v>
      </c>
      <c r="H4" s="430"/>
      <c r="I4" s="429" t="str">
        <f t="shared" ref="I4:I27" si="0">IF(F4=0,"",(F4-D4))</f>
        <v/>
      </c>
      <c r="J4" s="429" t="str">
        <f t="shared" ref="J4:J27" si="1">IF(F4=0,"",(I4*B4))</f>
        <v/>
      </c>
      <c r="K4" s="205"/>
      <c r="L4" s="306"/>
    </row>
    <row r="5" spans="1:12">
      <c r="A5" s="429" t="str">
        <f>Application!B719</f>
        <v>SRO/Studio</v>
      </c>
      <c r="B5" s="1084">
        <f>Application!G719</f>
        <v>5</v>
      </c>
      <c r="C5" s="1164"/>
      <c r="D5" s="429">
        <f>Application!O719</f>
        <v>828</v>
      </c>
      <c r="E5" s="430"/>
      <c r="F5" s="1085"/>
      <c r="G5" s="429">
        <f t="shared" ref="G5:G38" si="2">F5*B5</f>
        <v>0</v>
      </c>
      <c r="H5" s="430"/>
      <c r="I5" s="429" t="str">
        <f t="shared" si="0"/>
        <v/>
      </c>
      <c r="J5" s="429" t="str">
        <f t="shared" si="1"/>
        <v/>
      </c>
      <c r="K5" s="205"/>
      <c r="L5" s="306"/>
    </row>
    <row r="6" spans="1:12">
      <c r="A6" s="429" t="str">
        <f>Application!B720</f>
        <v>SRO/Studio</v>
      </c>
      <c r="B6" s="1084">
        <f>Application!G720</f>
        <v>7</v>
      </c>
      <c r="C6" s="1164"/>
      <c r="D6" s="429">
        <f>Application!O720</f>
        <v>1297</v>
      </c>
      <c r="E6" s="430"/>
      <c r="F6" s="1085"/>
      <c r="G6" s="429">
        <f t="shared" si="2"/>
        <v>0</v>
      </c>
      <c r="H6" s="430"/>
      <c r="I6" s="429" t="str">
        <f t="shared" si="0"/>
        <v/>
      </c>
      <c r="J6" s="429" t="str">
        <f t="shared" si="1"/>
        <v/>
      </c>
      <c r="K6" s="205"/>
      <c r="L6" s="306"/>
    </row>
    <row r="7" spans="1:12">
      <c r="A7" s="429" t="str">
        <f>Application!B721</f>
        <v>1 Bedroom</v>
      </c>
      <c r="B7" s="1084">
        <f>Application!G721</f>
        <v>1</v>
      </c>
      <c r="C7" s="1164"/>
      <c r="D7" s="429">
        <f>Application!O721</f>
        <v>712</v>
      </c>
      <c r="E7" s="430"/>
      <c r="F7" s="1085"/>
      <c r="G7" s="429">
        <f t="shared" si="2"/>
        <v>0</v>
      </c>
      <c r="H7" s="430"/>
      <c r="I7" s="429" t="str">
        <f t="shared" si="0"/>
        <v/>
      </c>
      <c r="J7" s="429" t="str">
        <f t="shared" si="1"/>
        <v/>
      </c>
      <c r="K7" s="205"/>
      <c r="L7" s="306"/>
    </row>
    <row r="8" spans="1:12">
      <c r="A8" s="429" t="str">
        <f>Application!B722</f>
        <v>1 Bedroom</v>
      </c>
      <c r="B8" s="1084">
        <f>Application!G722</f>
        <v>5</v>
      </c>
      <c r="C8" s="1164"/>
      <c r="D8" s="429">
        <f>Application!O722</f>
        <v>879</v>
      </c>
      <c r="E8" s="430"/>
      <c r="F8" s="1085"/>
      <c r="G8" s="429">
        <f t="shared" si="2"/>
        <v>0</v>
      </c>
      <c r="H8" s="430"/>
      <c r="I8" s="429" t="str">
        <f t="shared" si="0"/>
        <v/>
      </c>
      <c r="J8" s="429" t="str">
        <f t="shared" si="1"/>
        <v/>
      </c>
      <c r="K8" s="205"/>
      <c r="L8" s="306"/>
    </row>
    <row r="9" spans="1:12">
      <c r="A9" s="429" t="str">
        <f>Application!B723</f>
        <v>1 Bedroom</v>
      </c>
      <c r="B9" s="1084">
        <f>Application!G723</f>
        <v>15</v>
      </c>
      <c r="C9" s="1164"/>
      <c r="D9" s="429">
        <f>Application!O723</f>
        <v>1381</v>
      </c>
      <c r="E9" s="430"/>
      <c r="F9" s="1085"/>
      <c r="G9" s="429">
        <f t="shared" si="2"/>
        <v>0</v>
      </c>
      <c r="H9" s="430"/>
      <c r="I9" s="429" t="str">
        <f t="shared" si="0"/>
        <v/>
      </c>
      <c r="J9" s="429" t="str">
        <f t="shared" si="1"/>
        <v/>
      </c>
      <c r="K9" s="205"/>
      <c r="L9" s="306"/>
    </row>
    <row r="10" spans="1:12">
      <c r="A10" s="429" t="str">
        <f>Application!B724</f>
        <v>1 Bedroom</v>
      </c>
      <c r="B10" s="1084">
        <f>Application!G724</f>
        <v>6</v>
      </c>
      <c r="C10" s="1164"/>
      <c r="D10" s="429">
        <f>Application!O724</f>
        <v>1549</v>
      </c>
      <c r="E10" s="430"/>
      <c r="F10" s="1085"/>
      <c r="G10" s="429">
        <f t="shared" si="2"/>
        <v>0</v>
      </c>
      <c r="H10" s="430"/>
      <c r="I10" s="429" t="str">
        <f t="shared" si="0"/>
        <v/>
      </c>
      <c r="J10" s="429" t="str">
        <f t="shared" si="1"/>
        <v/>
      </c>
      <c r="K10" s="205"/>
      <c r="L10" s="306"/>
    </row>
    <row r="11" spans="1:12">
      <c r="A11" s="429" t="str">
        <f>Application!B725</f>
        <v>2 Bedrooms</v>
      </c>
      <c r="B11" s="1084">
        <f>Application!G725</f>
        <v>1</v>
      </c>
      <c r="C11" s="1164"/>
      <c r="D11" s="429">
        <f>Application!O725</f>
        <v>831</v>
      </c>
      <c r="E11" s="430"/>
      <c r="F11" s="1085"/>
      <c r="G11" s="429">
        <f t="shared" si="2"/>
        <v>0</v>
      </c>
      <c r="H11" s="430"/>
      <c r="I11" s="429" t="str">
        <f t="shared" si="0"/>
        <v/>
      </c>
      <c r="J11" s="429" t="str">
        <f t="shared" si="1"/>
        <v/>
      </c>
      <c r="K11" s="205"/>
      <c r="L11" s="306"/>
    </row>
    <row r="12" spans="1:12">
      <c r="A12" s="429" t="str">
        <f>Application!B726</f>
        <v>2 Bedrooms</v>
      </c>
      <c r="B12" s="1084">
        <f>Application!G726</f>
        <v>6</v>
      </c>
      <c r="C12" s="1164"/>
      <c r="D12" s="429">
        <f>Application!O726</f>
        <v>1032</v>
      </c>
      <c r="E12" s="430"/>
      <c r="F12" s="1085"/>
      <c r="G12" s="429">
        <f t="shared" si="2"/>
        <v>0</v>
      </c>
      <c r="H12" s="430"/>
      <c r="I12" s="429" t="str">
        <f t="shared" si="0"/>
        <v/>
      </c>
      <c r="J12" s="429" t="str">
        <f t="shared" si="1"/>
        <v/>
      </c>
      <c r="K12" s="205"/>
      <c r="L12" s="306"/>
    </row>
    <row r="13" spans="1:12">
      <c r="A13" s="429" t="str">
        <f>Application!B727</f>
        <v>2 Bedrooms</v>
      </c>
      <c r="B13" s="1084">
        <f>Application!G727</f>
        <v>8</v>
      </c>
      <c r="C13" s="1164"/>
      <c r="D13" s="429">
        <f>Application!O727</f>
        <v>1835</v>
      </c>
      <c r="E13" s="430"/>
      <c r="F13" s="1085"/>
      <c r="G13" s="429">
        <f t="shared" si="2"/>
        <v>0</v>
      </c>
      <c r="H13" s="430"/>
      <c r="I13" s="429" t="str">
        <f t="shared" si="0"/>
        <v/>
      </c>
      <c r="J13" s="429" t="str">
        <f t="shared" si="1"/>
        <v/>
      </c>
      <c r="K13" s="205"/>
      <c r="L13" s="306"/>
    </row>
    <row r="14" spans="1:12">
      <c r="A14" s="429" t="str">
        <f>Application!B728</f>
        <v>3 Bedrooms</v>
      </c>
      <c r="B14" s="1084">
        <f>Application!G728</f>
        <v>1</v>
      </c>
      <c r="C14" s="1164"/>
      <c r="D14" s="429">
        <f>Application!O728</f>
        <v>915</v>
      </c>
      <c r="E14" s="430"/>
      <c r="F14" s="1085"/>
      <c r="G14" s="429">
        <f t="shared" si="2"/>
        <v>0</v>
      </c>
      <c r="H14" s="430"/>
      <c r="I14" s="429" t="str">
        <f t="shared" si="0"/>
        <v/>
      </c>
      <c r="J14" s="429" t="str">
        <f t="shared" si="1"/>
        <v/>
      </c>
      <c r="K14" s="205"/>
      <c r="L14" s="306"/>
    </row>
    <row r="15" spans="1:12">
      <c r="A15" s="429" t="str">
        <f>Application!B729</f>
        <v>3 Bedrooms</v>
      </c>
      <c r="B15" s="1084">
        <f>Application!G729</f>
        <v>6</v>
      </c>
      <c r="C15" s="1164"/>
      <c r="D15" s="429">
        <f>Application!O729</f>
        <v>1141</v>
      </c>
      <c r="E15" s="430"/>
      <c r="F15" s="1085"/>
      <c r="G15" s="429">
        <f t="shared" si="2"/>
        <v>0</v>
      </c>
      <c r="H15" s="430"/>
      <c r="I15" s="429" t="str">
        <f t="shared" si="0"/>
        <v/>
      </c>
      <c r="J15" s="429" t="str">
        <f t="shared" si="1"/>
        <v/>
      </c>
      <c r="K15" s="205"/>
      <c r="L15" s="306"/>
    </row>
    <row r="16" spans="1:12">
      <c r="A16" s="429" t="str">
        <f>Application!B730</f>
        <v>3 Bedrooms</v>
      </c>
      <c r="B16" s="1084">
        <f>Application!G730</f>
        <v>22</v>
      </c>
      <c r="C16" s="1164"/>
      <c r="D16" s="429">
        <f>Application!O730</f>
        <v>2048</v>
      </c>
      <c r="E16" s="430"/>
      <c r="F16" s="1085"/>
      <c r="G16" s="429">
        <f t="shared" si="2"/>
        <v>0</v>
      </c>
      <c r="H16" s="430"/>
      <c r="I16" s="429" t="str">
        <f t="shared" si="0"/>
        <v/>
      </c>
      <c r="J16" s="429" t="str">
        <f t="shared" si="1"/>
        <v/>
      </c>
      <c r="K16" s="205"/>
      <c r="L16" s="306"/>
    </row>
    <row r="17" spans="1:12">
      <c r="A17" s="429">
        <f>Application!B731</f>
        <v>0</v>
      </c>
      <c r="B17" s="1084">
        <f>Application!G731</f>
        <v>0</v>
      </c>
      <c r="C17" s="1164"/>
      <c r="D17" s="429">
        <f>Application!O731</f>
        <v>0</v>
      </c>
      <c r="E17" s="430"/>
      <c r="F17" s="1085"/>
      <c r="G17" s="429">
        <f t="shared" si="2"/>
        <v>0</v>
      </c>
      <c r="H17" s="430"/>
      <c r="I17" s="429" t="str">
        <f t="shared" si="0"/>
        <v/>
      </c>
      <c r="J17" s="429" t="str">
        <f t="shared" si="1"/>
        <v/>
      </c>
      <c r="K17" s="205"/>
      <c r="L17" s="306"/>
    </row>
    <row r="18" spans="1:12">
      <c r="A18" s="429">
        <f>Application!B732</f>
        <v>0</v>
      </c>
      <c r="B18" s="1084">
        <f>Application!G732</f>
        <v>0</v>
      </c>
      <c r="C18" s="1164"/>
      <c r="D18" s="429">
        <f>Application!O732</f>
        <v>0</v>
      </c>
      <c r="E18" s="430"/>
      <c r="F18" s="1085"/>
      <c r="G18" s="429">
        <f t="shared" si="2"/>
        <v>0</v>
      </c>
      <c r="H18" s="430"/>
      <c r="I18" s="429" t="str">
        <f t="shared" si="0"/>
        <v/>
      </c>
      <c r="J18" s="429" t="str">
        <f t="shared" si="1"/>
        <v/>
      </c>
      <c r="K18" s="205"/>
      <c r="L18" s="306"/>
    </row>
    <row r="19" spans="1:12">
      <c r="A19" s="429">
        <f>Application!B733</f>
        <v>0</v>
      </c>
      <c r="B19" s="1084">
        <f>Application!G733</f>
        <v>0</v>
      </c>
      <c r="C19" s="1164"/>
      <c r="D19" s="429">
        <f>Application!O733</f>
        <v>0</v>
      </c>
      <c r="E19" s="430"/>
      <c r="F19" s="1085"/>
      <c r="G19" s="429">
        <f t="shared" si="2"/>
        <v>0</v>
      </c>
      <c r="H19" s="430"/>
      <c r="I19" s="429" t="str">
        <f t="shared" si="0"/>
        <v/>
      </c>
      <c r="J19" s="429" t="str">
        <f t="shared" si="1"/>
        <v/>
      </c>
      <c r="K19" s="205"/>
      <c r="L19" s="306"/>
    </row>
    <row r="20" spans="1:12">
      <c r="A20" s="429">
        <f>Application!B734</f>
        <v>0</v>
      </c>
      <c r="B20" s="1084">
        <f>Application!G734</f>
        <v>0</v>
      </c>
      <c r="C20" s="1164"/>
      <c r="D20" s="429">
        <f>Application!O734</f>
        <v>0</v>
      </c>
      <c r="E20" s="430"/>
      <c r="F20" s="1085"/>
      <c r="G20" s="429">
        <f t="shared" si="2"/>
        <v>0</v>
      </c>
      <c r="H20" s="430"/>
      <c r="I20" s="429" t="str">
        <f t="shared" si="0"/>
        <v/>
      </c>
      <c r="J20" s="429" t="str">
        <f t="shared" si="1"/>
        <v/>
      </c>
      <c r="K20" s="205"/>
      <c r="L20" s="306"/>
    </row>
    <row r="21" spans="1:12">
      <c r="A21" s="429">
        <f>Application!B735</f>
        <v>0</v>
      </c>
      <c r="B21" s="1084">
        <f>Application!G735</f>
        <v>0</v>
      </c>
      <c r="C21" s="1164"/>
      <c r="D21" s="429">
        <f>Application!O735</f>
        <v>0</v>
      </c>
      <c r="E21" s="430"/>
      <c r="F21" s="1085"/>
      <c r="G21" s="429">
        <f t="shared" si="2"/>
        <v>0</v>
      </c>
      <c r="H21" s="430"/>
      <c r="I21" s="429" t="str">
        <f t="shared" si="0"/>
        <v/>
      </c>
      <c r="J21" s="429" t="str">
        <f t="shared" si="1"/>
        <v/>
      </c>
      <c r="K21" s="205"/>
      <c r="L21" s="306"/>
    </row>
    <row r="22" spans="1:12">
      <c r="A22" s="429">
        <f>Application!B736</f>
        <v>0</v>
      </c>
      <c r="B22" s="1084">
        <f>Application!G736</f>
        <v>0</v>
      </c>
      <c r="C22" s="1164"/>
      <c r="D22" s="429">
        <f>Application!O736</f>
        <v>0</v>
      </c>
      <c r="E22" s="430"/>
      <c r="F22" s="1085"/>
      <c r="G22" s="429">
        <f t="shared" si="2"/>
        <v>0</v>
      </c>
      <c r="H22" s="430"/>
      <c r="I22" s="429" t="str">
        <f t="shared" si="0"/>
        <v/>
      </c>
      <c r="J22" s="429" t="str">
        <f t="shared" si="1"/>
        <v/>
      </c>
      <c r="K22" s="205"/>
      <c r="L22" s="306"/>
    </row>
    <row r="23" spans="1:12">
      <c r="A23" s="429">
        <f>Application!B737</f>
        <v>0</v>
      </c>
      <c r="B23" s="1084">
        <f>Application!G737</f>
        <v>0</v>
      </c>
      <c r="C23" s="1164"/>
      <c r="D23" s="429">
        <f>Application!O737</f>
        <v>0</v>
      </c>
      <c r="E23" s="430"/>
      <c r="F23" s="1085"/>
      <c r="G23" s="429">
        <f t="shared" si="2"/>
        <v>0</v>
      </c>
      <c r="H23" s="430"/>
      <c r="I23" s="429" t="str">
        <f t="shared" si="0"/>
        <v/>
      </c>
      <c r="J23" s="429" t="str">
        <f t="shared" si="1"/>
        <v/>
      </c>
      <c r="K23" s="205"/>
      <c r="L23" s="306"/>
    </row>
    <row r="24" spans="1:12">
      <c r="A24" s="429">
        <f>Application!B738</f>
        <v>0</v>
      </c>
      <c r="B24" s="1084">
        <f>Application!G738</f>
        <v>0</v>
      </c>
      <c r="C24" s="1164"/>
      <c r="D24" s="429">
        <f>Application!O738</f>
        <v>0</v>
      </c>
      <c r="E24" s="430"/>
      <c r="F24" s="1085"/>
      <c r="G24" s="429">
        <f t="shared" si="2"/>
        <v>0</v>
      </c>
      <c r="H24" s="430"/>
      <c r="I24" s="429" t="str">
        <f t="shared" si="0"/>
        <v/>
      </c>
      <c r="J24" s="429" t="str">
        <f t="shared" si="1"/>
        <v/>
      </c>
      <c r="K24" s="205"/>
      <c r="L24" s="306"/>
    </row>
    <row r="25" spans="1:12">
      <c r="A25" s="429">
        <f>Application!B739</f>
        <v>0</v>
      </c>
      <c r="B25" s="1084">
        <f>Application!G739</f>
        <v>0</v>
      </c>
      <c r="C25" s="1164"/>
      <c r="D25" s="429">
        <f>Application!O739</f>
        <v>0</v>
      </c>
      <c r="E25" s="430"/>
      <c r="F25" s="1085"/>
      <c r="G25" s="429">
        <f t="shared" si="2"/>
        <v>0</v>
      </c>
      <c r="H25" s="430"/>
      <c r="I25" s="429" t="str">
        <f t="shared" si="0"/>
        <v/>
      </c>
      <c r="J25" s="429" t="str">
        <f t="shared" si="1"/>
        <v/>
      </c>
      <c r="K25" s="205"/>
      <c r="L25" s="306"/>
    </row>
    <row r="26" spans="1:12">
      <c r="A26" s="429">
        <f>Application!B740</f>
        <v>0</v>
      </c>
      <c r="B26" s="1084">
        <f>Application!G740</f>
        <v>0</v>
      </c>
      <c r="C26" s="1164"/>
      <c r="D26" s="429">
        <f>Application!O740</f>
        <v>0</v>
      </c>
      <c r="E26" s="430"/>
      <c r="F26" s="1085"/>
      <c r="G26" s="429">
        <f t="shared" si="2"/>
        <v>0</v>
      </c>
      <c r="H26" s="430"/>
      <c r="I26" s="429" t="str">
        <f t="shared" si="0"/>
        <v/>
      </c>
      <c r="J26" s="429" t="str">
        <f t="shared" si="1"/>
        <v/>
      </c>
      <c r="K26" s="205"/>
      <c r="L26" s="306"/>
    </row>
    <row r="27" spans="1:12">
      <c r="A27" s="429">
        <f>Application!B741</f>
        <v>0</v>
      </c>
      <c r="B27" s="1084">
        <f>Application!G741</f>
        <v>0</v>
      </c>
      <c r="C27" s="1164"/>
      <c r="D27" s="429">
        <f>Application!O741</f>
        <v>0</v>
      </c>
      <c r="E27" s="430"/>
      <c r="F27" s="1085"/>
      <c r="G27" s="429">
        <f t="shared" si="2"/>
        <v>0</v>
      </c>
      <c r="H27" s="430"/>
      <c r="I27" s="429" t="str">
        <f t="shared" si="0"/>
        <v/>
      </c>
      <c r="J27" s="429" t="str">
        <f t="shared" si="1"/>
        <v/>
      </c>
      <c r="K27" s="205"/>
      <c r="L27" s="306"/>
    </row>
    <row r="28" spans="1:12">
      <c r="A28" s="429">
        <f>Application!B742</f>
        <v>0</v>
      </c>
      <c r="B28" s="1084">
        <f>Application!G742</f>
        <v>0</v>
      </c>
      <c r="C28" s="1164"/>
      <c r="D28" s="429">
        <f>Application!O742</f>
        <v>0</v>
      </c>
      <c r="E28" s="430"/>
      <c r="F28" s="1085"/>
      <c r="G28" s="429">
        <f t="shared" si="2"/>
        <v>0</v>
      </c>
      <c r="H28" s="430"/>
      <c r="I28" s="429" t="str">
        <f t="shared" ref="I28:I37" si="3">IF(F28=0,"",(F28-D28))</f>
        <v/>
      </c>
      <c r="J28" s="429" t="str">
        <f t="shared" ref="J28:J37" si="4">IF(F28=0,"",(I28*B28))</f>
        <v/>
      </c>
      <c r="K28" s="205"/>
      <c r="L28" s="306"/>
    </row>
    <row r="29" spans="1:12">
      <c r="A29" s="429">
        <f>Application!B743</f>
        <v>0</v>
      </c>
      <c r="B29" s="1084">
        <f>Application!G743</f>
        <v>0</v>
      </c>
      <c r="C29" s="1164"/>
      <c r="D29" s="429">
        <f>Application!O743</f>
        <v>0</v>
      </c>
      <c r="E29" s="430"/>
      <c r="F29" s="1085"/>
      <c r="G29" s="429">
        <f t="shared" si="2"/>
        <v>0</v>
      </c>
      <c r="H29" s="430"/>
      <c r="I29" s="429" t="str">
        <f t="shared" si="3"/>
        <v/>
      </c>
      <c r="J29" s="429" t="str">
        <f t="shared" si="4"/>
        <v/>
      </c>
      <c r="K29" s="205"/>
      <c r="L29" s="306"/>
    </row>
    <row r="30" spans="1:12">
      <c r="A30" s="429">
        <f>Application!B744</f>
        <v>0</v>
      </c>
      <c r="B30" s="1084">
        <f>Application!G744</f>
        <v>0</v>
      </c>
      <c r="C30" s="1164"/>
      <c r="D30" s="429">
        <f>Application!O744</f>
        <v>0</v>
      </c>
      <c r="E30" s="430"/>
      <c r="F30" s="1085"/>
      <c r="G30" s="429">
        <f t="shared" si="2"/>
        <v>0</v>
      </c>
      <c r="H30" s="430"/>
      <c r="I30" s="429" t="str">
        <f t="shared" si="3"/>
        <v/>
      </c>
      <c r="J30" s="429" t="str">
        <f t="shared" si="4"/>
        <v/>
      </c>
      <c r="K30" s="205"/>
      <c r="L30" s="306"/>
    </row>
    <row r="31" spans="1:12">
      <c r="A31" s="429">
        <f>Application!B745</f>
        <v>0</v>
      </c>
      <c r="B31" s="1084">
        <f>Application!G745</f>
        <v>0</v>
      </c>
      <c r="C31" s="1164"/>
      <c r="D31" s="429">
        <f>Application!O745</f>
        <v>0</v>
      </c>
      <c r="E31" s="430"/>
      <c r="F31" s="1085"/>
      <c r="G31" s="429">
        <f t="shared" si="2"/>
        <v>0</v>
      </c>
      <c r="H31" s="430"/>
      <c r="I31" s="429" t="str">
        <f t="shared" si="3"/>
        <v/>
      </c>
      <c r="J31" s="429" t="str">
        <f t="shared" si="4"/>
        <v/>
      </c>
      <c r="K31" s="205"/>
      <c r="L31" s="306"/>
    </row>
    <row r="32" spans="1:12">
      <c r="A32" s="429">
        <f>Application!B746</f>
        <v>0</v>
      </c>
      <c r="B32" s="1084">
        <f>Application!G746</f>
        <v>0</v>
      </c>
      <c r="C32" s="1164"/>
      <c r="D32" s="429">
        <f>Application!O746</f>
        <v>0</v>
      </c>
      <c r="E32" s="430"/>
      <c r="F32" s="1085"/>
      <c r="G32" s="429">
        <f t="shared" si="2"/>
        <v>0</v>
      </c>
      <c r="H32" s="430"/>
      <c r="I32" s="429" t="str">
        <f t="shared" si="3"/>
        <v/>
      </c>
      <c r="J32" s="429" t="str">
        <f t="shared" si="4"/>
        <v/>
      </c>
      <c r="K32" s="205"/>
      <c r="L32" s="306"/>
    </row>
    <row r="33" spans="1:12">
      <c r="A33" s="429">
        <f>Application!B747</f>
        <v>0</v>
      </c>
      <c r="B33" s="1084">
        <f>Application!G747</f>
        <v>0</v>
      </c>
      <c r="C33" s="1164"/>
      <c r="D33" s="429">
        <f>Application!O747</f>
        <v>0</v>
      </c>
      <c r="E33" s="430"/>
      <c r="F33" s="1085"/>
      <c r="G33" s="429">
        <f t="shared" si="2"/>
        <v>0</v>
      </c>
      <c r="H33" s="430"/>
      <c r="I33" s="429" t="str">
        <f t="shared" si="3"/>
        <v/>
      </c>
      <c r="J33" s="429" t="str">
        <f t="shared" si="4"/>
        <v/>
      </c>
      <c r="K33" s="205"/>
      <c r="L33" s="306"/>
    </row>
    <row r="34" spans="1:12">
      <c r="A34" s="429">
        <f>Application!B748</f>
        <v>0</v>
      </c>
      <c r="B34" s="1084">
        <f>Application!G748</f>
        <v>0</v>
      </c>
      <c r="C34" s="1164"/>
      <c r="D34" s="429">
        <f>Application!O748</f>
        <v>0</v>
      </c>
      <c r="E34" s="430"/>
      <c r="F34" s="1085"/>
      <c r="G34" s="429">
        <f t="shared" si="2"/>
        <v>0</v>
      </c>
      <c r="H34" s="430"/>
      <c r="I34" s="429" t="str">
        <f t="shared" si="3"/>
        <v/>
      </c>
      <c r="J34" s="429" t="str">
        <f t="shared" si="4"/>
        <v/>
      </c>
      <c r="K34" s="205"/>
      <c r="L34" s="306"/>
    </row>
    <row r="35" spans="1:12">
      <c r="A35" s="429">
        <f>Application!B749</f>
        <v>0</v>
      </c>
      <c r="B35" s="1084">
        <f>Application!G749</f>
        <v>0</v>
      </c>
      <c r="C35" s="1164"/>
      <c r="D35" s="429">
        <f>Application!O749</f>
        <v>0</v>
      </c>
      <c r="E35" s="430"/>
      <c r="F35" s="1085"/>
      <c r="G35" s="429">
        <f t="shared" si="2"/>
        <v>0</v>
      </c>
      <c r="H35" s="430"/>
      <c r="I35" s="429" t="str">
        <f t="shared" si="3"/>
        <v/>
      </c>
      <c r="J35" s="429" t="str">
        <f t="shared" si="4"/>
        <v/>
      </c>
      <c r="K35" s="205"/>
      <c r="L35" s="306"/>
    </row>
    <row r="36" spans="1:12">
      <c r="A36" s="429">
        <f>Application!B750</f>
        <v>0</v>
      </c>
      <c r="B36" s="1084">
        <f>Application!G750</f>
        <v>0</v>
      </c>
      <c r="C36" s="1164"/>
      <c r="D36" s="429">
        <f>Application!O750</f>
        <v>0</v>
      </c>
      <c r="E36" s="430"/>
      <c r="F36" s="1085"/>
      <c r="G36" s="429">
        <f t="shared" si="2"/>
        <v>0</v>
      </c>
      <c r="H36" s="430"/>
      <c r="I36" s="429" t="str">
        <f t="shared" si="3"/>
        <v/>
      </c>
      <c r="J36" s="429" t="str">
        <f t="shared" si="4"/>
        <v/>
      </c>
      <c r="K36" s="205"/>
      <c r="L36" s="306"/>
    </row>
    <row r="37" spans="1:12">
      <c r="A37" s="429">
        <f>Application!B751</f>
        <v>0</v>
      </c>
      <c r="B37" s="1084">
        <f>Application!G751</f>
        <v>0</v>
      </c>
      <c r="C37" s="1164"/>
      <c r="D37" s="429">
        <f>Application!O751</f>
        <v>0</v>
      </c>
      <c r="E37" s="430"/>
      <c r="F37" s="1085"/>
      <c r="G37" s="429">
        <f t="shared" si="2"/>
        <v>0</v>
      </c>
      <c r="H37" s="430"/>
      <c r="I37" s="429" t="str">
        <f t="shared" si="3"/>
        <v/>
      </c>
      <c r="J37" s="429" t="str">
        <f t="shared" si="4"/>
        <v/>
      </c>
      <c r="K37" s="205"/>
      <c r="L37" s="306"/>
    </row>
    <row r="38" spans="1:12">
      <c r="A38" s="429">
        <f>Application!B752</f>
        <v>0</v>
      </c>
      <c r="B38" s="1084">
        <f>Application!G752</f>
        <v>0</v>
      </c>
      <c r="C38" s="1164"/>
      <c r="D38" s="429">
        <f>Application!O752</f>
        <v>0</v>
      </c>
      <c r="E38" s="430"/>
      <c r="F38" s="1085"/>
      <c r="G38" s="429">
        <f t="shared" si="2"/>
        <v>0</v>
      </c>
      <c r="H38" s="430"/>
      <c r="I38" s="429" t="str">
        <f>IF(F38=0,"",(F38-D38))</f>
        <v/>
      </c>
      <c r="J38" s="429" t="str">
        <f>IF(F38=0,"",(I38*B38))</f>
        <v/>
      </c>
      <c r="K38" s="205"/>
      <c r="L38" s="306"/>
    </row>
    <row r="39" spans="1:12">
      <c r="A39" s="205"/>
      <c r="B39" s="205"/>
      <c r="C39" s="205"/>
      <c r="D39" s="430"/>
      <c r="E39" s="430"/>
      <c r="F39" s="430"/>
      <c r="G39" s="430"/>
      <c r="H39" s="430"/>
      <c r="I39" s="430"/>
      <c r="J39" s="205"/>
      <c r="K39" s="205"/>
      <c r="L39" s="306"/>
    </row>
    <row r="40" spans="1:12" ht="15">
      <c r="A40" s="431" t="s">
        <v>915</v>
      </c>
      <c r="B40" s="432"/>
      <c r="C40" s="432"/>
      <c r="D40" s="433">
        <f>Application!O753</f>
        <v>123527</v>
      </c>
      <c r="E40" s="430"/>
      <c r="F40" s="430"/>
      <c r="G40" s="433">
        <f>SUM(G4:G38)*12</f>
        <v>0</v>
      </c>
      <c r="H40" s="434"/>
      <c r="I40" s="432"/>
      <c r="J40" s="433">
        <f>SUM(J4:J38)*12</f>
        <v>0</v>
      </c>
      <c r="K40" s="205"/>
      <c r="L40" s="307"/>
    </row>
    <row r="41" spans="1:12" ht="15">
      <c r="A41" s="431"/>
      <c r="B41" s="432"/>
      <c r="C41" s="432"/>
      <c r="D41" s="434"/>
      <c r="E41" s="430"/>
      <c r="F41" s="430"/>
      <c r="G41" s="434"/>
      <c r="H41" s="434"/>
      <c r="I41" s="432"/>
      <c r="J41" s="434"/>
      <c r="K41" s="205"/>
      <c r="L41" s="307"/>
    </row>
    <row r="42" spans="1:12">
      <c r="A42" s="305" t="s">
        <v>2260</v>
      </c>
    </row>
    <row r="43" spans="1:12">
      <c r="A43" s="2697" t="s">
        <v>2499</v>
      </c>
      <c r="B43" s="2697"/>
      <c r="C43" s="2697"/>
      <c r="D43" s="2697"/>
      <c r="E43" s="2697"/>
      <c r="F43" s="2697"/>
      <c r="G43" s="2697"/>
      <c r="H43" s="2697"/>
      <c r="I43" s="2697"/>
      <c r="J43" s="2697"/>
    </row>
    <row r="44" spans="1:12">
      <c r="A44" s="2697"/>
      <c r="B44" s="2697"/>
      <c r="C44" s="2697"/>
      <c r="D44" s="2697"/>
      <c r="E44" s="2697"/>
      <c r="F44" s="2697"/>
      <c r="G44" s="2697"/>
      <c r="H44" s="2697"/>
      <c r="I44" s="2697"/>
      <c r="J44" s="2697"/>
    </row>
    <row r="45" spans="1:12">
      <c r="A45" s="2697" t="s">
        <v>2261</v>
      </c>
      <c r="B45" s="2697"/>
      <c r="C45" s="2697"/>
      <c r="D45" s="2697"/>
      <c r="E45" s="2697"/>
      <c r="F45" s="2697"/>
      <c r="G45" s="2697"/>
      <c r="H45" s="2697"/>
      <c r="I45" s="2697"/>
      <c r="J45" s="2697"/>
    </row>
    <row r="46" spans="1:12">
      <c r="A46" s="2697"/>
      <c r="B46" s="2697"/>
      <c r="C46" s="2697"/>
      <c r="D46" s="2697"/>
      <c r="E46" s="2697"/>
      <c r="F46" s="2697"/>
      <c r="G46" s="2697"/>
      <c r="H46" s="2697"/>
      <c r="I46" s="2697"/>
      <c r="J46" s="2697"/>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3" workbookViewId="0">
      <selection activeCell="B65" sqref="B65"/>
    </sheetView>
  </sheetViews>
  <sheetFormatPr defaultColWidth="0" defaultRowHeight="12.75" zeroHeight="1"/>
  <cols>
    <col min="1" max="1" width="3.5703125" customWidth="1"/>
    <col min="2" max="2" width="30.5703125" customWidth="1"/>
    <col min="3" max="3" width="9.140625" style="21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 min="35" max="35" width="0" hidden="1" customWidth="1"/>
    <col min="36" max="16384" width="8.85546875" hidden="1"/>
  </cols>
  <sheetData>
    <row r="1" spans="1:34" ht="18">
      <c r="A1" s="212" t="s">
        <v>2095</v>
      </c>
      <c r="B1" s="212"/>
    </row>
    <row r="2" spans="1:34"/>
    <row r="3" spans="1:34" ht="15.75">
      <c r="A3" s="213" t="s">
        <v>819</v>
      </c>
      <c r="B3" s="213"/>
      <c r="C3" s="236" t="s">
        <v>820</v>
      </c>
      <c r="D3" s="13"/>
      <c r="E3" s="237" t="s">
        <v>821</v>
      </c>
      <c r="F3" s="204"/>
      <c r="G3" s="237" t="s">
        <v>822</v>
      </c>
      <c r="H3" s="204"/>
      <c r="I3" s="237" t="s">
        <v>823</v>
      </c>
      <c r="J3" s="204"/>
      <c r="K3" s="237" t="s">
        <v>824</v>
      </c>
      <c r="L3" s="204"/>
      <c r="M3" s="237" t="s">
        <v>825</v>
      </c>
      <c r="N3" s="204"/>
      <c r="O3" s="237" t="s">
        <v>826</v>
      </c>
      <c r="P3" s="204"/>
      <c r="Q3" s="237" t="s">
        <v>827</v>
      </c>
      <c r="R3" s="204"/>
      <c r="S3" s="237" t="s">
        <v>828</v>
      </c>
      <c r="T3" s="204"/>
      <c r="U3" s="237" t="s">
        <v>829</v>
      </c>
      <c r="V3" s="204"/>
      <c r="W3" s="237" t="s">
        <v>830</v>
      </c>
      <c r="X3" s="204"/>
      <c r="Y3" s="237" t="s">
        <v>831</v>
      </c>
      <c r="Z3" s="204"/>
      <c r="AA3" s="237" t="s">
        <v>832</v>
      </c>
      <c r="AB3" s="204"/>
      <c r="AC3" s="237" t="s">
        <v>833</v>
      </c>
      <c r="AD3" s="204"/>
      <c r="AE3" s="237" t="s">
        <v>834</v>
      </c>
      <c r="AF3" s="204"/>
      <c r="AG3" s="237" t="s">
        <v>835</v>
      </c>
      <c r="AH3" s="13"/>
    </row>
    <row r="4" spans="1:34" s="220" customFormat="1" ht="14.25">
      <c r="A4" s="220" t="s">
        <v>837</v>
      </c>
      <c r="C4" s="238">
        <v>1.0249999999999999</v>
      </c>
      <c r="E4" s="220">
        <f>Application!Y801</f>
        <v>1482324</v>
      </c>
      <c r="G4" s="220">
        <f>E4*$C$4</f>
        <v>1519382.0999999999</v>
      </c>
      <c r="I4" s="220">
        <f>G4*$C$4</f>
        <v>1557366.6524999996</v>
      </c>
      <c r="K4" s="220">
        <f>I4*$C$4</f>
        <v>1596300.8188124995</v>
      </c>
      <c r="M4" s="220">
        <f>K4*$C$4</f>
        <v>1636208.3392828119</v>
      </c>
      <c r="O4" s="220">
        <f>M4*$C$4</f>
        <v>1677113.547764882</v>
      </c>
      <c r="Q4" s="220">
        <f>O4*$C$4</f>
        <v>1719041.3864590039</v>
      </c>
      <c r="S4" s="220">
        <f>Q4*$C$4</f>
        <v>1762017.4211204788</v>
      </c>
      <c r="U4" s="220">
        <f>S4*$C$4</f>
        <v>1806067.8566484905</v>
      </c>
      <c r="W4" s="220">
        <f>U4*$C$4</f>
        <v>1851219.5530647025</v>
      </c>
      <c r="Y4" s="220">
        <f>W4*$C$4</f>
        <v>1897500.0418913199</v>
      </c>
      <c r="AA4" s="220">
        <f>Y4*$C$4</f>
        <v>1944937.5429386029</v>
      </c>
      <c r="AC4" s="220">
        <f>AA4*$C$4</f>
        <v>1993560.9815120678</v>
      </c>
      <c r="AE4" s="220">
        <f>AC4*$C$4</f>
        <v>2043400.0060498693</v>
      </c>
      <c r="AG4" s="220">
        <f>AE4*$C$4</f>
        <v>2094485.0062011159</v>
      </c>
    </row>
    <row r="5" spans="1:34" s="211" customFormat="1" ht="14.25">
      <c r="B5" s="211" t="s">
        <v>838</v>
      </c>
      <c r="C5" s="239">
        <f>IF(Application!$D$211="Special Needs",(((0.1*Application!$T$212)+(0.05*(1-Application!$T$212)))),0.05)</f>
        <v>0.05</v>
      </c>
      <c r="E5" s="222">
        <f>-E4*$C$5</f>
        <v>-74116.2</v>
      </c>
      <c r="F5" s="222"/>
      <c r="G5" s="222">
        <f>-G4*$C$5</f>
        <v>-75969.104999999996</v>
      </c>
      <c r="H5" s="222"/>
      <c r="I5" s="222">
        <f>-I4*$C$5</f>
        <v>-77868.332624999981</v>
      </c>
      <c r="J5" s="222"/>
      <c r="K5" s="222">
        <f>-K4*$C$5</f>
        <v>-79815.040940624982</v>
      </c>
      <c r="L5" s="222"/>
      <c r="M5" s="222">
        <f>-M4*$C$5</f>
        <v>-81810.416964140604</v>
      </c>
      <c r="N5" s="222"/>
      <c r="O5" s="222">
        <f>-O4*$C$5</f>
        <v>-83855.677388244105</v>
      </c>
      <c r="P5" s="222"/>
      <c r="Q5" s="222">
        <f>-Q4*$C$5</f>
        <v>-85952.069322950207</v>
      </c>
      <c r="R5" s="222"/>
      <c r="S5" s="222">
        <f>-S4*$C$5</f>
        <v>-88100.871056023941</v>
      </c>
      <c r="T5" s="222"/>
      <c r="U5" s="222">
        <f>-U4*$C$5</f>
        <v>-90303.392832424535</v>
      </c>
      <c r="V5" s="222"/>
      <c r="W5" s="222">
        <f>-W4*$C$5</f>
        <v>-92560.977653235139</v>
      </c>
      <c r="X5" s="222"/>
      <c r="Y5" s="222">
        <f>-Y4*$C$5</f>
        <v>-94875.002094566007</v>
      </c>
      <c r="Z5" s="222"/>
      <c r="AA5" s="222">
        <f>-AA4*$C$5</f>
        <v>-97246.877146930143</v>
      </c>
      <c r="AB5" s="222"/>
      <c r="AC5" s="222">
        <f>-AC4*$C$5</f>
        <v>-99678.049075603398</v>
      </c>
      <c r="AD5" s="222"/>
      <c r="AE5" s="222">
        <f>-AE4*$C$5</f>
        <v>-102170.00030249347</v>
      </c>
      <c r="AF5" s="222"/>
      <c r="AG5" s="222">
        <f>-AG4*$C$5</f>
        <v>-104724.2503100558</v>
      </c>
    </row>
    <row r="6" spans="1:34" s="211" customFormat="1" ht="14.25">
      <c r="A6" s="211" t="s">
        <v>836</v>
      </c>
      <c r="C6" s="238">
        <v>1.0249999999999999</v>
      </c>
      <c r="E6" s="223">
        <f>Application!Z809</f>
        <v>0</v>
      </c>
      <c r="F6" s="223"/>
      <c r="G6" s="223">
        <f>E6*$C$6</f>
        <v>0</v>
      </c>
      <c r="H6" s="223"/>
      <c r="I6" s="223">
        <f>G6*$C$6</f>
        <v>0</v>
      </c>
      <c r="J6" s="223"/>
      <c r="K6" s="223">
        <f>I6*$C$6</f>
        <v>0</v>
      </c>
      <c r="L6" s="223"/>
      <c r="M6" s="223">
        <f>K6*$C$6</f>
        <v>0</v>
      </c>
      <c r="N6" s="223"/>
      <c r="O6" s="223">
        <f>M6*$C$6</f>
        <v>0</v>
      </c>
      <c r="P6" s="223"/>
      <c r="Q6" s="223">
        <f>O6*$C$6</f>
        <v>0</v>
      </c>
      <c r="R6" s="223"/>
      <c r="S6" s="223">
        <f>Q6*$C$6</f>
        <v>0</v>
      </c>
      <c r="T6" s="223"/>
      <c r="U6" s="223">
        <f>S6*$C$6</f>
        <v>0</v>
      </c>
      <c r="V6" s="223"/>
      <c r="W6" s="223">
        <f>U6*$C$6</f>
        <v>0</v>
      </c>
      <c r="X6" s="223"/>
      <c r="Y6" s="223">
        <f>W6*$C$6</f>
        <v>0</v>
      </c>
      <c r="Z6" s="223"/>
      <c r="AA6" s="223">
        <f>Y6*$C$6</f>
        <v>0</v>
      </c>
      <c r="AB6" s="223"/>
      <c r="AC6" s="223">
        <f>AA6*$C$6</f>
        <v>0</v>
      </c>
      <c r="AD6" s="223"/>
      <c r="AE6" s="223">
        <f>AC6*$C$6</f>
        <v>0</v>
      </c>
      <c r="AF6" s="223"/>
      <c r="AG6" s="223">
        <f>AE6*$C$6</f>
        <v>0</v>
      </c>
    </row>
    <row r="7" spans="1:34" s="211" customFormat="1" ht="14.25">
      <c r="B7" s="211" t="s">
        <v>838</v>
      </c>
      <c r="C7" s="239">
        <f>IF(Application!$D$211="Special Needs",(((0.1*Application!$T$212)+(0.05*(1-Application!$T$212)))),0.05)</f>
        <v>0.05</v>
      </c>
      <c r="E7" s="222">
        <f>-E6*$C$7</f>
        <v>0</v>
      </c>
      <c r="F7" s="222"/>
      <c r="G7" s="222">
        <f>-G6*$C$7</f>
        <v>0</v>
      </c>
      <c r="H7" s="222"/>
      <c r="I7" s="222">
        <f>-I6*$C$7</f>
        <v>0</v>
      </c>
      <c r="J7" s="222"/>
      <c r="K7" s="222">
        <f>-K6*$C$7</f>
        <v>0</v>
      </c>
      <c r="L7" s="222"/>
      <c r="M7" s="222">
        <f>-M6*$C$7</f>
        <v>0</v>
      </c>
      <c r="N7" s="222"/>
      <c r="O7" s="222">
        <f>-O6*$C$7</f>
        <v>0</v>
      </c>
      <c r="P7" s="222"/>
      <c r="Q7" s="222">
        <f>-Q6*$C$7</f>
        <v>0</v>
      </c>
      <c r="R7" s="222"/>
      <c r="S7" s="222">
        <f>-S6*$C$7</f>
        <v>0</v>
      </c>
      <c r="T7" s="222"/>
      <c r="U7" s="222">
        <f>-U6*$C$7</f>
        <v>0</v>
      </c>
      <c r="V7" s="222"/>
      <c r="W7" s="222">
        <f>-W6*$C$7</f>
        <v>0</v>
      </c>
      <c r="X7" s="222"/>
      <c r="Y7" s="222">
        <f>-Y6*$C$7</f>
        <v>0</v>
      </c>
      <c r="Z7" s="222"/>
      <c r="AA7" s="222">
        <f>-AA6*$C$7</f>
        <v>0</v>
      </c>
      <c r="AB7" s="222"/>
      <c r="AC7" s="222">
        <f>-AC6*$C$7</f>
        <v>0</v>
      </c>
      <c r="AD7" s="222"/>
      <c r="AE7" s="222">
        <f>-AE6*$C$7</f>
        <v>0</v>
      </c>
      <c r="AF7" s="222"/>
      <c r="AG7" s="222">
        <f>-AG6*$C$7</f>
        <v>0</v>
      </c>
    </row>
    <row r="8" spans="1:34" s="211" customFormat="1" ht="14.25">
      <c r="A8" s="211" t="s">
        <v>288</v>
      </c>
      <c r="C8" s="238">
        <v>1.0249999999999999</v>
      </c>
      <c r="E8" s="223">
        <f>Application!Z817</f>
        <v>48836</v>
      </c>
      <c r="F8" s="223"/>
      <c r="G8" s="223">
        <f>E8*$C$8</f>
        <v>50056.899999999994</v>
      </c>
      <c r="H8" s="223"/>
      <c r="I8" s="223">
        <f>G8*$C$8</f>
        <v>51308.322499999987</v>
      </c>
      <c r="J8" s="223"/>
      <c r="K8" s="223">
        <f>I8*$C$8</f>
        <v>52591.030562499982</v>
      </c>
      <c r="L8" s="223"/>
      <c r="M8" s="223">
        <f>K8*$C$8</f>
        <v>53905.806326562473</v>
      </c>
      <c r="N8" s="223"/>
      <c r="O8" s="223">
        <f>M8*$C$8</f>
        <v>55253.451484726531</v>
      </c>
      <c r="P8" s="223"/>
      <c r="Q8" s="223">
        <f>O8*$C$8</f>
        <v>56634.787771844691</v>
      </c>
      <c r="R8" s="223"/>
      <c r="S8" s="223">
        <f>Q8*$C$8</f>
        <v>58050.657466140801</v>
      </c>
      <c r="T8" s="223"/>
      <c r="U8" s="223">
        <f>S8*$C$8</f>
        <v>59501.923902794319</v>
      </c>
      <c r="V8" s="223"/>
      <c r="W8" s="223">
        <f>U8*$C$8</f>
        <v>60989.472000364171</v>
      </c>
      <c r="X8" s="223"/>
      <c r="Y8" s="223">
        <f>W8*$C$8</f>
        <v>62514.208800373272</v>
      </c>
      <c r="Z8" s="223"/>
      <c r="AA8" s="223">
        <f>Y8*$C$8</f>
        <v>64077.064020382597</v>
      </c>
      <c r="AB8" s="223"/>
      <c r="AC8" s="223">
        <f>AA8*$C$8</f>
        <v>65678.99062089216</v>
      </c>
      <c r="AD8" s="223"/>
      <c r="AE8" s="223">
        <f>AC8*$C$8</f>
        <v>67320.965386414464</v>
      </c>
      <c r="AF8" s="223"/>
      <c r="AG8" s="223">
        <f>AE8*$C$8</f>
        <v>69003.989521074822</v>
      </c>
    </row>
    <row r="9" spans="1:34" s="211" customFormat="1" ht="14.25">
      <c r="B9" s="211" t="s">
        <v>838</v>
      </c>
      <c r="C9" s="239">
        <f>IF(Application!$D$211="Special Needs",(((0.1*Application!$T$212)+(0.05*(1-Application!$T$212)))),0.05)</f>
        <v>0.05</v>
      </c>
      <c r="E9" s="222">
        <f>-E8*$C$9</f>
        <v>-2441.8000000000002</v>
      </c>
      <c r="F9" s="222"/>
      <c r="G9" s="222">
        <f>-G8*$C$9</f>
        <v>-2502.8449999999998</v>
      </c>
      <c r="H9" s="222"/>
      <c r="I9" s="222">
        <f>-I8*$C$9</f>
        <v>-2565.4161249999997</v>
      </c>
      <c r="J9" s="222"/>
      <c r="K9" s="222">
        <f>-K8*$C$9</f>
        <v>-2629.5515281249991</v>
      </c>
      <c r="L9" s="222"/>
      <c r="M9" s="222">
        <f>-M8*$C$9</f>
        <v>-2695.2903163281239</v>
      </c>
      <c r="N9" s="222"/>
      <c r="O9" s="222">
        <f>-O8*$C$9</f>
        <v>-2762.6725742363269</v>
      </c>
      <c r="P9" s="222"/>
      <c r="Q9" s="222">
        <f>-Q8*$C$9</f>
        <v>-2831.7393885922347</v>
      </c>
      <c r="R9" s="222"/>
      <c r="S9" s="222">
        <f>-S8*$C$9</f>
        <v>-2902.5328733070401</v>
      </c>
      <c r="T9" s="222"/>
      <c r="U9" s="222">
        <f>-U8*$C$9</f>
        <v>-2975.0961951397162</v>
      </c>
      <c r="V9" s="222"/>
      <c r="W9" s="222">
        <f>-W8*$C$9</f>
        <v>-3049.4736000182088</v>
      </c>
      <c r="X9" s="222"/>
      <c r="Y9" s="222">
        <f>-Y8*$C$9</f>
        <v>-3125.7104400186636</v>
      </c>
      <c r="Z9" s="222"/>
      <c r="AA9" s="222">
        <f>-AA8*$C$9</f>
        <v>-3203.8532010191302</v>
      </c>
      <c r="AB9" s="222"/>
      <c r="AC9" s="222">
        <f>-AC8*$C$9</f>
        <v>-3283.9495310446082</v>
      </c>
      <c r="AD9" s="222"/>
      <c r="AE9" s="222">
        <f>-AE8*$C$9</f>
        <v>-3366.0482693207232</v>
      </c>
      <c r="AF9" s="222"/>
      <c r="AG9" s="222">
        <f>-AG8*$C$9</f>
        <v>-3450.1994760537414</v>
      </c>
    </row>
    <row r="10" spans="1:34" s="211" customFormat="1" ht="14.25">
      <c r="A10" s="1145" t="s">
        <v>2224</v>
      </c>
      <c r="B10" s="1145"/>
      <c r="C10" s="239"/>
      <c r="E10" s="1146"/>
      <c r="F10" s="223"/>
      <c r="G10" s="1146"/>
      <c r="H10" s="223"/>
      <c r="I10" s="1146"/>
      <c r="J10" s="223"/>
      <c r="K10" s="1146"/>
      <c r="L10" s="223"/>
      <c r="M10" s="1146"/>
      <c r="N10" s="223"/>
      <c r="O10" s="1146"/>
      <c r="P10" s="223"/>
      <c r="Q10" s="1146"/>
      <c r="R10" s="223"/>
      <c r="S10" s="1146"/>
      <c r="T10" s="223"/>
      <c r="U10" s="1146"/>
      <c r="V10" s="223"/>
      <c r="W10" s="1146"/>
      <c r="X10" s="223"/>
      <c r="Y10" s="1146"/>
      <c r="Z10" s="223"/>
      <c r="AA10" s="1146"/>
      <c r="AB10" s="223"/>
      <c r="AC10" s="1146"/>
      <c r="AD10" s="223"/>
      <c r="AE10" s="1146"/>
      <c r="AF10" s="223"/>
      <c r="AG10" s="1146"/>
    </row>
    <row r="11" spans="1:34" s="224" customFormat="1" ht="15">
      <c r="A11" s="224" t="s">
        <v>859</v>
      </c>
      <c r="C11" s="217"/>
      <c r="E11" s="224">
        <f>SUM(E4:E10)</f>
        <v>1454602</v>
      </c>
      <c r="G11" s="224">
        <f>SUM(G4:G10)</f>
        <v>1490967.0499999998</v>
      </c>
      <c r="I11" s="224">
        <f>SUM(I4:I10)</f>
        <v>1528241.2262499996</v>
      </c>
      <c r="K11" s="224">
        <f>SUM(K4:K10)</f>
        <v>1566447.2569062496</v>
      </c>
      <c r="M11" s="224">
        <f>SUM(M4:M10)</f>
        <v>1605608.4383289057</v>
      </c>
      <c r="O11" s="224">
        <f>SUM(O4:O10)</f>
        <v>1645748.6492871281</v>
      </c>
      <c r="Q11" s="224">
        <f>SUM(Q4:Q10)</f>
        <v>1686892.3655193062</v>
      </c>
      <c r="S11" s="224">
        <f>SUM(S4:S10)</f>
        <v>1729064.6746572885</v>
      </c>
      <c r="U11" s="224">
        <f>SUM(U4:U10)</f>
        <v>1772291.2915237206</v>
      </c>
      <c r="W11" s="224">
        <f>SUM(W4:W10)</f>
        <v>1816598.5738118133</v>
      </c>
      <c r="Y11" s="224">
        <f>SUM(Y4:Y10)</f>
        <v>1862013.5381571085</v>
      </c>
      <c r="AA11" s="224">
        <f>SUM(AA4:AA10)</f>
        <v>1908563.8766110362</v>
      </c>
      <c r="AC11" s="224">
        <f>SUM(AC4:AC10)</f>
        <v>1956277.973526312</v>
      </c>
      <c r="AE11" s="224">
        <f>SUM(AE4:AE10)</f>
        <v>2005184.9228644695</v>
      </c>
      <c r="AG11" s="224">
        <f>SUM(AG4:AG10)</f>
        <v>2055314.5459360811</v>
      </c>
    </row>
    <row r="12" spans="1:34">
      <c r="C12" s="234"/>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16"/>
      <c r="AF12" s="216"/>
      <c r="AG12" s="216"/>
    </row>
    <row r="13" spans="1:34" ht="15.75">
      <c r="A13" s="213" t="s">
        <v>839</v>
      </c>
      <c r="C13" s="234"/>
      <c r="E13" s="216"/>
      <c r="F13" s="216"/>
      <c r="G13" s="216"/>
      <c r="H13" s="216"/>
      <c r="I13" s="216"/>
      <c r="J13" s="216"/>
      <c r="K13" s="216"/>
      <c r="L13" s="216"/>
      <c r="M13" s="216"/>
      <c r="N13" s="216"/>
      <c r="O13" s="216"/>
      <c r="P13" s="216"/>
      <c r="Q13" s="216"/>
      <c r="R13" s="216"/>
      <c r="S13" s="216"/>
      <c r="T13" s="216"/>
      <c r="U13" s="216"/>
      <c r="V13" s="216"/>
      <c r="W13" s="216"/>
      <c r="X13" s="216"/>
      <c r="Y13" s="216"/>
      <c r="Z13" s="216"/>
      <c r="AA13" s="216"/>
      <c r="AB13" s="216"/>
      <c r="AC13" s="216"/>
      <c r="AD13" s="216"/>
      <c r="AE13" s="216"/>
      <c r="AF13" s="216"/>
      <c r="AG13" s="216"/>
    </row>
    <row r="14" spans="1:34" s="211" customFormat="1" ht="14.25">
      <c r="A14" s="211" t="s">
        <v>840</v>
      </c>
      <c r="C14" s="238">
        <v>1.0349999999999999</v>
      </c>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row>
    <row r="15" spans="1:34" s="220" customFormat="1" ht="14.25">
      <c r="A15" s="220" t="s">
        <v>841</v>
      </c>
      <c r="C15" s="176"/>
      <c r="E15" s="220">
        <f>Application!W847</f>
        <v>154000</v>
      </c>
      <c r="G15" s="220">
        <f>E15*$C$14</f>
        <v>159390</v>
      </c>
      <c r="I15" s="220">
        <f>G15*$C$14</f>
        <v>164968.65</v>
      </c>
      <c r="K15" s="220">
        <f>I15*$C$14</f>
        <v>170742.55274999997</v>
      </c>
      <c r="M15" s="220">
        <f>K15*$C$14</f>
        <v>176718.54209624996</v>
      </c>
      <c r="O15" s="220">
        <f>M15*$C$14</f>
        <v>182903.69106961871</v>
      </c>
      <c r="Q15" s="220">
        <f>O15*$C$14</f>
        <v>189305.32025705534</v>
      </c>
      <c r="S15" s="220">
        <f>Q15*$C$14</f>
        <v>195931.00646605226</v>
      </c>
      <c r="U15" s="220">
        <f>S15*$C$14</f>
        <v>202788.59169236408</v>
      </c>
      <c r="W15" s="220">
        <f>U15*$C$14</f>
        <v>209886.19240159681</v>
      </c>
      <c r="Y15" s="220">
        <f>W15*$C$14</f>
        <v>217232.20913565269</v>
      </c>
      <c r="AA15" s="220">
        <f>Y15*$C$14</f>
        <v>224835.33645540051</v>
      </c>
      <c r="AC15" s="220">
        <f>AA15*$C$14</f>
        <v>232704.57323133951</v>
      </c>
      <c r="AE15" s="220">
        <f>AC15*$C$14</f>
        <v>240849.23329443639</v>
      </c>
      <c r="AG15" s="220">
        <f>AE15*$C$14</f>
        <v>249278.95645974163</v>
      </c>
    </row>
    <row r="16" spans="1:34" s="211" customFormat="1" ht="14.25">
      <c r="A16" s="211" t="s">
        <v>344</v>
      </c>
      <c r="C16" s="234"/>
      <c r="E16" s="223">
        <f>Application!W849</f>
        <v>66048</v>
      </c>
      <c r="F16" s="223"/>
      <c r="G16" s="223">
        <f t="shared" ref="G16:AG21" si="0">E16*$C$14</f>
        <v>68359.679999999993</v>
      </c>
      <c r="H16" s="223"/>
      <c r="I16" s="223">
        <f t="shared" si="0"/>
        <v>70752.268799999991</v>
      </c>
      <c r="J16" s="223"/>
      <c r="K16" s="223">
        <f t="shared" si="0"/>
        <v>73228.598207999981</v>
      </c>
      <c r="L16" s="223"/>
      <c r="M16" s="223">
        <f t="shared" si="0"/>
        <v>75791.599145279979</v>
      </c>
      <c r="N16" s="223"/>
      <c r="O16" s="223">
        <f t="shared" si="0"/>
        <v>78444.305115364768</v>
      </c>
      <c r="P16" s="223"/>
      <c r="Q16" s="223">
        <f t="shared" si="0"/>
        <v>81189.855794402523</v>
      </c>
      <c r="R16" s="223"/>
      <c r="S16" s="223">
        <f t="shared" si="0"/>
        <v>84031.500747206606</v>
      </c>
      <c r="T16" s="223"/>
      <c r="U16" s="223">
        <f t="shared" si="0"/>
        <v>86972.603273358836</v>
      </c>
      <c r="V16" s="223"/>
      <c r="W16" s="223">
        <f t="shared" si="0"/>
        <v>90016.644387926382</v>
      </c>
      <c r="X16" s="223"/>
      <c r="Y16" s="223">
        <f t="shared" si="0"/>
        <v>93167.226941503803</v>
      </c>
      <c r="Z16" s="223"/>
      <c r="AA16" s="223">
        <f t="shared" si="0"/>
        <v>96428.079884456427</v>
      </c>
      <c r="AB16" s="223"/>
      <c r="AC16" s="223">
        <f t="shared" si="0"/>
        <v>99803.062680412389</v>
      </c>
      <c r="AD16" s="223"/>
      <c r="AE16" s="223">
        <f t="shared" si="0"/>
        <v>103296.16987422682</v>
      </c>
      <c r="AF16" s="223"/>
      <c r="AG16" s="223">
        <f t="shared" si="0"/>
        <v>106911.53581982476</v>
      </c>
    </row>
    <row r="17" spans="1:33" s="211" customFormat="1" ht="14.25">
      <c r="A17" s="211" t="s">
        <v>561</v>
      </c>
      <c r="C17" s="234"/>
      <c r="E17" s="223">
        <f>Application!W855</f>
        <v>152000</v>
      </c>
      <c r="F17" s="223"/>
      <c r="G17" s="223">
        <f t="shared" si="0"/>
        <v>157320</v>
      </c>
      <c r="H17" s="223"/>
      <c r="I17" s="223">
        <f t="shared" si="0"/>
        <v>162826.19999999998</v>
      </c>
      <c r="J17" s="223"/>
      <c r="K17" s="223">
        <f t="shared" si="0"/>
        <v>168525.11699999997</v>
      </c>
      <c r="L17" s="223"/>
      <c r="M17" s="223">
        <f t="shared" si="0"/>
        <v>174423.49609499995</v>
      </c>
      <c r="N17" s="223"/>
      <c r="O17" s="223">
        <f t="shared" si="0"/>
        <v>180528.31845832494</v>
      </c>
      <c r="P17" s="223"/>
      <c r="Q17" s="223">
        <f t="shared" si="0"/>
        <v>186846.80960436631</v>
      </c>
      <c r="R17" s="223"/>
      <c r="S17" s="223">
        <f t="shared" si="0"/>
        <v>193386.44794051911</v>
      </c>
      <c r="T17" s="223"/>
      <c r="U17" s="223">
        <f t="shared" si="0"/>
        <v>200154.97361843727</v>
      </c>
      <c r="V17" s="223"/>
      <c r="W17" s="223">
        <f t="shared" si="0"/>
        <v>207160.39769508256</v>
      </c>
      <c r="X17" s="223"/>
      <c r="Y17" s="223">
        <f t="shared" si="0"/>
        <v>214411.01161441044</v>
      </c>
      <c r="Z17" s="223"/>
      <c r="AA17" s="223">
        <f t="shared" si="0"/>
        <v>221915.3970209148</v>
      </c>
      <c r="AB17" s="223"/>
      <c r="AC17" s="223">
        <f t="shared" si="0"/>
        <v>229682.43591664679</v>
      </c>
      <c r="AD17" s="223"/>
      <c r="AE17" s="223">
        <f t="shared" si="0"/>
        <v>237721.3211737294</v>
      </c>
      <c r="AF17" s="223"/>
      <c r="AG17" s="223">
        <f t="shared" si="0"/>
        <v>246041.56741480992</v>
      </c>
    </row>
    <row r="18" spans="1:33" s="211" customFormat="1" ht="14.25">
      <c r="A18" s="211" t="s">
        <v>842</v>
      </c>
      <c r="C18" s="234"/>
      <c r="E18" s="223">
        <f>Application!W862</f>
        <v>91000</v>
      </c>
      <c r="F18" s="223"/>
      <c r="G18" s="223">
        <f t="shared" si="0"/>
        <v>94185</v>
      </c>
      <c r="H18" s="223"/>
      <c r="I18" s="223">
        <f t="shared" si="0"/>
        <v>97481.474999999991</v>
      </c>
      <c r="J18" s="223"/>
      <c r="K18" s="223">
        <f t="shared" si="0"/>
        <v>100893.32662499999</v>
      </c>
      <c r="L18" s="223"/>
      <c r="M18" s="223">
        <f t="shared" si="0"/>
        <v>104424.59305687498</v>
      </c>
      <c r="N18" s="223"/>
      <c r="O18" s="223">
        <f t="shared" si="0"/>
        <v>108079.45381386559</v>
      </c>
      <c r="P18" s="223"/>
      <c r="Q18" s="223">
        <f t="shared" si="0"/>
        <v>111862.23469735088</v>
      </c>
      <c r="R18" s="223"/>
      <c r="S18" s="223">
        <f t="shared" si="0"/>
        <v>115777.41291175816</v>
      </c>
      <c r="T18" s="223"/>
      <c r="U18" s="223">
        <f t="shared" si="0"/>
        <v>119829.62236366968</v>
      </c>
      <c r="V18" s="223"/>
      <c r="W18" s="223">
        <f t="shared" si="0"/>
        <v>124023.65914639812</v>
      </c>
      <c r="X18" s="223"/>
      <c r="Y18" s="223">
        <f t="shared" si="0"/>
        <v>128364.48721652204</v>
      </c>
      <c r="Z18" s="223"/>
      <c r="AA18" s="223">
        <f t="shared" si="0"/>
        <v>132857.24426910031</v>
      </c>
      <c r="AB18" s="223"/>
      <c r="AC18" s="223">
        <f t="shared" si="0"/>
        <v>137507.24781851881</v>
      </c>
      <c r="AD18" s="223"/>
      <c r="AE18" s="223">
        <f t="shared" si="0"/>
        <v>142320.00149216695</v>
      </c>
      <c r="AF18" s="223"/>
      <c r="AG18" s="223">
        <f t="shared" si="0"/>
        <v>147301.2015443928</v>
      </c>
    </row>
    <row r="19" spans="1:33" s="211" customFormat="1" ht="14.25">
      <c r="A19" s="211" t="s">
        <v>155</v>
      </c>
      <c r="C19" s="234"/>
      <c r="E19" s="223">
        <f>Application!W863</f>
        <v>144254</v>
      </c>
      <c r="F19" s="223"/>
      <c r="G19" s="223">
        <f t="shared" si="0"/>
        <v>149302.88999999998</v>
      </c>
      <c r="H19" s="223"/>
      <c r="I19" s="223">
        <f t="shared" si="0"/>
        <v>154528.49114999996</v>
      </c>
      <c r="J19" s="223"/>
      <c r="K19" s="223">
        <f t="shared" si="0"/>
        <v>159936.98834024995</v>
      </c>
      <c r="L19" s="223"/>
      <c r="M19" s="223">
        <f t="shared" si="0"/>
        <v>165534.78293215868</v>
      </c>
      <c r="N19" s="223"/>
      <c r="O19" s="223">
        <f t="shared" si="0"/>
        <v>171328.50033478421</v>
      </c>
      <c r="P19" s="223"/>
      <c r="Q19" s="223">
        <f t="shared" si="0"/>
        <v>177324.99784650165</v>
      </c>
      <c r="R19" s="223"/>
      <c r="S19" s="223">
        <f t="shared" si="0"/>
        <v>183531.37277112919</v>
      </c>
      <c r="T19" s="223"/>
      <c r="U19" s="223">
        <f t="shared" si="0"/>
        <v>189954.97081811869</v>
      </c>
      <c r="V19" s="223"/>
      <c r="W19" s="223">
        <f t="shared" si="0"/>
        <v>196603.39479675284</v>
      </c>
      <c r="X19" s="223"/>
      <c r="Y19" s="223">
        <f t="shared" si="0"/>
        <v>203484.51361463917</v>
      </c>
      <c r="Z19" s="223"/>
      <c r="AA19" s="223">
        <f t="shared" si="0"/>
        <v>210606.47159115152</v>
      </c>
      <c r="AB19" s="223"/>
      <c r="AC19" s="223">
        <f t="shared" si="0"/>
        <v>217977.69809684181</v>
      </c>
      <c r="AD19" s="223"/>
      <c r="AE19" s="223">
        <f t="shared" si="0"/>
        <v>225606.91753023127</v>
      </c>
      <c r="AF19" s="223"/>
      <c r="AG19" s="223">
        <f t="shared" si="0"/>
        <v>233503.15964378935</v>
      </c>
    </row>
    <row r="20" spans="1:33" s="211" customFormat="1" ht="14.25">
      <c r="A20" s="211" t="s">
        <v>390</v>
      </c>
      <c r="C20" s="234"/>
      <c r="E20" s="223">
        <f>Application!W872</f>
        <v>113000</v>
      </c>
      <c r="F20" s="223"/>
      <c r="G20" s="223">
        <f t="shared" si="0"/>
        <v>116954.99999999999</v>
      </c>
      <c r="H20" s="223"/>
      <c r="I20" s="223">
        <f t="shared" si="0"/>
        <v>121048.42499999997</v>
      </c>
      <c r="J20" s="223"/>
      <c r="K20" s="223">
        <f t="shared" si="0"/>
        <v>125285.11987499996</v>
      </c>
      <c r="L20" s="223"/>
      <c r="M20" s="223">
        <f t="shared" si="0"/>
        <v>129670.09907062494</v>
      </c>
      <c r="N20" s="223"/>
      <c r="O20" s="223">
        <f t="shared" si="0"/>
        <v>134208.55253809682</v>
      </c>
      <c r="P20" s="223"/>
      <c r="Q20" s="223">
        <f t="shared" si="0"/>
        <v>138905.85187693019</v>
      </c>
      <c r="R20" s="223"/>
      <c r="S20" s="223">
        <f t="shared" si="0"/>
        <v>143767.55669262275</v>
      </c>
      <c r="T20" s="223"/>
      <c r="U20" s="223">
        <f t="shared" si="0"/>
        <v>148799.42117686453</v>
      </c>
      <c r="V20" s="223"/>
      <c r="W20" s="223">
        <f t="shared" si="0"/>
        <v>154007.40091805477</v>
      </c>
      <c r="X20" s="223"/>
      <c r="Y20" s="223">
        <f t="shared" si="0"/>
        <v>159397.65995018667</v>
      </c>
      <c r="Z20" s="223"/>
      <c r="AA20" s="223">
        <f t="shared" si="0"/>
        <v>164976.57804844319</v>
      </c>
      <c r="AB20" s="223"/>
      <c r="AC20" s="223">
        <f t="shared" si="0"/>
        <v>170750.75828013869</v>
      </c>
      <c r="AD20" s="223"/>
      <c r="AE20" s="223">
        <f t="shared" si="0"/>
        <v>176727.03481994354</v>
      </c>
      <c r="AF20" s="223"/>
      <c r="AG20" s="223">
        <f t="shared" si="0"/>
        <v>182912.48103864156</v>
      </c>
    </row>
    <row r="21" spans="1:33" s="211" customFormat="1" ht="14.25">
      <c r="A21" s="227" t="s">
        <v>962</v>
      </c>
      <c r="B21" s="227"/>
      <c r="C21" s="234"/>
      <c r="E21" s="233">
        <f>Application!W879</f>
        <v>0</v>
      </c>
      <c r="F21" s="223"/>
      <c r="G21" s="233">
        <f t="shared" si="0"/>
        <v>0</v>
      </c>
      <c r="H21" s="223"/>
      <c r="I21" s="233">
        <f t="shared" si="0"/>
        <v>0</v>
      </c>
      <c r="J21" s="223"/>
      <c r="K21" s="233">
        <f t="shared" si="0"/>
        <v>0</v>
      </c>
      <c r="L21" s="223"/>
      <c r="M21" s="233">
        <f t="shared" si="0"/>
        <v>0</v>
      </c>
      <c r="N21" s="223"/>
      <c r="O21" s="233">
        <f t="shared" si="0"/>
        <v>0</v>
      </c>
      <c r="P21" s="223"/>
      <c r="Q21" s="233">
        <f t="shared" si="0"/>
        <v>0</v>
      </c>
      <c r="R21" s="223"/>
      <c r="S21" s="233">
        <f t="shared" si="0"/>
        <v>0</v>
      </c>
      <c r="T21" s="223"/>
      <c r="U21" s="233">
        <f t="shared" si="0"/>
        <v>0</v>
      </c>
      <c r="V21" s="223"/>
      <c r="W21" s="233">
        <f t="shared" si="0"/>
        <v>0</v>
      </c>
      <c r="X21" s="223"/>
      <c r="Y21" s="233">
        <f t="shared" si="0"/>
        <v>0</v>
      </c>
      <c r="Z21" s="223"/>
      <c r="AA21" s="233">
        <f t="shared" si="0"/>
        <v>0</v>
      </c>
      <c r="AB21" s="223"/>
      <c r="AC21" s="233">
        <f t="shared" si="0"/>
        <v>0</v>
      </c>
      <c r="AD21" s="223"/>
      <c r="AE21" s="233">
        <f t="shared" si="0"/>
        <v>0</v>
      </c>
      <c r="AF21" s="223"/>
      <c r="AG21" s="233">
        <f t="shared" si="0"/>
        <v>0</v>
      </c>
    </row>
    <row r="22" spans="1:33" s="224" customFormat="1" ht="15">
      <c r="A22" s="224" t="s">
        <v>843</v>
      </c>
      <c r="C22" s="234"/>
      <c r="E22" s="224">
        <f>SUM(E15:E21)</f>
        <v>720302</v>
      </c>
      <c r="G22" s="224">
        <f>SUM(G15:G21)</f>
        <v>745512.57</v>
      </c>
      <c r="I22" s="224">
        <f>SUM(I15:I21)</f>
        <v>771605.50994999975</v>
      </c>
      <c r="K22" s="224">
        <f>SUM(K15:K21)</f>
        <v>798611.7027982499</v>
      </c>
      <c r="M22" s="224">
        <f>SUM(M15:M21)</f>
        <v>826563.11239618843</v>
      </c>
      <c r="O22" s="224">
        <f>SUM(O15:O21)</f>
        <v>855492.82133005501</v>
      </c>
      <c r="Q22" s="224">
        <f>SUM(Q15:Q21)</f>
        <v>885435.07007660693</v>
      </c>
      <c r="S22" s="224">
        <f>SUM(S15:S21)</f>
        <v>916425.29752928799</v>
      </c>
      <c r="U22" s="224">
        <f>SUM(U15:U21)</f>
        <v>948500.18294281303</v>
      </c>
      <c r="W22" s="224">
        <f>SUM(W15:W21)</f>
        <v>981697.68934581138</v>
      </c>
      <c r="Y22" s="224">
        <f>SUM(Y15:Y21)</f>
        <v>1016057.1084729149</v>
      </c>
      <c r="AA22" s="224">
        <f>SUM(AA15:AA21)</f>
        <v>1051619.1072694669</v>
      </c>
      <c r="AC22" s="224">
        <f>SUM(AC15:AC21)</f>
        <v>1088425.7760238978</v>
      </c>
      <c r="AE22" s="224">
        <f>SUM(AE15:AE21)</f>
        <v>1126520.6781847344</v>
      </c>
      <c r="AG22" s="224">
        <f>SUM(AG15:AG21)</f>
        <v>1165948.9019212001</v>
      </c>
    </row>
    <row r="23" spans="1:33" s="211" customFormat="1" ht="14.25">
      <c r="C23" s="234"/>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row>
    <row r="24" spans="1:33" s="211" customFormat="1" ht="14.25">
      <c r="A24" s="211" t="s">
        <v>1682</v>
      </c>
      <c r="C24" s="234"/>
      <c r="E24" s="911"/>
      <c r="F24" s="223"/>
      <c r="G24" s="223">
        <f>E24*$C$24</f>
        <v>0</v>
      </c>
      <c r="H24" s="223"/>
      <c r="I24" s="223">
        <f>G24*$C$24</f>
        <v>0</v>
      </c>
      <c r="J24" s="223"/>
      <c r="K24" s="223">
        <f>I24*$C$24</f>
        <v>0</v>
      </c>
      <c r="L24" s="223"/>
      <c r="M24" s="223">
        <f>K24*$C$24</f>
        <v>0</v>
      </c>
      <c r="N24" s="223"/>
      <c r="O24" s="223">
        <f>M24*$C$24</f>
        <v>0</v>
      </c>
      <c r="P24" s="223"/>
      <c r="Q24" s="223">
        <f>O24*$C$24</f>
        <v>0</v>
      </c>
      <c r="R24" s="223"/>
      <c r="S24" s="223">
        <f>Q24*$C$24</f>
        <v>0</v>
      </c>
      <c r="T24" s="223"/>
      <c r="U24" s="223">
        <f>S24*$C$24</f>
        <v>0</v>
      </c>
      <c r="V24" s="223"/>
      <c r="W24" s="223">
        <f>U24*$C$24</f>
        <v>0</v>
      </c>
      <c r="X24" s="223"/>
      <c r="Y24" s="223">
        <f>W24*$C$24</f>
        <v>0</v>
      </c>
      <c r="Z24" s="223"/>
      <c r="AA24" s="223">
        <f>Y24*$C$24</f>
        <v>0</v>
      </c>
      <c r="AB24" s="223"/>
      <c r="AC24" s="223">
        <f>AA24*$C$24</f>
        <v>0</v>
      </c>
      <c r="AD24" s="223"/>
      <c r="AE24" s="223">
        <f>AC24*$C$24</f>
        <v>0</v>
      </c>
      <c r="AF24" s="223"/>
      <c r="AG24" s="223">
        <f>AE24*$C$24</f>
        <v>0</v>
      </c>
    </row>
    <row r="25" spans="1:33" s="211" customFormat="1" ht="14.25">
      <c r="C25" s="234"/>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row>
    <row r="26" spans="1:33" s="211" customFormat="1" ht="14.25">
      <c r="A26" s="211" t="s">
        <v>1159</v>
      </c>
      <c r="C26" s="238">
        <v>1.0349999999999999</v>
      </c>
      <c r="E26" s="223">
        <f>Application!AC887</f>
        <v>0</v>
      </c>
      <c r="F26" s="223"/>
      <c r="G26" s="223">
        <f>E26*$C$26</f>
        <v>0</v>
      </c>
      <c r="H26" s="223"/>
      <c r="I26" s="223">
        <f>G26*$C$26</f>
        <v>0</v>
      </c>
      <c r="J26" s="223"/>
      <c r="K26" s="223">
        <f>I26*$C$26</f>
        <v>0</v>
      </c>
      <c r="L26" s="223"/>
      <c r="M26" s="223">
        <f>K26*$C$26</f>
        <v>0</v>
      </c>
      <c r="N26" s="223"/>
      <c r="O26" s="223">
        <f>M26*$C$26</f>
        <v>0</v>
      </c>
      <c r="P26" s="223"/>
      <c r="Q26" s="223">
        <f>O26*$C$26</f>
        <v>0</v>
      </c>
      <c r="R26" s="223"/>
      <c r="S26" s="223">
        <f>Q26*$C$26</f>
        <v>0</v>
      </c>
      <c r="T26" s="223"/>
      <c r="U26" s="223">
        <f>S26*$C$26</f>
        <v>0</v>
      </c>
      <c r="V26" s="223"/>
      <c r="W26" s="223">
        <f>U26*$C$26</f>
        <v>0</v>
      </c>
      <c r="X26" s="223"/>
      <c r="Y26" s="223">
        <f>W26*$C$26</f>
        <v>0</v>
      </c>
      <c r="Z26" s="223"/>
      <c r="AA26" s="223">
        <f>Y26*$C$26</f>
        <v>0</v>
      </c>
      <c r="AB26" s="223"/>
      <c r="AC26" s="223">
        <f>AA26*$C$26</f>
        <v>0</v>
      </c>
      <c r="AD26" s="223"/>
      <c r="AE26" s="223">
        <f>AC26*$C$26</f>
        <v>0</v>
      </c>
      <c r="AF26" s="223"/>
      <c r="AG26" s="223">
        <f>AE26*$C$26</f>
        <v>0</v>
      </c>
    </row>
    <row r="27" spans="1:33" s="211" customFormat="1" ht="14.25">
      <c r="A27" s="211" t="s">
        <v>845</v>
      </c>
      <c r="C27" s="238">
        <v>1.0349999999999999</v>
      </c>
      <c r="E27" s="223">
        <f>Application!AC888</f>
        <v>80000</v>
      </c>
      <c r="F27" s="223"/>
      <c r="G27" s="223">
        <f>E27*$C$27</f>
        <v>82800</v>
      </c>
      <c r="H27" s="223"/>
      <c r="I27" s="223">
        <f>G27*$C$27</f>
        <v>85698</v>
      </c>
      <c r="J27" s="223"/>
      <c r="K27" s="223">
        <f>I27*$C$27</f>
        <v>88697.43</v>
      </c>
      <c r="L27" s="223"/>
      <c r="M27" s="223">
        <f>K27*$C$27</f>
        <v>91801.840049999984</v>
      </c>
      <c r="N27" s="223"/>
      <c r="O27" s="223">
        <f>M27*$C$27</f>
        <v>95014.904451749971</v>
      </c>
      <c r="P27" s="223"/>
      <c r="Q27" s="223">
        <f>O27*$C$27</f>
        <v>98340.426107561216</v>
      </c>
      <c r="R27" s="223"/>
      <c r="S27" s="223">
        <f>Q27*$C$27</f>
        <v>101782.34102132585</v>
      </c>
      <c r="T27" s="223"/>
      <c r="U27" s="223">
        <f>S27*$C$27</f>
        <v>105344.72295707224</v>
      </c>
      <c r="V27" s="223"/>
      <c r="W27" s="223">
        <f>U27*$C$27</f>
        <v>109031.78826056977</v>
      </c>
      <c r="X27" s="223"/>
      <c r="Y27" s="223">
        <f>W27*$C$27</f>
        <v>112847.9008496897</v>
      </c>
      <c r="Z27" s="223"/>
      <c r="AA27" s="223">
        <f>Y27*$C$27</f>
        <v>116797.57737942883</v>
      </c>
      <c r="AB27" s="223"/>
      <c r="AC27" s="223">
        <f>AA27*$C$27</f>
        <v>120885.49258770882</v>
      </c>
      <c r="AD27" s="223"/>
      <c r="AE27" s="223">
        <f>AC27*$C$27</f>
        <v>125116.48482827863</v>
      </c>
      <c r="AF27" s="223"/>
      <c r="AG27" s="223">
        <f>AE27*$C$27</f>
        <v>129495.56179726837</v>
      </c>
    </row>
    <row r="28" spans="1:33" s="211" customFormat="1" ht="14.25">
      <c r="A28" s="211" t="s">
        <v>846</v>
      </c>
      <c r="C28" s="238"/>
      <c r="E28" s="223">
        <f>Application!AC889</f>
        <v>25800</v>
      </c>
      <c r="F28" s="223"/>
      <c r="G28" s="223">
        <f>$E$28</f>
        <v>25800</v>
      </c>
      <c r="H28" s="223"/>
      <c r="I28" s="223">
        <f>$E$28</f>
        <v>25800</v>
      </c>
      <c r="J28" s="223"/>
      <c r="K28" s="223">
        <f>$E$28</f>
        <v>25800</v>
      </c>
      <c r="L28" s="223"/>
      <c r="M28" s="223">
        <f>$E$28</f>
        <v>25800</v>
      </c>
      <c r="N28" s="223"/>
      <c r="O28" s="223">
        <f>$E$28</f>
        <v>25800</v>
      </c>
      <c r="P28" s="223"/>
      <c r="Q28" s="223">
        <f>$E$28</f>
        <v>25800</v>
      </c>
      <c r="R28" s="223"/>
      <c r="S28" s="223">
        <f>$E$28</f>
        <v>25800</v>
      </c>
      <c r="T28" s="223"/>
      <c r="U28" s="223">
        <f>$E$28</f>
        <v>25800</v>
      </c>
      <c r="V28" s="223"/>
      <c r="W28" s="223">
        <f>$E$28</f>
        <v>25800</v>
      </c>
      <c r="X28" s="223"/>
      <c r="Y28" s="223">
        <f>$E$28</f>
        <v>25800</v>
      </c>
      <c r="Z28" s="223"/>
      <c r="AA28" s="223">
        <f>$E$28</f>
        <v>25800</v>
      </c>
      <c r="AB28" s="223"/>
      <c r="AC28" s="223">
        <f>$E$28</f>
        <v>25800</v>
      </c>
      <c r="AD28" s="223"/>
      <c r="AE28" s="223">
        <f>$E$28</f>
        <v>25800</v>
      </c>
      <c r="AF28" s="223"/>
      <c r="AG28" s="223">
        <f>$E$28</f>
        <v>25800</v>
      </c>
    </row>
    <row r="29" spans="1:33" s="211" customFormat="1" ht="14.25">
      <c r="A29" s="211" t="s">
        <v>1680</v>
      </c>
      <c r="C29" s="238"/>
      <c r="E29" s="223">
        <f>Application!AC890</f>
        <v>9764</v>
      </c>
      <c r="F29" s="223"/>
      <c r="G29" s="223">
        <f>$E$29</f>
        <v>9764</v>
      </c>
      <c r="H29" s="223"/>
      <c r="I29" s="223">
        <f>$E$29</f>
        <v>9764</v>
      </c>
      <c r="J29" s="223"/>
      <c r="K29" s="223">
        <f>$E$29</f>
        <v>9764</v>
      </c>
      <c r="L29" s="223"/>
      <c r="M29" s="223">
        <f>$E$29</f>
        <v>9764</v>
      </c>
      <c r="N29" s="223"/>
      <c r="O29" s="223">
        <f>$E$29</f>
        <v>9764</v>
      </c>
      <c r="P29" s="223"/>
      <c r="Q29" s="223">
        <f>$E$29</f>
        <v>9764</v>
      </c>
      <c r="R29" s="223"/>
      <c r="S29" s="223">
        <f>$E$29</f>
        <v>9764</v>
      </c>
      <c r="T29" s="223"/>
      <c r="U29" s="223">
        <f>$E$29</f>
        <v>9764</v>
      </c>
      <c r="V29" s="223"/>
      <c r="W29" s="223">
        <f>$E$29</f>
        <v>9764</v>
      </c>
      <c r="X29" s="223"/>
      <c r="Y29" s="223">
        <f>$E$29</f>
        <v>9764</v>
      </c>
      <c r="Z29" s="223"/>
      <c r="AA29" s="223">
        <f>$E$29</f>
        <v>9764</v>
      </c>
      <c r="AB29" s="223"/>
      <c r="AC29" s="223">
        <f>$E$29</f>
        <v>9764</v>
      </c>
      <c r="AD29" s="223"/>
      <c r="AE29" s="223">
        <f>$E$29</f>
        <v>9764</v>
      </c>
      <c r="AF29" s="223"/>
      <c r="AG29" s="223">
        <f>$E$29</f>
        <v>9764</v>
      </c>
    </row>
    <row r="30" spans="1:33" s="211" customFormat="1" ht="14.25">
      <c r="A30" s="211" t="s">
        <v>844</v>
      </c>
      <c r="C30" s="238">
        <v>1.02</v>
      </c>
      <c r="E30" s="223">
        <f>Application!AC891</f>
        <v>8000</v>
      </c>
      <c r="F30" s="223"/>
      <c r="G30" s="223">
        <f>E30*$C$30</f>
        <v>8160</v>
      </c>
      <c r="H30" s="223"/>
      <c r="I30" s="223">
        <f>G30*$C$30</f>
        <v>8323.2000000000007</v>
      </c>
      <c r="J30" s="223"/>
      <c r="K30" s="223">
        <f>I30*$C$30</f>
        <v>8489.6640000000007</v>
      </c>
      <c r="L30" s="223"/>
      <c r="M30" s="223">
        <f>K30*$C$30</f>
        <v>8659.4572800000005</v>
      </c>
      <c r="N30" s="223"/>
      <c r="O30" s="223">
        <f>M30*$C$30</f>
        <v>8832.6464255999999</v>
      </c>
      <c r="P30" s="223"/>
      <c r="Q30" s="223">
        <f>O30*$C$30</f>
        <v>9009.2993541119995</v>
      </c>
      <c r="R30" s="223"/>
      <c r="S30" s="223">
        <f>Q30*$C$30</f>
        <v>9189.4853411942404</v>
      </c>
      <c r="T30" s="223"/>
      <c r="U30" s="223">
        <f>S30*$C$30</f>
        <v>9373.2750480181257</v>
      </c>
      <c r="V30" s="223"/>
      <c r="W30" s="223">
        <f>U30*$C$30</f>
        <v>9560.7405489784887</v>
      </c>
      <c r="X30" s="223"/>
      <c r="Y30" s="223">
        <f>W30*$C$30</f>
        <v>9751.9553599580595</v>
      </c>
      <c r="Z30" s="223"/>
      <c r="AA30" s="223">
        <f>Y30*$C$30</f>
        <v>9946.9944671572212</v>
      </c>
      <c r="AB30" s="223"/>
      <c r="AC30" s="223">
        <f>AA30*$C$30</f>
        <v>10145.934356500366</v>
      </c>
      <c r="AD30" s="223"/>
      <c r="AE30" s="223">
        <f>AC30*$C$30</f>
        <v>10348.853043630374</v>
      </c>
      <c r="AF30" s="223"/>
      <c r="AG30" s="223">
        <f>AE30*$C$30</f>
        <v>10555.830104502982</v>
      </c>
    </row>
    <row r="31" spans="1:33" s="211" customFormat="1" ht="14.25">
      <c r="A31" s="211" t="s">
        <v>1681</v>
      </c>
      <c r="C31" s="238">
        <v>1.02</v>
      </c>
      <c r="E31" s="223">
        <f>Application!AC893</f>
        <v>0</v>
      </c>
      <c r="F31" s="223"/>
      <c r="G31" s="223">
        <f>E31*$C$31</f>
        <v>0</v>
      </c>
      <c r="H31" s="223"/>
      <c r="I31" s="223">
        <f>G31*$C$31</f>
        <v>0</v>
      </c>
      <c r="J31" s="223"/>
      <c r="K31" s="223">
        <f>I31*$C$31</f>
        <v>0</v>
      </c>
      <c r="L31" s="223"/>
      <c r="M31" s="223">
        <f>K31*$C$31</f>
        <v>0</v>
      </c>
      <c r="N31" s="223"/>
      <c r="O31" s="223">
        <f>M31*$C$31</f>
        <v>0</v>
      </c>
      <c r="P31" s="223"/>
      <c r="Q31" s="223">
        <f>O31*$C$31</f>
        <v>0</v>
      </c>
      <c r="R31" s="223"/>
      <c r="S31" s="223">
        <f>Q31*$C$31</f>
        <v>0</v>
      </c>
      <c r="T31" s="223"/>
      <c r="U31" s="223">
        <f>S31*$C$31</f>
        <v>0</v>
      </c>
      <c r="V31" s="223"/>
      <c r="W31" s="223">
        <f>U31*$C$31</f>
        <v>0</v>
      </c>
      <c r="X31" s="223"/>
      <c r="Y31" s="223">
        <f>W31*$C$31</f>
        <v>0</v>
      </c>
      <c r="Z31" s="223"/>
      <c r="AA31" s="223">
        <f>Y31*$C$31</f>
        <v>0</v>
      </c>
      <c r="AB31" s="223"/>
      <c r="AC31" s="223">
        <f>AA31*$C$31</f>
        <v>0</v>
      </c>
      <c r="AD31" s="223"/>
      <c r="AE31" s="223">
        <f>AC31*$C$31</f>
        <v>0</v>
      </c>
      <c r="AF31" s="223"/>
      <c r="AG31" s="223">
        <f>AE31*$C$31</f>
        <v>0</v>
      </c>
    </row>
    <row r="32" spans="1:33" s="211" customFormat="1" ht="14.25">
      <c r="A32" s="211" t="str">
        <f>Application!C894</f>
        <v>Other (Specify):</v>
      </c>
      <c r="C32" s="317">
        <v>1.0349999999999999</v>
      </c>
      <c r="E32" s="223">
        <f>Application!AC894</f>
        <v>0</v>
      </c>
      <c r="F32" s="223"/>
      <c r="G32" s="223">
        <f>E32*$C$32</f>
        <v>0</v>
      </c>
      <c r="H32" s="223"/>
      <c r="I32" s="223">
        <f>G32*$C$32</f>
        <v>0</v>
      </c>
      <c r="J32" s="223"/>
      <c r="K32" s="223">
        <f>I32*$C$32</f>
        <v>0</v>
      </c>
      <c r="L32" s="223"/>
      <c r="M32" s="223">
        <f>K32*$C$32</f>
        <v>0</v>
      </c>
      <c r="N32" s="223"/>
      <c r="O32" s="223">
        <f>M32*$C$32</f>
        <v>0</v>
      </c>
      <c r="P32" s="223"/>
      <c r="Q32" s="223">
        <f>O32*$C$32</f>
        <v>0</v>
      </c>
      <c r="R32" s="223"/>
      <c r="S32" s="223">
        <f>Q32*$C$32</f>
        <v>0</v>
      </c>
      <c r="T32" s="223"/>
      <c r="U32" s="223">
        <f>S32*$C$32</f>
        <v>0</v>
      </c>
      <c r="V32" s="223"/>
      <c r="W32" s="223">
        <f>U32*$C$32</f>
        <v>0</v>
      </c>
      <c r="X32" s="223"/>
      <c r="Y32" s="223">
        <f>W32*$C$32</f>
        <v>0</v>
      </c>
      <c r="Z32" s="223"/>
      <c r="AA32" s="223">
        <f>Y32*$C$32</f>
        <v>0</v>
      </c>
      <c r="AB32" s="223"/>
      <c r="AC32" s="223">
        <f>AA32*$C$32</f>
        <v>0</v>
      </c>
      <c r="AD32" s="223"/>
      <c r="AE32" s="223">
        <f>AC32*$C$32</f>
        <v>0</v>
      </c>
      <c r="AF32" s="223"/>
      <c r="AG32" s="223">
        <f>AE32*$C$32</f>
        <v>0</v>
      </c>
    </row>
    <row r="33" spans="1:33" s="211" customFormat="1" ht="14.25">
      <c r="A33" s="211" t="str">
        <f>Application!C895</f>
        <v>Other (Specify):</v>
      </c>
      <c r="C33" s="317">
        <v>1.0349999999999999</v>
      </c>
      <c r="E33" s="223">
        <f>Application!AC895</f>
        <v>0</v>
      </c>
      <c r="F33" s="223"/>
      <c r="G33" s="223">
        <f>E33*$C$33</f>
        <v>0</v>
      </c>
      <c r="H33" s="223"/>
      <c r="I33" s="223">
        <f>G33*$C$33</f>
        <v>0</v>
      </c>
      <c r="J33" s="223"/>
      <c r="K33" s="223">
        <f>I33*$C$33</f>
        <v>0</v>
      </c>
      <c r="L33" s="223"/>
      <c r="M33" s="223">
        <f>K33*$C$33</f>
        <v>0</v>
      </c>
      <c r="N33" s="223"/>
      <c r="O33" s="223">
        <f>M33*$C$33</f>
        <v>0</v>
      </c>
      <c r="P33" s="223"/>
      <c r="Q33" s="223">
        <f>O33*$C$33</f>
        <v>0</v>
      </c>
      <c r="R33" s="223"/>
      <c r="S33" s="223">
        <f>Q33*$C$33</f>
        <v>0</v>
      </c>
      <c r="T33" s="223"/>
      <c r="U33" s="223">
        <f>S33*$C$33</f>
        <v>0</v>
      </c>
      <c r="V33" s="223"/>
      <c r="W33" s="223">
        <f>U33*$C$33</f>
        <v>0</v>
      </c>
      <c r="X33" s="223"/>
      <c r="Y33" s="223">
        <f>W33*$C$33</f>
        <v>0</v>
      </c>
      <c r="Z33" s="223"/>
      <c r="AA33" s="223">
        <f>Y33*$C$33</f>
        <v>0</v>
      </c>
      <c r="AB33" s="223"/>
      <c r="AC33" s="223">
        <f>AA33*$C$33</f>
        <v>0</v>
      </c>
      <c r="AD33" s="223"/>
      <c r="AE33" s="223">
        <f>AC33*$C$33</f>
        <v>0</v>
      </c>
      <c r="AF33" s="223"/>
      <c r="AG33" s="223">
        <f>AE33*$C$33</f>
        <v>0</v>
      </c>
    </row>
    <row r="34" spans="1:33" s="211" customFormat="1" ht="14.25">
      <c r="C34" s="221"/>
      <c r="E34" s="223"/>
      <c r="F34" s="223"/>
      <c r="G34" s="223"/>
      <c r="H34" s="223"/>
      <c r="I34" s="223"/>
      <c r="J34" s="223"/>
      <c r="K34" s="223"/>
      <c r="L34" s="223"/>
      <c r="M34" s="223"/>
      <c r="N34" s="223"/>
      <c r="O34" s="223"/>
      <c r="P34" s="223"/>
      <c r="Q34" s="223"/>
      <c r="R34" s="223"/>
      <c r="S34" s="223"/>
      <c r="T34" s="223"/>
      <c r="U34" s="223"/>
      <c r="V34" s="223"/>
      <c r="W34" s="223"/>
      <c r="X34" s="223"/>
      <c r="Y34" s="223"/>
      <c r="Z34" s="223"/>
      <c r="AA34" s="223"/>
      <c r="AB34" s="223"/>
      <c r="AC34" s="223"/>
      <c r="AD34" s="223"/>
      <c r="AE34" s="223"/>
      <c r="AF34" s="223"/>
      <c r="AG34" s="223"/>
    </row>
    <row r="35" spans="1:33" s="224" customFormat="1" ht="15">
      <c r="A35" s="224" t="s">
        <v>178</v>
      </c>
      <c r="C35" s="225"/>
      <c r="E35" s="224">
        <f>SUM(E22:E33)</f>
        <v>843866</v>
      </c>
      <c r="G35" s="224">
        <f>SUM(G22:G33)</f>
        <v>872036.57</v>
      </c>
      <c r="I35" s="224">
        <f>SUM(I22:I33)</f>
        <v>901190.7099499997</v>
      </c>
      <c r="K35" s="224">
        <f>SUM(K22:K33)</f>
        <v>931362.79679824982</v>
      </c>
      <c r="M35" s="224">
        <f>SUM(M22:M33)</f>
        <v>962588.4097261884</v>
      </c>
      <c r="O35" s="224">
        <f>SUM(O22:O33)</f>
        <v>994904.37220740505</v>
      </c>
      <c r="Q35" s="224">
        <f>SUM(Q22:Q33)</f>
        <v>1028348.7955382802</v>
      </c>
      <c r="S35" s="224">
        <f>SUM(S22:S33)</f>
        <v>1062961.1238918081</v>
      </c>
      <c r="U35" s="224">
        <f>SUM(U22:U33)</f>
        <v>1098782.1809479035</v>
      </c>
      <c r="W35" s="224">
        <f>SUM(W22:W33)</f>
        <v>1135854.2181553596</v>
      </c>
      <c r="Y35" s="224">
        <f>SUM(Y22:Y33)</f>
        <v>1174220.9646825627</v>
      </c>
      <c r="AA35" s="224">
        <f>SUM(AA22:AA33)</f>
        <v>1213927.6791160528</v>
      </c>
      <c r="AC35" s="224">
        <f>SUM(AC22:AC33)</f>
        <v>1255021.2029681071</v>
      </c>
      <c r="AE35" s="224">
        <f>SUM(AE22:AE33)</f>
        <v>1297550.0160566436</v>
      </c>
      <c r="AG35" s="224">
        <f>SUM(AG22:AG33)</f>
        <v>1341564.2938229716</v>
      </c>
    </row>
    <row r="36" spans="1:33" s="211" customFormat="1" ht="14.25">
      <c r="C36" s="221"/>
      <c r="E36" s="223"/>
      <c r="F36" s="223"/>
      <c r="G36" s="223"/>
      <c r="H36" s="223"/>
      <c r="I36" s="223"/>
      <c r="J36" s="223"/>
      <c r="K36" s="223"/>
      <c r="L36" s="223"/>
      <c r="M36" s="223"/>
      <c r="N36" s="223"/>
      <c r="O36" s="223"/>
      <c r="P36" s="223"/>
      <c r="Q36" s="223"/>
      <c r="R36" s="223"/>
      <c r="S36" s="223"/>
      <c r="T36" s="223"/>
      <c r="U36" s="223"/>
      <c r="V36" s="223"/>
      <c r="W36" s="223"/>
      <c r="X36" s="223"/>
      <c r="Y36" s="223"/>
      <c r="Z36" s="223"/>
      <c r="AA36" s="223"/>
      <c r="AB36" s="223"/>
      <c r="AC36" s="223"/>
      <c r="AD36" s="223"/>
      <c r="AE36" s="223"/>
      <c r="AF36" s="223"/>
      <c r="AG36" s="223"/>
    </row>
    <row r="37" spans="1:33" s="224" customFormat="1" ht="15">
      <c r="A37" s="224" t="s">
        <v>847</v>
      </c>
      <c r="C37" s="225"/>
      <c r="E37" s="224">
        <f>E11-E35</f>
        <v>610736</v>
      </c>
      <c r="G37" s="224">
        <f>G11-G35</f>
        <v>618930.47999999986</v>
      </c>
      <c r="I37" s="224">
        <f>I11-I35</f>
        <v>627050.5162999999</v>
      </c>
      <c r="K37" s="224">
        <f>K11-K35</f>
        <v>635084.46010799974</v>
      </c>
      <c r="M37" s="224">
        <f>M11-M35</f>
        <v>643020.02860271733</v>
      </c>
      <c r="O37" s="224">
        <f>O11-O35</f>
        <v>650844.27707972308</v>
      </c>
      <c r="Q37" s="224">
        <f>Q11-Q35</f>
        <v>658543.569981026</v>
      </c>
      <c r="S37" s="224">
        <f>S11-S35</f>
        <v>666103.55076548038</v>
      </c>
      <c r="U37" s="224">
        <f>U11-U35</f>
        <v>673509.11057581706</v>
      </c>
      <c r="W37" s="224">
        <f>W11-W35</f>
        <v>680744.35565645364</v>
      </c>
      <c r="Y37" s="224">
        <f>Y11-Y35</f>
        <v>687792.57347454573</v>
      </c>
      <c r="AA37" s="224">
        <f>AA11-AA35</f>
        <v>694636.19749498344</v>
      </c>
      <c r="AC37" s="224">
        <f>AC11-AC35</f>
        <v>701256.77055820497</v>
      </c>
      <c r="AE37" s="224">
        <f>AE11-AE35</f>
        <v>707634.9068078259</v>
      </c>
      <c r="AG37" s="224">
        <f>AG11-AG35</f>
        <v>713750.25211310945</v>
      </c>
    </row>
    <row r="38" spans="1:33" s="211" customFormat="1" ht="14.25">
      <c r="C38" s="221"/>
      <c r="E38" s="223"/>
      <c r="F38" s="223"/>
      <c r="G38" s="223"/>
      <c r="H38" s="223"/>
      <c r="I38" s="223"/>
      <c r="J38" s="223"/>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row>
    <row r="39" spans="1:33" s="211" customFormat="1" ht="15">
      <c r="A39" s="219" t="s">
        <v>860</v>
      </c>
      <c r="C39" s="221"/>
      <c r="E39" s="223"/>
      <c r="F39" s="223"/>
      <c r="G39" s="223"/>
      <c r="H39" s="223"/>
      <c r="I39" s="223"/>
      <c r="J39" s="223"/>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23"/>
    </row>
    <row r="40" spans="1:33" s="211" customFormat="1" ht="14.25">
      <c r="A40" s="226" t="str">
        <f>Application!C627</f>
        <v>Banner Bank</v>
      </c>
      <c r="B40" s="227"/>
      <c r="C40" s="221"/>
      <c r="E40" s="223">
        <f>Application!AF627</f>
        <v>521262</v>
      </c>
      <c r="F40" s="223"/>
      <c r="G40" s="223">
        <f>$E$40</f>
        <v>521262</v>
      </c>
      <c r="H40" s="223"/>
      <c r="I40" s="223">
        <f>$E$40</f>
        <v>521262</v>
      </c>
      <c r="J40" s="223"/>
      <c r="K40" s="223">
        <f>$E$40</f>
        <v>521262</v>
      </c>
      <c r="L40" s="223"/>
      <c r="M40" s="223">
        <f>$E$40</f>
        <v>521262</v>
      </c>
      <c r="N40" s="223"/>
      <c r="O40" s="223">
        <f>$E$40</f>
        <v>521262</v>
      </c>
      <c r="P40" s="223"/>
      <c r="Q40" s="223">
        <f>$E$40</f>
        <v>521262</v>
      </c>
      <c r="R40" s="223"/>
      <c r="S40" s="223">
        <f>$E$40</f>
        <v>521262</v>
      </c>
      <c r="T40" s="223"/>
      <c r="U40" s="223">
        <f>$E$40</f>
        <v>521262</v>
      </c>
      <c r="V40" s="223"/>
      <c r="W40" s="223">
        <f>$E$40</f>
        <v>521262</v>
      </c>
      <c r="X40" s="223"/>
      <c r="Y40" s="223">
        <f>$E$40</f>
        <v>521262</v>
      </c>
      <c r="Z40" s="223"/>
      <c r="AA40" s="223">
        <f>$E$40</f>
        <v>521262</v>
      </c>
      <c r="AB40" s="223"/>
      <c r="AC40" s="223">
        <f>$E$40</f>
        <v>521262</v>
      </c>
      <c r="AD40" s="223"/>
      <c r="AE40" s="223">
        <f>$E$40</f>
        <v>521262</v>
      </c>
      <c r="AF40" s="223"/>
      <c r="AG40" s="223">
        <f>$E$40</f>
        <v>521262</v>
      </c>
    </row>
    <row r="41" spans="1:33" s="211" customFormat="1" ht="14.25">
      <c r="A41" s="226"/>
      <c r="B41" s="227"/>
      <c r="C41" s="221"/>
      <c r="E41" s="223"/>
      <c r="F41" s="223"/>
      <c r="G41" s="223">
        <f>$E$41</f>
        <v>0</v>
      </c>
      <c r="H41" s="223"/>
      <c r="I41" s="223">
        <f>$E$41</f>
        <v>0</v>
      </c>
      <c r="J41" s="223"/>
      <c r="K41" s="223">
        <f>$E$41</f>
        <v>0</v>
      </c>
      <c r="L41" s="223"/>
      <c r="M41" s="223">
        <f>$E$41</f>
        <v>0</v>
      </c>
      <c r="N41" s="223"/>
      <c r="O41" s="223">
        <f>$E$41</f>
        <v>0</v>
      </c>
      <c r="P41" s="223"/>
      <c r="Q41" s="223">
        <f>$E$41</f>
        <v>0</v>
      </c>
      <c r="R41" s="223"/>
      <c r="S41" s="223">
        <f>$E$41</f>
        <v>0</v>
      </c>
      <c r="T41" s="223"/>
      <c r="U41" s="223">
        <f>$E$41</f>
        <v>0</v>
      </c>
      <c r="V41" s="223"/>
      <c r="W41" s="223">
        <f>$E$41</f>
        <v>0</v>
      </c>
      <c r="X41" s="223"/>
      <c r="Y41" s="223">
        <f>$E$41</f>
        <v>0</v>
      </c>
      <c r="Z41" s="223"/>
      <c r="AA41" s="223">
        <f>$E$41</f>
        <v>0</v>
      </c>
      <c r="AB41" s="223"/>
      <c r="AC41" s="223">
        <f>$E$41</f>
        <v>0</v>
      </c>
      <c r="AD41" s="223"/>
      <c r="AE41" s="223">
        <f>$E$41</f>
        <v>0</v>
      </c>
      <c r="AF41" s="223"/>
      <c r="AG41" s="223">
        <f>$E$41</f>
        <v>0</v>
      </c>
    </row>
    <row r="42" spans="1:33" s="211" customFormat="1" ht="14.25">
      <c r="A42" s="226"/>
      <c r="B42" s="227"/>
      <c r="C42" s="221"/>
      <c r="E42" s="233"/>
      <c r="F42" s="223"/>
      <c r="G42" s="233">
        <f>$E$42</f>
        <v>0</v>
      </c>
      <c r="H42" s="223"/>
      <c r="I42" s="233">
        <f>$E$42</f>
        <v>0</v>
      </c>
      <c r="J42" s="223"/>
      <c r="K42" s="233">
        <f>$E$42</f>
        <v>0</v>
      </c>
      <c r="L42" s="223"/>
      <c r="M42" s="233">
        <f>$E$42</f>
        <v>0</v>
      </c>
      <c r="N42" s="223"/>
      <c r="O42" s="233">
        <f>$E$42</f>
        <v>0</v>
      </c>
      <c r="P42" s="223"/>
      <c r="Q42" s="233">
        <f>$E$42</f>
        <v>0</v>
      </c>
      <c r="R42" s="223"/>
      <c r="S42" s="233">
        <f>$E$42</f>
        <v>0</v>
      </c>
      <c r="T42" s="223"/>
      <c r="U42" s="233">
        <f>$E$42</f>
        <v>0</v>
      </c>
      <c r="V42" s="223"/>
      <c r="W42" s="233">
        <f>$E$42</f>
        <v>0</v>
      </c>
      <c r="X42" s="223"/>
      <c r="Y42" s="233">
        <f>$E$42</f>
        <v>0</v>
      </c>
      <c r="Z42" s="223"/>
      <c r="AA42" s="233">
        <f>$E$42</f>
        <v>0</v>
      </c>
      <c r="AB42" s="223"/>
      <c r="AC42" s="233">
        <f>$E$42</f>
        <v>0</v>
      </c>
      <c r="AD42" s="223"/>
      <c r="AE42" s="233">
        <f>$E$42</f>
        <v>0</v>
      </c>
      <c r="AF42" s="223"/>
      <c r="AG42" s="233">
        <f>$E$42</f>
        <v>0</v>
      </c>
    </row>
    <row r="43" spans="1:33" s="224" customFormat="1" ht="15">
      <c r="A43" s="224" t="s">
        <v>848</v>
      </c>
      <c r="C43" s="225"/>
      <c r="E43" s="224">
        <f>SUM(E40:E42)</f>
        <v>521262</v>
      </c>
      <c r="G43" s="224">
        <f>SUM(G40:G42)</f>
        <v>521262</v>
      </c>
      <c r="I43" s="224">
        <f>SUM(I40:I42)</f>
        <v>521262</v>
      </c>
      <c r="K43" s="224">
        <f>SUM(K40:K42)</f>
        <v>521262</v>
      </c>
      <c r="M43" s="224">
        <f>SUM(M40:M42)</f>
        <v>521262</v>
      </c>
      <c r="O43" s="224">
        <f>SUM(O40:O42)</f>
        <v>521262</v>
      </c>
      <c r="Q43" s="224">
        <f>SUM(Q40:Q42)</f>
        <v>521262</v>
      </c>
      <c r="S43" s="224">
        <f>SUM(S40:S42)</f>
        <v>521262</v>
      </c>
      <c r="U43" s="224">
        <f>SUM(U40:U42)</f>
        <v>521262</v>
      </c>
      <c r="W43" s="224">
        <f>SUM(W40:W42)</f>
        <v>521262</v>
      </c>
      <c r="Y43" s="224">
        <f>SUM(Y40:Y42)</f>
        <v>521262</v>
      </c>
      <c r="AA43" s="224">
        <f>SUM(AA40:AA42)</f>
        <v>521262</v>
      </c>
      <c r="AC43" s="224">
        <f>SUM(AC40:AC42)</f>
        <v>521262</v>
      </c>
      <c r="AE43" s="224">
        <f>SUM(AE40:AE42)</f>
        <v>521262</v>
      </c>
      <c r="AG43" s="224">
        <f>SUM(AG40:AG42)</f>
        <v>521262</v>
      </c>
    </row>
    <row r="44" spans="1:33" s="211" customFormat="1" ht="14.25">
      <c r="C44" s="221"/>
      <c r="E44" s="223"/>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c r="AE44" s="223"/>
      <c r="AF44" s="223"/>
      <c r="AG44" s="223"/>
    </row>
    <row r="45" spans="1:33" s="224" customFormat="1" ht="15">
      <c r="A45" s="224" t="s">
        <v>849</v>
      </c>
      <c r="C45" s="225"/>
      <c r="E45" s="224">
        <f>E37-E43</f>
        <v>89474</v>
      </c>
      <c r="G45" s="224">
        <f>G37-G43</f>
        <v>97668.479999999865</v>
      </c>
      <c r="I45" s="224">
        <f>I37-I43</f>
        <v>105788.5162999999</v>
      </c>
      <c r="K45" s="224">
        <f>K37-K43</f>
        <v>113822.46010799974</v>
      </c>
      <c r="M45" s="224">
        <f>M37-M43</f>
        <v>121758.02860271733</v>
      </c>
      <c r="O45" s="224">
        <f>O37-O43</f>
        <v>129582.27707972308</v>
      </c>
      <c r="Q45" s="224">
        <f>Q37-Q43</f>
        <v>137281.569981026</v>
      </c>
      <c r="S45" s="224">
        <f>S37-S43</f>
        <v>144841.55076548038</v>
      </c>
      <c r="U45" s="224">
        <f>U37-U43</f>
        <v>152247.11057581706</v>
      </c>
      <c r="W45" s="224">
        <f>W37-W43</f>
        <v>159482.35565645364</v>
      </c>
      <c r="Y45" s="224">
        <f>Y37-Y43</f>
        <v>166530.57347454573</v>
      </c>
      <c r="AA45" s="224">
        <f>AA37-AA43</f>
        <v>173374.19749498344</v>
      </c>
      <c r="AC45" s="224">
        <f>AC37-AC43</f>
        <v>179994.77055820497</v>
      </c>
      <c r="AE45" s="224">
        <f>AE37-AE43</f>
        <v>186372.9068078259</v>
      </c>
      <c r="AG45" s="224">
        <f>AG37-AG43</f>
        <v>192488.25211310945</v>
      </c>
    </row>
    <row r="46" spans="1:33" s="211" customFormat="1" ht="14.25">
      <c r="C46" s="221"/>
      <c r="E46" s="223"/>
      <c r="F46" s="223"/>
      <c r="G46" s="223"/>
      <c r="H46" s="223"/>
      <c r="I46" s="223"/>
      <c r="J46" s="223"/>
      <c r="K46" s="223"/>
      <c r="L46" s="223"/>
      <c r="M46" s="223"/>
      <c r="N46" s="223"/>
      <c r="O46" s="223"/>
      <c r="P46" s="223"/>
      <c r="Q46" s="223"/>
      <c r="R46" s="223"/>
      <c r="S46" s="223"/>
      <c r="T46" s="223"/>
      <c r="U46" s="223"/>
      <c r="V46" s="223"/>
      <c r="W46" s="223"/>
      <c r="X46" s="223"/>
      <c r="Y46" s="223"/>
      <c r="Z46" s="223"/>
      <c r="AA46" s="223"/>
      <c r="AB46" s="223"/>
      <c r="AC46" s="223"/>
      <c r="AD46" s="223"/>
      <c r="AE46" s="223"/>
      <c r="AF46" s="223"/>
      <c r="AG46" s="223"/>
    </row>
    <row r="47" spans="1:33" s="228" customFormat="1" ht="14.25">
      <c r="A47" s="228" t="s">
        <v>851</v>
      </c>
      <c r="C47" s="221"/>
      <c r="E47" s="228">
        <f>E45/(E4+E6+E8)</f>
        <v>5.8435434572480995E-2</v>
      </c>
      <c r="G47" s="228">
        <f>G45/(G4+G6+G8)</f>
        <v>6.2231459776391357E-2</v>
      </c>
      <c r="I47" s="228">
        <f>I45/(I4+I6+I8)</f>
        <v>6.5761274305892597E-2</v>
      </c>
      <c r="K47" s="228">
        <f>K45/(K4+K6+K8)</f>
        <v>6.9029669927195836E-2</v>
      </c>
      <c r="M47" s="228">
        <f>M45/(M4+M6+M8)</f>
        <v>7.2041304972817202E-2</v>
      </c>
      <c r="O47" s="228">
        <f>O45/(O4+O6+O8)</f>
        <v>7.4800707434309763E-2</v>
      </c>
      <c r="Q47" s="228">
        <f>Q45/(Q4+Q6+Q8)</f>
        <v>7.7312277977988217E-2</v>
      </c>
      <c r="S47" s="228">
        <f>S45/(S4+S6+S8)</f>
        <v>7.9580292885504375E-2</v>
      </c>
      <c r="U47" s="228">
        <f>U45/(U4+U6+U8)</f>
        <v>8.1608906921094806E-2</v>
      </c>
      <c r="W47" s="228">
        <f>W45/(W4+W6+W8)</f>
        <v>8.3402156127271143E-2</v>
      </c>
      <c r="Y47" s="228">
        <f>Y45/(Y4+Y6+Y8)</f>
        <v>8.4963960550683101E-2</v>
      </c>
      <c r="AA47" s="228">
        <f>AA45/(AA4+AA6+AA8)</f>
        <v>8.6298126899842356E-2</v>
      </c>
      <c r="AC47" s="228">
        <f>AC45/(AC4+AC6+AC8)</f>
        <v>8.7408351136349802E-2</v>
      </c>
      <c r="AE47" s="228">
        <f>AE45/(AE4+AE6+AE8)</f>
        <v>8.8298221001236646E-2</v>
      </c>
      <c r="AG47" s="228">
        <f>AG45/(AG4+AG6+AG8)</f>
        <v>8.8971218477982256E-2</v>
      </c>
    </row>
    <row r="48" spans="1:33" s="228" customFormat="1" ht="14.25">
      <c r="A48" s="228" t="s">
        <v>852</v>
      </c>
      <c r="C48" s="221"/>
      <c r="E48" s="228">
        <f>E45/E43</f>
        <v>0.17164880616657266</v>
      </c>
      <c r="G48" s="228">
        <f>G45/G43</f>
        <v>0.18736926919668009</v>
      </c>
      <c r="I48" s="228">
        <f>I45/I43</f>
        <v>0.20294691786472044</v>
      </c>
      <c r="K48" s="228">
        <f>K45/K43</f>
        <v>0.21835940488276478</v>
      </c>
      <c r="M48" s="228">
        <f>M45/M43</f>
        <v>0.23358316662775597</v>
      </c>
      <c r="O48" s="228">
        <f>O45/O43</f>
        <v>0.24859336970606544</v>
      </c>
      <c r="Q48" s="228">
        <f>Q45/Q43</f>
        <v>0.26336385537604123</v>
      </c>
      <c r="S48" s="228">
        <f>S45/S43</f>
        <v>0.2778670817467615</v>
      </c>
      <c r="U48" s="228">
        <f>U45/U43</f>
        <v>0.29207406366820726</v>
      </c>
      <c r="W48" s="228">
        <f>W45/W43</f>
        <v>0.30595431022490349</v>
      </c>
      <c r="Y48" s="228">
        <f>Y45/Y43</f>
        <v>0.3194757597418299</v>
      </c>
      <c r="AA48" s="228">
        <f>AA45/AA43</f>
        <v>0.3326047122080325</v>
      </c>
      <c r="AC48" s="228">
        <f>AC45/AC43</f>
        <v>0.34530575901984983</v>
      </c>
      <c r="AE48" s="228">
        <f>AE45/AE43</f>
        <v>0.35754170994207501</v>
      </c>
      <c r="AG48" s="228">
        <f>AG45/AG43</f>
        <v>0.36927351718158902</v>
      </c>
    </row>
    <row r="49" spans="1:34" s="229" customFormat="1" ht="14.25">
      <c r="A49" s="229" t="s">
        <v>850</v>
      </c>
      <c r="C49" s="230"/>
      <c r="E49" s="229">
        <f>E37/E43</f>
        <v>1.1716488061665726</v>
      </c>
      <c r="G49" s="229">
        <f>G37/G43</f>
        <v>1.1873692691966802</v>
      </c>
      <c r="I49" s="229">
        <f>I37/I43</f>
        <v>1.2029469178647205</v>
      </c>
      <c r="K49" s="229">
        <f>K37/K43</f>
        <v>1.2183594048827648</v>
      </c>
      <c r="M49" s="229">
        <f>M37/M43</f>
        <v>1.2335831666277559</v>
      </c>
      <c r="O49" s="229">
        <f>O37/O43</f>
        <v>1.2485933697060654</v>
      </c>
      <c r="Q49" s="229">
        <f>Q37/Q43</f>
        <v>1.2633638553760411</v>
      </c>
      <c r="S49" s="229">
        <f>S37/S43</f>
        <v>1.2778670817467614</v>
      </c>
      <c r="U49" s="229">
        <f>U37/U43</f>
        <v>1.2920740636682073</v>
      </c>
      <c r="W49" s="229">
        <f>W37/W43</f>
        <v>1.3059543102249034</v>
      </c>
      <c r="Y49" s="229">
        <f>Y37/Y43</f>
        <v>1.3194757597418298</v>
      </c>
      <c r="AA49" s="229">
        <f>AA37/AA43</f>
        <v>1.3326047122080324</v>
      </c>
      <c r="AC49" s="229">
        <f>AC37/AC43</f>
        <v>1.3453057590198498</v>
      </c>
      <c r="AE49" s="229">
        <f>AE37/AE43</f>
        <v>1.357541709942075</v>
      </c>
      <c r="AG49" s="229">
        <f>AG37/AG43</f>
        <v>1.3692735171815891</v>
      </c>
    </row>
    <row r="50" spans="1:34" s="211" customFormat="1" ht="14.25">
      <c r="A50" s="231"/>
      <c r="B50" s="231"/>
      <c r="C50" s="232"/>
      <c r="D50" s="231"/>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row>
    <row r="51" spans="1:34" s="3" customFormat="1">
      <c r="A51" s="3" t="s">
        <v>862</v>
      </c>
      <c r="C51" s="962"/>
      <c r="E51" s="961"/>
      <c r="F51" s="961"/>
      <c r="G51" s="961"/>
      <c r="H51" s="961"/>
      <c r="I51" s="961"/>
      <c r="J51" s="961"/>
      <c r="K51" s="961"/>
      <c r="L51" s="961"/>
      <c r="M51" s="961"/>
      <c r="N51" s="961"/>
      <c r="O51" s="961"/>
      <c r="P51" s="961"/>
      <c r="Q51" s="961"/>
      <c r="R51" s="961"/>
      <c r="S51" s="961"/>
      <c r="T51" s="961"/>
      <c r="U51" s="961"/>
      <c r="V51" s="961"/>
      <c r="W51" s="961"/>
      <c r="X51" s="961"/>
      <c r="Y51" s="961"/>
      <c r="Z51" s="961"/>
      <c r="AA51" s="961"/>
      <c r="AB51" s="961"/>
      <c r="AC51" s="961"/>
      <c r="AD51" s="961"/>
      <c r="AE51" s="961"/>
      <c r="AF51" s="961"/>
      <c r="AG51" s="961"/>
    </row>
    <row r="52" spans="1:34" s="3" customFormat="1">
      <c r="A52" s="2700" t="s">
        <v>1184</v>
      </c>
      <c r="B52" s="2700"/>
      <c r="C52" s="2700"/>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row>
    <row r="53" spans="1:34" s="963" customFormat="1">
      <c r="A53" s="963" t="s">
        <v>854</v>
      </c>
      <c r="C53" s="964"/>
      <c r="E53" s="965"/>
      <c r="G53" s="961">
        <f>E53*$C$53</f>
        <v>0</v>
      </c>
      <c r="I53" s="961">
        <f>G53*$C$53</f>
        <v>0</v>
      </c>
      <c r="K53" s="961">
        <f>I53*$C$53</f>
        <v>0</v>
      </c>
      <c r="M53" s="961">
        <f>K53*$C$53</f>
        <v>0</v>
      </c>
      <c r="O53" s="961">
        <f>M53*$C$53</f>
        <v>0</v>
      </c>
      <c r="Q53" s="961">
        <f>O53*$C$53</f>
        <v>0</v>
      </c>
      <c r="S53" s="961">
        <f>Q53*$C$53</f>
        <v>0</v>
      </c>
      <c r="U53" s="961">
        <f>S53*$C$53</f>
        <v>0</v>
      </c>
      <c r="W53" s="961">
        <f>U53*$C$53</f>
        <v>0</v>
      </c>
      <c r="Y53" s="961">
        <f>W53*$C$53</f>
        <v>0</v>
      </c>
      <c r="AA53" s="961">
        <f>Y53*$C$53</f>
        <v>0</v>
      </c>
      <c r="AC53" s="961">
        <f>AA53*$C$53</f>
        <v>0</v>
      </c>
      <c r="AE53" s="961">
        <f>AC53*$C$53</f>
        <v>0</v>
      </c>
      <c r="AG53" s="961">
        <f>AE53*$C$53</f>
        <v>0</v>
      </c>
    </row>
    <row r="54" spans="1:34" s="3" customFormat="1">
      <c r="A54" s="3" t="s">
        <v>855</v>
      </c>
      <c r="C54" s="959"/>
      <c r="E54" s="966"/>
      <c r="F54" s="961"/>
      <c r="G54" s="961">
        <f t="shared" ref="G54:AG57" si="1">E54*$C$53</f>
        <v>0</v>
      </c>
      <c r="H54" s="961"/>
      <c r="I54" s="961">
        <f t="shared" si="1"/>
        <v>0</v>
      </c>
      <c r="J54" s="961"/>
      <c r="K54" s="961">
        <f t="shared" si="1"/>
        <v>0</v>
      </c>
      <c r="L54" s="961"/>
      <c r="M54" s="961">
        <f t="shared" si="1"/>
        <v>0</v>
      </c>
      <c r="N54" s="961"/>
      <c r="O54" s="961">
        <f t="shared" si="1"/>
        <v>0</v>
      </c>
      <c r="P54" s="961"/>
      <c r="Q54" s="961">
        <f t="shared" si="1"/>
        <v>0</v>
      </c>
      <c r="R54" s="961"/>
      <c r="S54" s="961">
        <f t="shared" si="1"/>
        <v>0</v>
      </c>
      <c r="T54" s="961"/>
      <c r="U54" s="961">
        <f t="shared" si="1"/>
        <v>0</v>
      </c>
      <c r="V54" s="961"/>
      <c r="W54" s="961">
        <f t="shared" si="1"/>
        <v>0</v>
      </c>
      <c r="X54" s="961"/>
      <c r="Y54" s="961">
        <f t="shared" si="1"/>
        <v>0</v>
      </c>
      <c r="Z54" s="961"/>
      <c r="AA54" s="961">
        <f t="shared" si="1"/>
        <v>0</v>
      </c>
      <c r="AB54" s="961"/>
      <c r="AC54" s="961">
        <f t="shared" si="1"/>
        <v>0</v>
      </c>
      <c r="AD54" s="961"/>
      <c r="AE54" s="961">
        <f t="shared" si="1"/>
        <v>0</v>
      </c>
      <c r="AF54" s="961"/>
      <c r="AG54" s="961">
        <f t="shared" si="1"/>
        <v>0</v>
      </c>
      <c r="AH54" s="961"/>
    </row>
    <row r="55" spans="1:34" s="3" customFormat="1">
      <c r="A55" s="3" t="s">
        <v>856</v>
      </c>
      <c r="C55" s="959"/>
      <c r="E55" s="966"/>
      <c r="F55" s="961"/>
      <c r="G55" s="961">
        <f t="shared" si="1"/>
        <v>0</v>
      </c>
      <c r="H55" s="961"/>
      <c r="I55" s="961">
        <f t="shared" si="1"/>
        <v>0</v>
      </c>
      <c r="J55" s="961"/>
      <c r="K55" s="961">
        <f t="shared" si="1"/>
        <v>0</v>
      </c>
      <c r="L55" s="961"/>
      <c r="M55" s="961">
        <f t="shared" si="1"/>
        <v>0</v>
      </c>
      <c r="N55" s="961"/>
      <c r="O55" s="961">
        <f t="shared" si="1"/>
        <v>0</v>
      </c>
      <c r="P55" s="961"/>
      <c r="Q55" s="961">
        <f t="shared" si="1"/>
        <v>0</v>
      </c>
      <c r="R55" s="961"/>
      <c r="S55" s="961">
        <f t="shared" si="1"/>
        <v>0</v>
      </c>
      <c r="T55" s="961"/>
      <c r="U55" s="961">
        <f t="shared" si="1"/>
        <v>0</v>
      </c>
      <c r="V55" s="961"/>
      <c r="W55" s="961">
        <f t="shared" si="1"/>
        <v>0</v>
      </c>
      <c r="X55" s="961"/>
      <c r="Y55" s="961">
        <f t="shared" si="1"/>
        <v>0</v>
      </c>
      <c r="Z55" s="961"/>
      <c r="AA55" s="961">
        <f t="shared" si="1"/>
        <v>0</v>
      </c>
      <c r="AB55" s="961"/>
      <c r="AC55" s="961">
        <f t="shared" si="1"/>
        <v>0</v>
      </c>
      <c r="AD55" s="961"/>
      <c r="AE55" s="961">
        <f t="shared" si="1"/>
        <v>0</v>
      </c>
      <c r="AF55" s="961"/>
      <c r="AG55" s="961">
        <f t="shared" si="1"/>
        <v>0</v>
      </c>
      <c r="AH55" s="961"/>
    </row>
    <row r="56" spans="1:34" s="3" customFormat="1">
      <c r="A56" s="967"/>
      <c r="B56" s="967"/>
      <c r="C56" s="959"/>
      <c r="E56" s="966"/>
      <c r="F56" s="961"/>
      <c r="G56" s="961">
        <f t="shared" si="1"/>
        <v>0</v>
      </c>
      <c r="H56" s="961"/>
      <c r="I56" s="961">
        <f t="shared" si="1"/>
        <v>0</v>
      </c>
      <c r="J56" s="961"/>
      <c r="K56" s="961">
        <f t="shared" si="1"/>
        <v>0</v>
      </c>
      <c r="L56" s="961"/>
      <c r="M56" s="961">
        <f t="shared" si="1"/>
        <v>0</v>
      </c>
      <c r="N56" s="961"/>
      <c r="O56" s="961">
        <f t="shared" si="1"/>
        <v>0</v>
      </c>
      <c r="P56" s="961"/>
      <c r="Q56" s="961">
        <f t="shared" si="1"/>
        <v>0</v>
      </c>
      <c r="R56" s="961"/>
      <c r="S56" s="961">
        <f t="shared" si="1"/>
        <v>0</v>
      </c>
      <c r="T56" s="961"/>
      <c r="U56" s="961">
        <f t="shared" si="1"/>
        <v>0</v>
      </c>
      <c r="V56" s="961"/>
      <c r="W56" s="961">
        <f t="shared" si="1"/>
        <v>0</v>
      </c>
      <c r="X56" s="961"/>
      <c r="Y56" s="961">
        <f t="shared" si="1"/>
        <v>0</v>
      </c>
      <c r="Z56" s="961"/>
      <c r="AA56" s="961">
        <f t="shared" si="1"/>
        <v>0</v>
      </c>
      <c r="AB56" s="961"/>
      <c r="AC56" s="961">
        <f t="shared" si="1"/>
        <v>0</v>
      </c>
      <c r="AD56" s="961"/>
      <c r="AE56" s="961">
        <f t="shared" si="1"/>
        <v>0</v>
      </c>
      <c r="AF56" s="961"/>
      <c r="AG56" s="961">
        <f t="shared" si="1"/>
        <v>0</v>
      </c>
      <c r="AH56" s="961"/>
    </row>
    <row r="57" spans="1:34" s="3" customFormat="1">
      <c r="A57" s="967"/>
      <c r="B57" s="967"/>
      <c r="C57" s="959"/>
      <c r="E57" s="968"/>
      <c r="F57" s="961"/>
      <c r="G57" s="969">
        <f t="shared" si="1"/>
        <v>0</v>
      </c>
      <c r="H57" s="961"/>
      <c r="I57" s="969">
        <f t="shared" si="1"/>
        <v>0</v>
      </c>
      <c r="J57" s="961"/>
      <c r="K57" s="969">
        <f t="shared" si="1"/>
        <v>0</v>
      </c>
      <c r="L57" s="961"/>
      <c r="M57" s="969">
        <f t="shared" si="1"/>
        <v>0</v>
      </c>
      <c r="N57" s="961"/>
      <c r="O57" s="969">
        <f t="shared" si="1"/>
        <v>0</v>
      </c>
      <c r="P57" s="961"/>
      <c r="Q57" s="969">
        <f t="shared" si="1"/>
        <v>0</v>
      </c>
      <c r="R57" s="961"/>
      <c r="S57" s="969">
        <f t="shared" si="1"/>
        <v>0</v>
      </c>
      <c r="T57" s="961"/>
      <c r="U57" s="969">
        <f t="shared" si="1"/>
        <v>0</v>
      </c>
      <c r="V57" s="961"/>
      <c r="W57" s="969">
        <f t="shared" si="1"/>
        <v>0</v>
      </c>
      <c r="X57" s="961"/>
      <c r="Y57" s="969">
        <f t="shared" si="1"/>
        <v>0</v>
      </c>
      <c r="Z57" s="961"/>
      <c r="AA57" s="969">
        <f t="shared" si="1"/>
        <v>0</v>
      </c>
      <c r="AB57" s="961"/>
      <c r="AC57" s="969">
        <f t="shared" si="1"/>
        <v>0</v>
      </c>
      <c r="AD57" s="961"/>
      <c r="AE57" s="969">
        <f t="shared" si="1"/>
        <v>0</v>
      </c>
      <c r="AF57" s="961"/>
      <c r="AG57" s="969">
        <f t="shared" si="1"/>
        <v>0</v>
      </c>
      <c r="AH57" s="961"/>
    </row>
    <row r="58" spans="1:34" s="3" customFormat="1">
      <c r="A58" s="963" t="s">
        <v>853</v>
      </c>
      <c r="C58" s="962"/>
      <c r="E58" s="961">
        <f>SUM(E53:E57)</f>
        <v>0</v>
      </c>
      <c r="F58" s="961"/>
      <c r="G58" s="961">
        <f>SUM(G53:G57)</f>
        <v>0</v>
      </c>
      <c r="H58" s="961"/>
      <c r="I58" s="961">
        <f>SUM(I53:I57)</f>
        <v>0</v>
      </c>
      <c r="J58" s="961"/>
      <c r="K58" s="961">
        <f>SUM(K53:K57)</f>
        <v>0</v>
      </c>
      <c r="L58" s="961"/>
      <c r="M58" s="961">
        <f>SUM(M53:M57)</f>
        <v>0</v>
      </c>
      <c r="N58" s="961"/>
      <c r="O58" s="961">
        <f>SUM(O53:O57)</f>
        <v>0</v>
      </c>
      <c r="P58" s="961"/>
      <c r="Q58" s="961">
        <f>SUM(Q53:Q57)</f>
        <v>0</v>
      </c>
      <c r="R58" s="961"/>
      <c r="S58" s="961">
        <f>SUM(S53:S57)</f>
        <v>0</v>
      </c>
      <c r="T58" s="961"/>
      <c r="U58" s="961">
        <f>SUM(U53:U57)</f>
        <v>0</v>
      </c>
      <c r="V58" s="961"/>
      <c r="W58" s="961">
        <f>SUM(W53:W57)</f>
        <v>0</v>
      </c>
      <c r="X58" s="961"/>
      <c r="Y58" s="961">
        <f>SUM(Y53:Y57)</f>
        <v>0</v>
      </c>
      <c r="Z58" s="961"/>
      <c r="AA58" s="961">
        <f>SUM(AA53:AA57)</f>
        <v>0</v>
      </c>
      <c r="AB58" s="961"/>
      <c r="AC58" s="961">
        <f>SUM(AC53:AC57)</f>
        <v>0</v>
      </c>
      <c r="AD58" s="961"/>
      <c r="AE58" s="961">
        <f>SUM(AE53:AE57)</f>
        <v>0</v>
      </c>
      <c r="AF58" s="961"/>
      <c r="AG58" s="961">
        <f>SUM(AG53:AG57)</f>
        <v>0</v>
      </c>
      <c r="AH58" s="961"/>
    </row>
    <row r="59" spans="1:34" s="3" customFormat="1" ht="12.75" customHeight="1">
      <c r="A59" s="963"/>
      <c r="C59" s="962"/>
      <c r="E59" s="961"/>
      <c r="F59" s="961"/>
      <c r="G59" s="961"/>
      <c r="H59" s="961"/>
      <c r="I59" s="961"/>
      <c r="J59" s="961"/>
      <c r="K59" s="961"/>
      <c r="L59" s="961"/>
      <c r="M59" s="961"/>
      <c r="N59" s="961"/>
      <c r="O59" s="961"/>
      <c r="P59" s="961"/>
      <c r="Q59" s="961"/>
      <c r="R59" s="961"/>
      <c r="S59" s="961"/>
      <c r="T59" s="961"/>
      <c r="U59" s="961"/>
      <c r="V59" s="961"/>
      <c r="W59" s="961"/>
      <c r="X59" s="961"/>
      <c r="Y59" s="961"/>
      <c r="Z59" s="961"/>
      <c r="AA59" s="961"/>
      <c r="AB59" s="961"/>
      <c r="AC59" s="961"/>
      <c r="AD59" s="961"/>
      <c r="AE59" s="961"/>
      <c r="AF59" s="961"/>
      <c r="AG59" s="961"/>
      <c r="AH59" s="961"/>
    </row>
    <row r="60" spans="1:34" s="963" customFormat="1">
      <c r="A60" s="963" t="s">
        <v>858</v>
      </c>
      <c r="C60" s="970"/>
      <c r="E60" s="963">
        <f>E45-E58</f>
        <v>89474</v>
      </c>
      <c r="G60" s="963">
        <f>G45-G58</f>
        <v>97668.479999999865</v>
      </c>
      <c r="I60" s="963">
        <f>I45-I58</f>
        <v>105788.5162999999</v>
      </c>
      <c r="K60" s="963">
        <f>K45-K58</f>
        <v>113822.46010799974</v>
      </c>
      <c r="M60" s="963">
        <f>M45-M58</f>
        <v>121758.02860271733</v>
      </c>
      <c r="O60" s="963">
        <f>O45-O58</f>
        <v>129582.27707972308</v>
      </c>
      <c r="Q60" s="963">
        <f>Q45-Q58</f>
        <v>137281.569981026</v>
      </c>
      <c r="S60" s="963">
        <f>S45-S58</f>
        <v>144841.55076548038</v>
      </c>
      <c r="U60" s="963">
        <f>U45-U58</f>
        <v>152247.11057581706</v>
      </c>
      <c r="W60" s="963">
        <f>W45-W58</f>
        <v>159482.35565645364</v>
      </c>
      <c r="Y60" s="963">
        <f>Y45-Y58</f>
        <v>166530.57347454573</v>
      </c>
      <c r="AA60" s="963">
        <f>AA45-AA58</f>
        <v>173374.19749498344</v>
      </c>
      <c r="AC60" s="963">
        <f>AC45-AC58</f>
        <v>179994.77055820497</v>
      </c>
      <c r="AE60" s="963">
        <f>AE45-AE58</f>
        <v>186372.9068078259</v>
      </c>
      <c r="AG60" s="963">
        <f>AG45-AG58</f>
        <v>192488.25211310945</v>
      </c>
    </row>
    <row r="61" spans="1:34" s="3" customFormat="1" ht="8.25" customHeight="1">
      <c r="C61" s="962"/>
      <c r="E61" s="961"/>
      <c r="F61" s="961"/>
      <c r="G61" s="961"/>
      <c r="H61" s="961"/>
      <c r="I61" s="961"/>
      <c r="J61" s="961"/>
      <c r="K61" s="961"/>
      <c r="L61" s="961"/>
      <c r="M61" s="961"/>
      <c r="N61" s="961"/>
      <c r="O61" s="961"/>
      <c r="P61" s="961"/>
      <c r="Q61" s="961"/>
      <c r="R61" s="961"/>
      <c r="S61" s="961"/>
      <c r="T61" s="961"/>
      <c r="U61" s="961"/>
      <c r="V61" s="961"/>
      <c r="W61" s="961"/>
      <c r="X61" s="961"/>
      <c r="Y61" s="961"/>
      <c r="Z61" s="961"/>
      <c r="AA61" s="961"/>
      <c r="AB61" s="961"/>
      <c r="AC61" s="961"/>
      <c r="AD61" s="961"/>
      <c r="AE61" s="961"/>
      <c r="AF61" s="961"/>
      <c r="AG61" s="961"/>
      <c r="AH61" s="961"/>
    </row>
    <row r="62" spans="1:34" s="963" customFormat="1">
      <c r="A62" s="963" t="s">
        <v>857</v>
      </c>
      <c r="C62" s="960">
        <v>0</v>
      </c>
      <c r="E62" s="965">
        <f>E60*$C$62</f>
        <v>0</v>
      </c>
      <c r="G62" s="963">
        <f>G60*$C$62</f>
        <v>0</v>
      </c>
      <c r="I62" s="963">
        <f>I60*$C$62</f>
        <v>0</v>
      </c>
      <c r="K62" s="963">
        <f>K60*$C$62</f>
        <v>0</v>
      </c>
      <c r="M62" s="963">
        <f>M60*$C$62</f>
        <v>0</v>
      </c>
      <c r="O62" s="963">
        <f>O60*$C$62</f>
        <v>0</v>
      </c>
      <c r="Q62" s="963">
        <f>Q60*$C$62</f>
        <v>0</v>
      </c>
      <c r="S62" s="963">
        <f>S60*$C$62</f>
        <v>0</v>
      </c>
      <c r="U62" s="963">
        <f>U60*$C$62</f>
        <v>0</v>
      </c>
      <c r="W62" s="963">
        <f>W60*$C$62</f>
        <v>0</v>
      </c>
      <c r="Y62" s="963">
        <f>Y60*$C$62</f>
        <v>0</v>
      </c>
      <c r="AA62" s="963">
        <f>AA60*$C$62</f>
        <v>0</v>
      </c>
      <c r="AC62" s="963">
        <f>AC60*$C$62</f>
        <v>0</v>
      </c>
      <c r="AE62" s="963">
        <f>AE60*$C$62</f>
        <v>0</v>
      </c>
      <c r="AG62" s="963">
        <f>AG60*$C$62</f>
        <v>0</v>
      </c>
    </row>
    <row r="63" spans="1:34" s="963" customFormat="1">
      <c r="A63" s="2700" t="s">
        <v>1184</v>
      </c>
      <c r="B63" s="2700"/>
      <c r="C63" s="2700"/>
    </row>
    <row r="64" spans="1:34" s="3" customFormat="1" ht="8.25" customHeight="1">
      <c r="C64" s="962"/>
      <c r="E64" s="961"/>
      <c r="F64" s="961"/>
      <c r="G64" s="961"/>
      <c r="H64" s="961"/>
      <c r="I64" s="961"/>
      <c r="J64" s="961"/>
      <c r="K64" s="961"/>
      <c r="L64" s="961"/>
      <c r="M64" s="961"/>
      <c r="N64" s="961"/>
      <c r="O64" s="961"/>
      <c r="P64" s="961"/>
      <c r="Q64" s="961"/>
      <c r="R64" s="961"/>
      <c r="S64" s="961"/>
      <c r="T64" s="961"/>
      <c r="U64" s="961"/>
      <c r="V64" s="961"/>
      <c r="W64" s="961"/>
      <c r="X64" s="961"/>
      <c r="Y64" s="961"/>
      <c r="Z64" s="961"/>
      <c r="AA64" s="961"/>
      <c r="AB64" s="961"/>
      <c r="AC64" s="961"/>
      <c r="AD64" s="961"/>
      <c r="AE64" s="961"/>
      <c r="AF64" s="961"/>
      <c r="AG64" s="961"/>
      <c r="AH64" s="961"/>
    </row>
    <row r="65" spans="1:34" s="3" customFormat="1">
      <c r="A65" s="3" t="s">
        <v>861</v>
      </c>
      <c r="C65" s="960">
        <v>0.5</v>
      </c>
      <c r="E65" s="961"/>
      <c r="F65" s="961"/>
      <c r="G65" s="961"/>
      <c r="H65" s="961"/>
      <c r="I65" s="961"/>
      <c r="J65" s="961"/>
      <c r="K65" s="961"/>
      <c r="L65" s="961"/>
      <c r="M65" s="961"/>
      <c r="N65" s="961"/>
      <c r="O65" s="961"/>
      <c r="P65" s="961"/>
      <c r="Q65" s="961"/>
      <c r="R65" s="961"/>
      <c r="S65" s="961"/>
      <c r="T65" s="961"/>
      <c r="U65" s="961"/>
      <c r="V65" s="961"/>
      <c r="W65" s="961"/>
      <c r="X65" s="961"/>
      <c r="Y65" s="961"/>
      <c r="Z65" s="961"/>
      <c r="AA65" s="961"/>
      <c r="AB65" s="961"/>
      <c r="AC65" s="961"/>
      <c r="AD65" s="961"/>
      <c r="AE65" s="961"/>
      <c r="AF65" s="961"/>
      <c r="AG65" s="961"/>
      <c r="AH65" s="961"/>
    </row>
    <row r="66" spans="1:34" s="963" customFormat="1">
      <c r="A66" s="965" t="s">
        <v>2612</v>
      </c>
      <c r="B66" s="965"/>
      <c r="C66" s="964"/>
      <c r="E66" s="965">
        <f>$E60*$C$65</f>
        <v>44737</v>
      </c>
      <c r="G66" s="961">
        <f>G60*$C$65</f>
        <v>48834.239999999932</v>
      </c>
      <c r="I66" s="961">
        <f>I60*$C$65</f>
        <v>52894.258149999951</v>
      </c>
      <c r="K66" s="961">
        <f>K60*$C$65</f>
        <v>56911.230053999869</v>
      </c>
      <c r="M66" s="961">
        <f>M60*$C$65</f>
        <v>60879.014301358664</v>
      </c>
      <c r="O66" s="961">
        <f>O60*$C$65</f>
        <v>64791.138539861538</v>
      </c>
      <c r="Q66" s="961">
        <f>Q60*$C$65</f>
        <v>68640.784990512999</v>
      </c>
      <c r="S66" s="961">
        <f>S60*$C$65</f>
        <v>72420.77538274019</v>
      </c>
      <c r="U66" s="961">
        <f>U60*$C$65</f>
        <v>76123.55528790853</v>
      </c>
      <c r="W66" s="961">
        <f>W60*$C$65</f>
        <v>79741.177828226821</v>
      </c>
      <c r="Y66" s="961">
        <f>Y60*$C$65</f>
        <v>83265.286737272865</v>
      </c>
      <c r="AA66" s="961">
        <f>AA60*$C$65</f>
        <v>86687.09874749172</v>
      </c>
      <c r="AC66" s="961">
        <f>AC60*$C$65</f>
        <v>89997.385279102484</v>
      </c>
      <c r="AE66" s="961">
        <f>AE60*$C$65</f>
        <v>93186.45340391295</v>
      </c>
      <c r="AG66" s="961">
        <f>AG60*$C$65</f>
        <v>96244.126056554727</v>
      </c>
    </row>
    <row r="67" spans="1:34" s="961" customFormat="1">
      <c r="A67" s="966"/>
      <c r="B67" s="966"/>
      <c r="C67" s="971"/>
      <c r="E67" s="965"/>
    </row>
    <row r="68" spans="1:34" s="961" customFormat="1">
      <c r="A68" s="966"/>
      <c r="B68" s="966"/>
      <c r="C68" s="971"/>
      <c r="E68" s="966"/>
      <c r="G68" s="961">
        <f t="shared" ref="G68:AG69" si="2">E68*$C$66</f>
        <v>0</v>
      </c>
      <c r="I68" s="961">
        <f t="shared" si="2"/>
        <v>0</v>
      </c>
      <c r="K68" s="961">
        <f t="shared" si="2"/>
        <v>0</v>
      </c>
      <c r="M68" s="961">
        <f t="shared" si="2"/>
        <v>0</v>
      </c>
      <c r="O68" s="961">
        <f t="shared" si="2"/>
        <v>0</v>
      </c>
      <c r="Q68" s="961">
        <f t="shared" si="2"/>
        <v>0</v>
      </c>
      <c r="S68" s="961">
        <f t="shared" si="2"/>
        <v>0</v>
      </c>
      <c r="U68" s="961">
        <f t="shared" si="2"/>
        <v>0</v>
      </c>
      <c r="W68" s="961">
        <f t="shared" si="2"/>
        <v>0</v>
      </c>
      <c r="Y68" s="961">
        <f t="shared" si="2"/>
        <v>0</v>
      </c>
      <c r="AA68" s="961">
        <f t="shared" si="2"/>
        <v>0</v>
      </c>
      <c r="AC68" s="961">
        <f t="shared" si="2"/>
        <v>0</v>
      </c>
      <c r="AE68" s="961">
        <f t="shared" si="2"/>
        <v>0</v>
      </c>
      <c r="AG68" s="961">
        <f t="shared" si="2"/>
        <v>0</v>
      </c>
    </row>
    <row r="69" spans="1:34" s="961" customFormat="1">
      <c r="A69" s="966"/>
      <c r="B69" s="966"/>
      <c r="C69" s="971"/>
      <c r="E69" s="968"/>
      <c r="G69" s="969">
        <f t="shared" si="2"/>
        <v>0</v>
      </c>
      <c r="I69" s="969">
        <f t="shared" si="2"/>
        <v>0</v>
      </c>
      <c r="K69" s="969">
        <f t="shared" si="2"/>
        <v>0</v>
      </c>
      <c r="M69" s="969">
        <f t="shared" si="2"/>
        <v>0</v>
      </c>
      <c r="O69" s="969">
        <f t="shared" si="2"/>
        <v>0</v>
      </c>
      <c r="Q69" s="969">
        <f t="shared" si="2"/>
        <v>0</v>
      </c>
      <c r="S69" s="969">
        <f t="shared" si="2"/>
        <v>0</v>
      </c>
      <c r="U69" s="969">
        <f t="shared" si="2"/>
        <v>0</v>
      </c>
      <c r="W69" s="969">
        <f t="shared" si="2"/>
        <v>0</v>
      </c>
      <c r="Y69" s="969">
        <f t="shared" si="2"/>
        <v>0</v>
      </c>
      <c r="AA69" s="969">
        <f t="shared" si="2"/>
        <v>0</v>
      </c>
      <c r="AC69" s="969">
        <f t="shared" si="2"/>
        <v>0</v>
      </c>
      <c r="AE69" s="969">
        <f t="shared" si="2"/>
        <v>0</v>
      </c>
      <c r="AG69" s="969">
        <f t="shared" si="2"/>
        <v>0</v>
      </c>
    </row>
    <row r="70" spans="1:34" s="961" customFormat="1">
      <c r="A70" s="963" t="s">
        <v>853</v>
      </c>
      <c r="C70" s="971"/>
      <c r="E70" s="961">
        <f>SUM(E66:E69)</f>
        <v>44737</v>
      </c>
      <c r="G70" s="961">
        <f>SUM(G66:G69)</f>
        <v>48834.239999999932</v>
      </c>
      <c r="I70" s="961">
        <f>SUM(I66:I69)</f>
        <v>52894.258149999951</v>
      </c>
      <c r="K70" s="961">
        <f>SUM(K66:K69)</f>
        <v>56911.230053999869</v>
      </c>
      <c r="M70" s="961">
        <f>SUM(M66:M69)</f>
        <v>60879.014301358664</v>
      </c>
      <c r="O70" s="961">
        <f>SUM(O66:O69)</f>
        <v>64791.138539861538</v>
      </c>
      <c r="Q70" s="961">
        <f>SUM(Q66:Q69)</f>
        <v>68640.784990512999</v>
      </c>
      <c r="S70" s="961">
        <f>SUM(S66:S69)</f>
        <v>72420.77538274019</v>
      </c>
      <c r="U70" s="961">
        <f>SUM(U66:U69)</f>
        <v>76123.55528790853</v>
      </c>
      <c r="W70" s="961">
        <f>SUM(W66:W69)</f>
        <v>79741.177828226821</v>
      </c>
      <c r="Y70" s="961">
        <f>SUM(Y66:Y69)</f>
        <v>83265.286737272865</v>
      </c>
      <c r="AA70" s="961">
        <f>SUM(AA66:AA69)</f>
        <v>86687.09874749172</v>
      </c>
      <c r="AC70" s="961">
        <f>SUM(AC66:AC69)</f>
        <v>89997.385279102484</v>
      </c>
      <c r="AE70" s="961">
        <f>SUM(AE66:AE69)</f>
        <v>93186.45340391295</v>
      </c>
      <c r="AG70" s="961">
        <f>SUM(AG66:AG69)</f>
        <v>96244.126056554727</v>
      </c>
    </row>
    <row r="71" spans="1:34" s="961" customFormat="1">
      <c r="A71" s="963"/>
      <c r="C71" s="971"/>
    </row>
    <row r="72" spans="1:34" s="961" customFormat="1">
      <c r="A72" s="963" t="s">
        <v>1723</v>
      </c>
      <c r="C72" s="971"/>
      <c r="E72" s="963">
        <f>E60-E62-E70</f>
        <v>44737</v>
      </c>
      <c r="G72" s="963">
        <f>G60-G62-G70</f>
        <v>48834.239999999932</v>
      </c>
      <c r="I72" s="963">
        <f>I60-I62-I70</f>
        <v>52894.258149999951</v>
      </c>
      <c r="K72" s="963">
        <f>K60-K62-K70</f>
        <v>56911.230053999869</v>
      </c>
      <c r="M72" s="963">
        <f>M60-M62-M70</f>
        <v>60879.014301358664</v>
      </c>
      <c r="O72" s="963">
        <f>O60-O62-O70</f>
        <v>64791.138539861538</v>
      </c>
      <c r="Q72" s="963">
        <f>Q60-Q62-Q70</f>
        <v>68640.784990512999</v>
      </c>
      <c r="S72" s="963">
        <f>S60-S62-S70</f>
        <v>72420.77538274019</v>
      </c>
      <c r="U72" s="963">
        <f>U60-U62-U70</f>
        <v>76123.55528790853</v>
      </c>
      <c r="W72" s="963">
        <f>W60-W62-W70</f>
        <v>79741.177828226821</v>
      </c>
      <c r="Y72" s="963">
        <f>Y60-Y62-Y70</f>
        <v>83265.286737272865</v>
      </c>
      <c r="AA72" s="963">
        <f>AA60-AA62-AA70</f>
        <v>86687.09874749172</v>
      </c>
      <c r="AC72" s="963">
        <f>AC60-AC62-AC70</f>
        <v>89997.385279102484</v>
      </c>
      <c r="AE72" s="963">
        <f>AE60-AE62-AE70</f>
        <v>93186.45340391295</v>
      </c>
      <c r="AG72" s="963">
        <f>AG60-AG62-AG70</f>
        <v>96244.126056554727</v>
      </c>
    </row>
    <row r="73" spans="1:34" s="961" customFormat="1">
      <c r="A73" s="530"/>
      <c r="C73" s="971"/>
    </row>
    <row r="74" spans="1:34" s="218" customFormat="1">
      <c r="A74" s="530"/>
      <c r="C74" s="183"/>
    </row>
    <row r="75" spans="1:34" s="218" customFormat="1">
      <c r="A75" s="961" t="s">
        <v>1722</v>
      </c>
      <c r="C75" s="183"/>
    </row>
    <row r="76" spans="1:34" s="218" customFormat="1">
      <c r="C76" s="183"/>
    </row>
    <row r="77" spans="1:34" s="235" customFormat="1" ht="30" customHeight="1">
      <c r="A77" s="2698" t="s">
        <v>1721</v>
      </c>
      <c r="B77" s="2699"/>
      <c r="C77" s="2699"/>
      <c r="D77" s="2699"/>
      <c r="E77" s="2699"/>
      <c r="F77" s="2699"/>
      <c r="G77" s="2699"/>
      <c r="H77" s="2699"/>
      <c r="I77" s="2699"/>
      <c r="J77" s="2699"/>
      <c r="K77" s="2699"/>
      <c r="L77" s="2699"/>
      <c r="M77" s="2699"/>
      <c r="N77" s="2699"/>
      <c r="O77" s="2699"/>
      <c r="P77" s="2699"/>
      <c r="Q77" s="2699"/>
      <c r="R77" s="2699"/>
      <c r="S77" s="2699"/>
      <c r="T77" s="2699"/>
      <c r="U77" s="2699"/>
      <c r="V77" s="2699"/>
      <c r="W77" s="2699"/>
      <c r="X77" s="2699"/>
      <c r="Y77" s="2699"/>
      <c r="Z77" s="2699"/>
      <c r="AA77" s="2699"/>
      <c r="AB77" s="2699"/>
      <c r="AC77" s="2699"/>
      <c r="AD77" s="2699"/>
      <c r="AE77" s="2699"/>
      <c r="AF77" s="2699"/>
      <c r="AG77" s="2699"/>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5703125" customWidth="1"/>
    <col min="2" max="16384" width="8.85546875" hidden="1"/>
  </cols>
  <sheetData>
    <row r="1" spans="1:1" ht="47.25">
      <c r="A1" s="314" t="s">
        <v>971</v>
      </c>
    </row>
    <row r="2" spans="1:1" ht="15.75">
      <c r="A2" s="315"/>
    </row>
    <row r="3" spans="1:1" ht="15.75">
      <c r="A3" s="316" t="s">
        <v>966</v>
      </c>
    </row>
    <row r="4" spans="1:1" ht="15.75">
      <c r="A4" s="316" t="s">
        <v>967</v>
      </c>
    </row>
    <row r="5" spans="1:1" ht="15.75">
      <c r="A5" s="316" t="s">
        <v>968</v>
      </c>
    </row>
    <row r="6" spans="1:1" ht="15.75">
      <c r="A6" s="316" t="s">
        <v>970</v>
      </c>
    </row>
    <row r="7" spans="1:1" ht="15.75">
      <c r="A7" s="316" t="s">
        <v>969</v>
      </c>
    </row>
    <row r="8" spans="1:1" ht="15.75">
      <c r="A8" s="347" t="s">
        <v>1024</v>
      </c>
    </row>
    <row r="9" spans="1:1" ht="15.75">
      <c r="A9" s="316"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election activeCell="L7" sqref="L7"/>
    </sheetView>
  </sheetViews>
  <sheetFormatPr defaultColWidth="9.140625" defaultRowHeight="12.75" zeroHeight="1"/>
  <cols>
    <col min="1" max="1" width="35.5703125" style="205" customWidth="1"/>
    <col min="2" max="4" width="14.5703125" style="205" customWidth="1"/>
    <col min="5" max="5" width="50.5703125" style="205" customWidth="1"/>
    <col min="6" max="253" width="9.140625" style="205" customWidth="1"/>
    <col min="254" max="16384" width="9.140625" style="205"/>
  </cols>
  <sheetData>
    <row r="1" spans="1:6" s="276" customFormat="1" ht="18" customHeight="1">
      <c r="A1" s="514" t="s">
        <v>1217</v>
      </c>
      <c r="D1" s="281"/>
    </row>
    <row r="2" spans="1:6" s="276" customFormat="1">
      <c r="A2" s="260" t="s">
        <v>889</v>
      </c>
      <c r="B2" s="262"/>
      <c r="C2" s="262"/>
      <c r="D2" s="259"/>
      <c r="E2" s="263"/>
      <c r="F2" s="262"/>
    </row>
    <row r="3" spans="1:6" s="352" customFormat="1" ht="80.25" customHeight="1">
      <c r="A3" s="278"/>
      <c r="B3" s="264" t="s">
        <v>890</v>
      </c>
      <c r="C3" s="264" t="s">
        <v>891</v>
      </c>
      <c r="D3" s="264" t="s">
        <v>892</v>
      </c>
      <c r="E3" s="261" t="s">
        <v>893</v>
      </c>
      <c r="F3" s="261"/>
    </row>
    <row r="4" spans="1:6" s="353" customFormat="1">
      <c r="A4" s="265" t="s">
        <v>26</v>
      </c>
      <c r="B4" s="265"/>
      <c r="C4" s="265"/>
      <c r="D4" s="265"/>
      <c r="E4" s="283"/>
      <c r="F4" s="265"/>
    </row>
    <row r="5" spans="1:6" s="353" customFormat="1">
      <c r="A5" s="365" t="s">
        <v>27</v>
      </c>
      <c r="B5" s="267">
        <f>'Sources and Uses Budget'!$C4</f>
        <v>3010000</v>
      </c>
      <c r="C5" s="267">
        <f>'Sources and Uses Budget'!$C4</f>
        <v>3010000</v>
      </c>
      <c r="D5" s="271">
        <f>C5-B5</f>
        <v>0</v>
      </c>
      <c r="E5" s="269"/>
      <c r="F5" s="268"/>
    </row>
    <row r="6" spans="1:6" s="353" customFormat="1">
      <c r="A6" s="365" t="s">
        <v>28</v>
      </c>
      <c r="B6" s="267">
        <f>'Sources and Uses Budget'!$C5</f>
        <v>0</v>
      </c>
      <c r="C6" s="267">
        <f>'Sources and Uses Budget'!$C5</f>
        <v>0</v>
      </c>
      <c r="D6" s="271">
        <f t="shared" ref="D6:D77" si="0">C6-B6</f>
        <v>0</v>
      </c>
      <c r="E6" s="269"/>
      <c r="F6" s="268"/>
    </row>
    <row r="7" spans="1:6" s="353" customFormat="1">
      <c r="A7" s="365" t="s">
        <v>29</v>
      </c>
      <c r="B7" s="267">
        <f>'Sources and Uses Budget'!$C6</f>
        <v>0</v>
      </c>
      <c r="C7" s="267">
        <f>'Sources and Uses Budget'!$C6</f>
        <v>0</v>
      </c>
      <c r="D7" s="271">
        <f t="shared" si="0"/>
        <v>0</v>
      </c>
      <c r="E7" s="269"/>
      <c r="F7" s="268"/>
    </row>
    <row r="8" spans="1:6" s="353" customFormat="1">
      <c r="A8" s="365" t="s">
        <v>97</v>
      </c>
      <c r="B8" s="267">
        <f>'Sources and Uses Budget'!$C7</f>
        <v>0</v>
      </c>
      <c r="C8" s="267">
        <f>'Sources and Uses Budget'!$C7</f>
        <v>0</v>
      </c>
      <c r="D8" s="271">
        <f t="shared" si="0"/>
        <v>0</v>
      </c>
      <c r="E8" s="269"/>
      <c r="F8" s="268"/>
    </row>
    <row r="9" spans="1:6" s="353" customFormat="1">
      <c r="A9" s="366" t="s">
        <v>593</v>
      </c>
      <c r="B9" s="271">
        <f>SUM(B5:B8)</f>
        <v>3010000</v>
      </c>
      <c r="C9" s="271">
        <f>SUM(C5:C8)</f>
        <v>3010000</v>
      </c>
      <c r="D9" s="271">
        <f t="shared" si="0"/>
        <v>0</v>
      </c>
      <c r="E9" s="269"/>
      <c r="F9" s="268"/>
    </row>
    <row r="10" spans="1:6" s="353" customFormat="1">
      <c r="A10" s="365" t="s">
        <v>594</v>
      </c>
      <c r="B10" s="267">
        <f>'Sources and Uses Budget'!$C9</f>
        <v>15440000</v>
      </c>
      <c r="C10" s="267">
        <f>'Sources and Uses Budget'!$C9</f>
        <v>15440000</v>
      </c>
      <c r="D10" s="271">
        <f t="shared" si="0"/>
        <v>0</v>
      </c>
      <c r="E10" s="269"/>
      <c r="F10" s="268"/>
    </row>
    <row r="11" spans="1:6" s="353" customFormat="1">
      <c r="A11" s="365" t="s">
        <v>595</v>
      </c>
      <c r="B11" s="267">
        <f>'Sources and Uses Budget'!$C10</f>
        <v>0</v>
      </c>
      <c r="C11" s="267">
        <f>'Sources and Uses Budget'!$C10</f>
        <v>0</v>
      </c>
      <c r="D11" s="271">
        <f t="shared" si="0"/>
        <v>0</v>
      </c>
      <c r="E11" s="269"/>
      <c r="F11" s="268"/>
    </row>
    <row r="12" spans="1:6" s="353" customFormat="1">
      <c r="A12" s="366" t="s">
        <v>596</v>
      </c>
      <c r="B12" s="271">
        <f>SUM(B10:B11)</f>
        <v>15440000</v>
      </c>
      <c r="C12" s="271">
        <f>SUM(C10:C11)</f>
        <v>15440000</v>
      </c>
      <c r="D12" s="271">
        <f t="shared" si="0"/>
        <v>0</v>
      </c>
      <c r="E12" s="269"/>
      <c r="F12" s="268"/>
    </row>
    <row r="13" spans="1:6" s="353" customFormat="1">
      <c r="A13" s="366" t="s">
        <v>84</v>
      </c>
      <c r="B13" s="271">
        <f>SUM(B9+B12)</f>
        <v>18450000</v>
      </c>
      <c r="C13" s="271">
        <f>SUM(C9+C12)</f>
        <v>18450000</v>
      </c>
      <c r="D13" s="271">
        <f t="shared" si="0"/>
        <v>0</v>
      </c>
      <c r="E13" s="269"/>
      <c r="F13" s="268"/>
    </row>
    <row r="14" spans="1:6" s="353" customFormat="1">
      <c r="A14" s="367" t="s">
        <v>902</v>
      </c>
      <c r="B14" s="267">
        <f>'Sources and Uses Budget'!$C13</f>
        <v>0</v>
      </c>
      <c r="C14" s="267">
        <f>'Sources and Uses Budget'!$C13</f>
        <v>0</v>
      </c>
      <c r="D14" s="271">
        <f t="shared" si="0"/>
        <v>0</v>
      </c>
      <c r="E14" s="269"/>
      <c r="F14" s="268"/>
    </row>
    <row r="15" spans="1:6" s="353" customFormat="1" ht="24">
      <c r="A15" s="365" t="s">
        <v>903</v>
      </c>
      <c r="B15" s="267">
        <f>'Sources and Uses Budget'!$C14</f>
        <v>0</v>
      </c>
      <c r="C15" s="267">
        <f>'Sources and Uses Budget'!$C14</f>
        <v>0</v>
      </c>
      <c r="D15" s="271">
        <f t="shared" si="0"/>
        <v>0</v>
      </c>
      <c r="E15" s="269"/>
      <c r="F15" s="268"/>
    </row>
    <row r="16" spans="1:6" s="353" customFormat="1">
      <c r="A16" s="365" t="s">
        <v>1161</v>
      </c>
      <c r="B16" s="267">
        <f>'Sources and Uses Budget'!$C15</f>
        <v>0</v>
      </c>
      <c r="C16" s="267">
        <f>'Sources and Uses Budget'!$C15</f>
        <v>0</v>
      </c>
      <c r="D16" s="271">
        <f t="shared" si="0"/>
        <v>0</v>
      </c>
      <c r="E16" s="269"/>
      <c r="F16" s="268"/>
    </row>
    <row r="17" spans="1:6" s="353" customFormat="1">
      <c r="A17" s="265" t="s">
        <v>597</v>
      </c>
      <c r="B17" s="265"/>
      <c r="C17" s="265"/>
      <c r="D17" s="265"/>
      <c r="E17" s="283"/>
      <c r="F17" s="265"/>
    </row>
    <row r="18" spans="1:6" s="353" customFormat="1">
      <c r="A18" s="145" t="s">
        <v>598</v>
      </c>
      <c r="B18" s="267">
        <f>'Sources and Uses Budget'!$C17</f>
        <v>0</v>
      </c>
      <c r="C18" s="267">
        <f>'Sources and Uses Budget'!$C17</f>
        <v>0</v>
      </c>
      <c r="D18" s="271">
        <f t="shared" si="0"/>
        <v>0</v>
      </c>
      <c r="E18" s="269"/>
      <c r="F18" s="268"/>
    </row>
    <row r="19" spans="1:6" s="353" customFormat="1">
      <c r="A19" s="145" t="s">
        <v>599</v>
      </c>
      <c r="B19" s="267">
        <f>'Sources and Uses Budget'!$C18</f>
        <v>5000000</v>
      </c>
      <c r="C19" s="267">
        <f>'Sources and Uses Budget'!$C18</f>
        <v>5000000</v>
      </c>
      <c r="D19" s="271">
        <f t="shared" si="0"/>
        <v>0</v>
      </c>
      <c r="E19" s="269"/>
      <c r="F19" s="268"/>
    </row>
    <row r="20" spans="1:6" s="353" customFormat="1">
      <c r="A20" s="145" t="s">
        <v>600</v>
      </c>
      <c r="B20" s="267">
        <f>'Sources and Uses Budget'!$C19</f>
        <v>250000</v>
      </c>
      <c r="C20" s="267">
        <f>'Sources and Uses Budget'!$C19</f>
        <v>250000</v>
      </c>
      <c r="D20" s="271">
        <f t="shared" si="0"/>
        <v>0</v>
      </c>
      <c r="E20" s="269"/>
      <c r="F20" s="268"/>
    </row>
    <row r="21" spans="1:6" s="353" customFormat="1">
      <c r="A21" s="145" t="s">
        <v>137</v>
      </c>
      <c r="B21" s="267">
        <f>'Sources and Uses Budget'!$C20</f>
        <v>200000</v>
      </c>
      <c r="C21" s="267">
        <f>'Sources and Uses Budget'!$C20</f>
        <v>200000</v>
      </c>
      <c r="D21" s="271">
        <f t="shared" si="0"/>
        <v>0</v>
      </c>
      <c r="E21" s="269"/>
      <c r="F21" s="268"/>
    </row>
    <row r="22" spans="1:6" s="353" customFormat="1">
      <c r="A22" s="145" t="s">
        <v>138</v>
      </c>
      <c r="B22" s="267">
        <f>'Sources and Uses Budget'!$C21</f>
        <v>200000</v>
      </c>
      <c r="C22" s="267">
        <f>'Sources and Uses Budget'!$C21</f>
        <v>200000</v>
      </c>
      <c r="D22" s="271">
        <f t="shared" si="0"/>
        <v>0</v>
      </c>
      <c r="E22" s="269"/>
      <c r="F22" s="268"/>
    </row>
    <row r="23" spans="1:6" s="353" customFormat="1">
      <c r="A23" s="145" t="s">
        <v>139</v>
      </c>
      <c r="B23" s="267">
        <f>'Sources and Uses Budget'!$C22</f>
        <v>0</v>
      </c>
      <c r="C23" s="267">
        <f>'Sources and Uses Budget'!$C22</f>
        <v>0</v>
      </c>
      <c r="D23" s="271">
        <f t="shared" si="0"/>
        <v>0</v>
      </c>
      <c r="E23" s="269"/>
      <c r="F23" s="268"/>
    </row>
    <row r="24" spans="1:6" s="353" customFormat="1">
      <c r="A24" s="145" t="s">
        <v>140</v>
      </c>
      <c r="B24" s="267">
        <f>'Sources and Uses Budget'!$C23</f>
        <v>750000</v>
      </c>
      <c r="C24" s="267">
        <f>'Sources and Uses Budget'!$C23</f>
        <v>750000</v>
      </c>
      <c r="D24" s="271">
        <f t="shared" si="0"/>
        <v>0</v>
      </c>
      <c r="E24" s="269"/>
      <c r="F24" s="268"/>
    </row>
    <row r="25" spans="1:6" s="353" customFormat="1">
      <c r="A25" s="509" t="s">
        <v>1640</v>
      </c>
      <c r="B25" s="267">
        <f>'Sources and Uses Budget'!$C24</f>
        <v>0</v>
      </c>
      <c r="C25" s="267">
        <f>'Sources and Uses Budget'!$C24</f>
        <v>0</v>
      </c>
      <c r="D25" s="271">
        <f t="shared" si="0"/>
        <v>0</v>
      </c>
      <c r="E25" s="269"/>
      <c r="F25" s="268"/>
    </row>
    <row r="26" spans="1:6" s="353" customFormat="1">
      <c r="A26" s="155" t="str">
        <f>'Sources and Uses Budget'!A25</f>
        <v>Other:Solar/FFE+Green Rater</v>
      </c>
      <c r="B26" s="267">
        <f>'Sources and Uses Budget'!$C25</f>
        <v>225000</v>
      </c>
      <c r="C26" s="267">
        <f>'Sources and Uses Budget'!$C25</f>
        <v>225000</v>
      </c>
      <c r="D26" s="271">
        <f t="shared" si="0"/>
        <v>0</v>
      </c>
      <c r="E26" s="269"/>
      <c r="F26" s="268"/>
    </row>
    <row r="27" spans="1:6" s="353" customFormat="1">
      <c r="A27" s="1019" t="s">
        <v>133</v>
      </c>
      <c r="B27" s="271">
        <f>SUM(B18:B26)</f>
        <v>6625000</v>
      </c>
      <c r="C27" s="271">
        <f>SUM(C18:C26)</f>
        <v>6625000</v>
      </c>
      <c r="D27" s="271">
        <f>SUM(D18:D26)</f>
        <v>0</v>
      </c>
      <c r="E27" s="269"/>
      <c r="F27" s="268"/>
    </row>
    <row r="28" spans="1:6" s="353" customFormat="1">
      <c r="A28" s="272" t="s">
        <v>141</v>
      </c>
      <c r="B28" s="267">
        <f>'Sources and Uses Budget'!$C$27</f>
        <v>344000</v>
      </c>
      <c r="C28" s="267">
        <f>'Sources and Uses Budget'!$C$27</f>
        <v>344000</v>
      </c>
      <c r="D28" s="271">
        <f t="shared" si="0"/>
        <v>0</v>
      </c>
      <c r="E28" s="269"/>
      <c r="F28" s="268"/>
    </row>
    <row r="29" spans="1:6" s="353" customFormat="1">
      <c r="A29" s="265" t="s">
        <v>142</v>
      </c>
      <c r="B29" s="265"/>
      <c r="C29" s="265"/>
      <c r="D29" s="265"/>
      <c r="E29" s="283"/>
      <c r="F29" s="265"/>
    </row>
    <row r="30" spans="1:6" s="353" customFormat="1">
      <c r="A30" s="145" t="s">
        <v>598</v>
      </c>
      <c r="B30" s="267">
        <f>'Sources and Uses Budget'!$C29</f>
        <v>0</v>
      </c>
      <c r="C30" s="267">
        <f>'Sources and Uses Budget'!$C29</f>
        <v>0</v>
      </c>
      <c r="D30" s="271">
        <f t="shared" si="0"/>
        <v>0</v>
      </c>
      <c r="E30" s="269"/>
      <c r="F30" s="268"/>
    </row>
    <row r="31" spans="1:6" s="353" customFormat="1">
      <c r="A31" s="145" t="s">
        <v>599</v>
      </c>
      <c r="B31" s="267">
        <f>'Sources and Uses Budget'!$C30</f>
        <v>0</v>
      </c>
      <c r="C31" s="267">
        <f>'Sources and Uses Budget'!$C30</f>
        <v>0</v>
      </c>
      <c r="D31" s="271">
        <f t="shared" si="0"/>
        <v>0</v>
      </c>
      <c r="E31" s="269"/>
      <c r="F31" s="268"/>
    </row>
    <row r="32" spans="1:6" s="353" customFormat="1">
      <c r="A32" s="145" t="s">
        <v>600</v>
      </c>
      <c r="B32" s="267">
        <f>'Sources and Uses Budget'!$C31</f>
        <v>0</v>
      </c>
      <c r="C32" s="267">
        <f>'Sources and Uses Budget'!$C31</f>
        <v>0</v>
      </c>
      <c r="D32" s="271">
        <f t="shared" si="0"/>
        <v>0</v>
      </c>
      <c r="E32" s="269"/>
      <c r="F32" s="268"/>
    </row>
    <row r="33" spans="1:6" s="353" customFormat="1">
      <c r="A33" s="145" t="s">
        <v>137</v>
      </c>
      <c r="B33" s="267">
        <f>'Sources and Uses Budget'!$C32</f>
        <v>0</v>
      </c>
      <c r="C33" s="267">
        <f>'Sources and Uses Budget'!$C32</f>
        <v>0</v>
      </c>
      <c r="D33" s="271">
        <f t="shared" si="0"/>
        <v>0</v>
      </c>
      <c r="E33" s="269"/>
      <c r="F33" s="268"/>
    </row>
    <row r="34" spans="1:6" s="353" customFormat="1">
      <c r="A34" s="145" t="s">
        <v>138</v>
      </c>
      <c r="B34" s="267">
        <f>'Sources and Uses Budget'!$C33</f>
        <v>0</v>
      </c>
      <c r="C34" s="267">
        <f>'Sources and Uses Budget'!$C33</f>
        <v>0</v>
      </c>
      <c r="D34" s="271">
        <f t="shared" si="0"/>
        <v>0</v>
      </c>
      <c r="E34" s="269"/>
      <c r="F34" s="268"/>
    </row>
    <row r="35" spans="1:6" s="353" customFormat="1">
      <c r="A35" s="145" t="s">
        <v>139</v>
      </c>
      <c r="B35" s="267">
        <f>'Sources and Uses Budget'!$C34</f>
        <v>0</v>
      </c>
      <c r="C35" s="267">
        <f>'Sources and Uses Budget'!$C34</f>
        <v>0</v>
      </c>
      <c r="D35" s="271">
        <f t="shared" si="0"/>
        <v>0</v>
      </c>
      <c r="E35" s="269"/>
      <c r="F35" s="268"/>
    </row>
    <row r="36" spans="1:6" s="353" customFormat="1">
      <c r="A36" s="145" t="s">
        <v>140</v>
      </c>
      <c r="B36" s="267">
        <f>'Sources and Uses Budget'!$C35</f>
        <v>0</v>
      </c>
      <c r="C36" s="267">
        <f>'Sources and Uses Budget'!$C35</f>
        <v>0</v>
      </c>
      <c r="D36" s="271">
        <f t="shared" si="0"/>
        <v>0</v>
      </c>
      <c r="E36" s="269"/>
      <c r="F36" s="268"/>
    </row>
    <row r="37" spans="1:6" s="353" customFormat="1">
      <c r="A37" s="284" t="s">
        <v>1640</v>
      </c>
      <c r="B37" s="267">
        <f>'Sources and Uses Budget'!$C36</f>
        <v>0</v>
      </c>
      <c r="C37" s="267">
        <f>'Sources and Uses Budget'!$C36</f>
        <v>0</v>
      </c>
      <c r="D37" s="271"/>
      <c r="E37" s="269"/>
      <c r="F37" s="268"/>
    </row>
    <row r="38" spans="1:6" s="353" customFormat="1">
      <c r="A38" s="155" t="str">
        <f>'Sources and Uses Budget'!A37</f>
        <v>Other: (Specify)</v>
      </c>
      <c r="B38" s="267">
        <f>'Sources and Uses Budget'!$C37</f>
        <v>0</v>
      </c>
      <c r="C38" s="267">
        <f>'Sources and Uses Budget'!$C37</f>
        <v>0</v>
      </c>
      <c r="D38" s="271">
        <f t="shared" si="0"/>
        <v>0</v>
      </c>
      <c r="E38" s="269"/>
      <c r="F38" s="268"/>
    </row>
    <row r="39" spans="1:6" s="353" customFormat="1">
      <c r="A39" s="272" t="s">
        <v>143</v>
      </c>
      <c r="B39" s="271">
        <f>SUM(B30:B38)</f>
        <v>0</v>
      </c>
      <c r="C39" s="271">
        <f>SUM(C30:C38)</f>
        <v>0</v>
      </c>
      <c r="D39" s="271">
        <f t="shared" si="0"/>
        <v>0</v>
      </c>
      <c r="E39" s="269"/>
      <c r="F39" s="268"/>
    </row>
    <row r="40" spans="1:6" s="353" customFormat="1">
      <c r="A40" s="265" t="s">
        <v>144</v>
      </c>
      <c r="B40" s="265"/>
      <c r="C40" s="265"/>
      <c r="D40" s="265"/>
      <c r="E40" s="283"/>
      <c r="F40" s="265"/>
    </row>
    <row r="41" spans="1:6" s="353" customFormat="1">
      <c r="A41" s="270" t="s">
        <v>145</v>
      </c>
      <c r="B41" s="267">
        <f>'Sources and Uses Budget'!$C40</f>
        <v>500000</v>
      </c>
      <c r="C41" s="267">
        <f>'Sources and Uses Budget'!$C40</f>
        <v>500000</v>
      </c>
      <c r="D41" s="271">
        <f t="shared" si="0"/>
        <v>0</v>
      </c>
      <c r="E41" s="269"/>
      <c r="F41" s="268"/>
    </row>
    <row r="42" spans="1:6" s="353" customFormat="1">
      <c r="A42" s="270" t="s">
        <v>146</v>
      </c>
      <c r="B42" s="267">
        <f>'Sources and Uses Budget'!$C41</f>
        <v>0</v>
      </c>
      <c r="C42" s="267">
        <f>'Sources and Uses Budget'!$C41</f>
        <v>0</v>
      </c>
      <c r="D42" s="271">
        <f t="shared" si="0"/>
        <v>0</v>
      </c>
      <c r="E42" s="269"/>
      <c r="F42" s="268"/>
    </row>
    <row r="43" spans="1:6" s="353" customFormat="1">
      <c r="A43" s="272" t="s">
        <v>147</v>
      </c>
      <c r="B43" s="271">
        <f>SUM(B41:B42)</f>
        <v>500000</v>
      </c>
      <c r="C43" s="271">
        <f>SUM(C41:C42)</f>
        <v>500000</v>
      </c>
      <c r="D43" s="271">
        <f t="shared" si="0"/>
        <v>0</v>
      </c>
      <c r="E43" s="269"/>
      <c r="F43" s="268"/>
    </row>
    <row r="44" spans="1:6" s="353" customFormat="1">
      <c r="A44" s="272" t="s">
        <v>148</v>
      </c>
      <c r="B44" s="267">
        <f>'Sources and Uses Budget'!$C43</f>
        <v>275000</v>
      </c>
      <c r="C44" s="267">
        <f>'Sources and Uses Budget'!$C43</f>
        <v>275000</v>
      </c>
      <c r="D44" s="271">
        <f t="shared" si="0"/>
        <v>0</v>
      </c>
      <c r="E44" s="269"/>
      <c r="F44" s="268"/>
    </row>
    <row r="45" spans="1:6" s="353" customFormat="1" ht="12" customHeight="1">
      <c r="A45" s="265" t="s">
        <v>149</v>
      </c>
      <c r="B45" s="265"/>
      <c r="C45" s="265"/>
      <c r="D45" s="265"/>
      <c r="E45" s="283"/>
      <c r="F45" s="265"/>
    </row>
    <row r="46" spans="1:6" s="353" customFormat="1">
      <c r="A46" s="145" t="s">
        <v>150</v>
      </c>
      <c r="B46" s="267">
        <f>'Sources and Uses Budget'!$C45</f>
        <v>810000</v>
      </c>
      <c r="C46" s="267">
        <f>'Sources and Uses Budget'!$C45</f>
        <v>810000</v>
      </c>
      <c r="D46" s="271">
        <f t="shared" si="0"/>
        <v>0</v>
      </c>
      <c r="E46" s="269"/>
      <c r="F46" s="268"/>
    </row>
    <row r="47" spans="1:6" s="353" customFormat="1">
      <c r="A47" s="145" t="s">
        <v>151</v>
      </c>
      <c r="B47" s="267">
        <f>'Sources and Uses Budget'!$C46</f>
        <v>165000</v>
      </c>
      <c r="C47" s="267">
        <f>'Sources and Uses Budget'!$C46</f>
        <v>165000</v>
      </c>
      <c r="D47" s="271">
        <f t="shared" si="0"/>
        <v>0</v>
      </c>
      <c r="E47" s="269"/>
      <c r="F47" s="268"/>
    </row>
    <row r="48" spans="1:6" s="353" customFormat="1" ht="12" customHeight="1">
      <c r="A48" s="186" t="s">
        <v>152</v>
      </c>
      <c r="B48" s="267">
        <f>'Sources and Uses Budget'!$C47</f>
        <v>0</v>
      </c>
      <c r="C48" s="267">
        <f>'Sources and Uses Budget'!$C47</f>
        <v>0</v>
      </c>
      <c r="D48" s="271">
        <f t="shared" si="0"/>
        <v>0</v>
      </c>
      <c r="E48" s="269"/>
      <c r="F48" s="268"/>
    </row>
    <row r="49" spans="1:6" s="353" customFormat="1">
      <c r="A49" s="145" t="s">
        <v>153</v>
      </c>
      <c r="B49" s="267">
        <f>'Sources and Uses Budget'!$C48</f>
        <v>0</v>
      </c>
      <c r="C49" s="267">
        <f>'Sources and Uses Budget'!$C48</f>
        <v>0</v>
      </c>
      <c r="D49" s="271">
        <f t="shared" si="0"/>
        <v>0</v>
      </c>
      <c r="E49" s="269"/>
      <c r="F49" s="268"/>
    </row>
    <row r="50" spans="1:6" s="353" customFormat="1">
      <c r="A50" s="145" t="s">
        <v>57</v>
      </c>
      <c r="B50" s="267">
        <f>'Sources and Uses Budget'!$C49</f>
        <v>175000</v>
      </c>
      <c r="C50" s="267">
        <f>'Sources and Uses Budget'!$C49</f>
        <v>175000</v>
      </c>
      <c r="D50" s="271">
        <f t="shared" si="0"/>
        <v>0</v>
      </c>
      <c r="E50" s="269"/>
      <c r="F50" s="268"/>
    </row>
    <row r="51" spans="1:6" s="353" customFormat="1">
      <c r="A51" s="145" t="s">
        <v>156</v>
      </c>
      <c r="B51" s="267">
        <f>'Sources and Uses Budget'!$C50</f>
        <v>75000</v>
      </c>
      <c r="C51" s="267">
        <f>'Sources and Uses Budget'!$C50</f>
        <v>75000</v>
      </c>
      <c r="D51" s="271">
        <f t="shared" si="0"/>
        <v>0</v>
      </c>
      <c r="E51" s="269"/>
      <c r="F51" s="268"/>
    </row>
    <row r="52" spans="1:6" s="353" customFormat="1">
      <c r="A52" s="284" t="s">
        <v>154</v>
      </c>
      <c r="B52" s="267">
        <f>'Sources and Uses Budget'!$C51</f>
        <v>50000</v>
      </c>
      <c r="C52" s="267">
        <f>'Sources and Uses Budget'!$C51</f>
        <v>50000</v>
      </c>
      <c r="D52" s="271">
        <f t="shared" si="0"/>
        <v>0</v>
      </c>
      <c r="E52" s="269"/>
      <c r="F52" s="268"/>
    </row>
    <row r="53" spans="1:6" s="353" customFormat="1">
      <c r="A53" s="145" t="s">
        <v>155</v>
      </c>
      <c r="B53" s="267">
        <f>'Sources and Uses Budget'!$C52</f>
        <v>75000</v>
      </c>
      <c r="C53" s="267">
        <f>'Sources and Uses Budget'!$C52</f>
        <v>75000</v>
      </c>
      <c r="D53" s="271">
        <f t="shared" si="0"/>
        <v>0</v>
      </c>
      <c r="E53" s="269"/>
      <c r="F53" s="268"/>
    </row>
    <row r="54" spans="1:6" s="353" customFormat="1">
      <c r="A54" s="155" t="str">
        <f>'Sources and Uses Budget'!A53</f>
        <v>Construction Service Fees (Bank)</v>
      </c>
      <c r="B54" s="267">
        <f>'Sources and Uses Budget'!$C53</f>
        <v>50000</v>
      </c>
      <c r="C54" s="267">
        <f>'Sources and Uses Budget'!$C53</f>
        <v>50000</v>
      </c>
      <c r="D54" s="271">
        <f t="shared" si="0"/>
        <v>0</v>
      </c>
      <c r="E54" s="269"/>
      <c r="F54" s="268"/>
    </row>
    <row r="55" spans="1:6" s="354" customFormat="1">
      <c r="A55" s="272" t="s">
        <v>157</v>
      </c>
      <c r="B55" s="274">
        <f>SUM(B46:B54)</f>
        <v>1400000</v>
      </c>
      <c r="C55" s="274">
        <f>SUM(C46:C54)</f>
        <v>1400000</v>
      </c>
      <c r="D55" s="271">
        <f t="shared" si="0"/>
        <v>0</v>
      </c>
      <c r="E55" s="269"/>
      <c r="F55" s="268"/>
    </row>
    <row r="56" spans="1:6" s="353" customFormat="1">
      <c r="A56" s="265" t="s">
        <v>418</v>
      </c>
      <c r="B56" s="265"/>
      <c r="C56" s="265"/>
      <c r="D56" s="265"/>
      <c r="E56" s="283"/>
      <c r="F56" s="265"/>
    </row>
    <row r="57" spans="1:6" s="353" customFormat="1">
      <c r="A57" s="270" t="s">
        <v>158</v>
      </c>
      <c r="B57" s="267">
        <f>'Sources and Uses Budget'!$C56</f>
        <v>76511</v>
      </c>
      <c r="C57" s="267">
        <f>'Sources and Uses Budget'!$C56</f>
        <v>76511</v>
      </c>
      <c r="D57" s="271">
        <f t="shared" si="0"/>
        <v>0</v>
      </c>
      <c r="E57" s="269"/>
      <c r="F57" s="268"/>
    </row>
    <row r="58" spans="1:6" s="353" customFormat="1" ht="12" customHeight="1">
      <c r="A58" s="270" t="s">
        <v>152</v>
      </c>
      <c r="B58" s="267">
        <f>'Sources and Uses Budget'!$C57</f>
        <v>0</v>
      </c>
      <c r="C58" s="267">
        <f>'Sources and Uses Budget'!$C57</f>
        <v>0</v>
      </c>
      <c r="D58" s="271">
        <f t="shared" si="0"/>
        <v>0</v>
      </c>
      <c r="E58" s="269"/>
      <c r="F58" s="268"/>
    </row>
    <row r="59" spans="1:6" s="353" customFormat="1">
      <c r="A59" s="270" t="s">
        <v>156</v>
      </c>
      <c r="B59" s="267">
        <f>'Sources and Uses Budget'!$C58</f>
        <v>0</v>
      </c>
      <c r="C59" s="267">
        <f>'Sources and Uses Budget'!$C58</f>
        <v>0</v>
      </c>
      <c r="D59" s="271">
        <f t="shared" si="0"/>
        <v>0</v>
      </c>
      <c r="E59" s="269"/>
      <c r="F59" s="268"/>
    </row>
    <row r="60" spans="1:6" s="353" customFormat="1">
      <c r="A60" s="270" t="s">
        <v>154</v>
      </c>
      <c r="B60" s="267">
        <f>'Sources and Uses Budget'!$C59</f>
        <v>0</v>
      </c>
      <c r="C60" s="267">
        <f>'Sources and Uses Budget'!$C59</f>
        <v>0</v>
      </c>
      <c r="D60" s="271">
        <f t="shared" si="0"/>
        <v>0</v>
      </c>
      <c r="E60" s="269"/>
      <c r="F60" s="268"/>
    </row>
    <row r="61" spans="1:6" s="353" customFormat="1">
      <c r="A61" s="270" t="s">
        <v>155</v>
      </c>
      <c r="B61" s="267">
        <f>'Sources and Uses Budget'!$C60</f>
        <v>0</v>
      </c>
      <c r="C61" s="267">
        <f>'Sources and Uses Budget'!$C60</f>
        <v>0</v>
      </c>
      <c r="D61" s="271">
        <f t="shared" si="0"/>
        <v>0</v>
      </c>
      <c r="E61" s="269"/>
      <c r="F61" s="268"/>
    </row>
    <row r="62" spans="1:6" s="353" customFormat="1">
      <c r="A62" s="1020" t="str">
        <f>'Sources and Uses Budget'!A61</f>
        <v>Interest Prior to Conversion</v>
      </c>
      <c r="B62" s="267">
        <f>'Sources and Uses Budget'!$C61</f>
        <v>490000</v>
      </c>
      <c r="C62" s="267">
        <f>'Sources and Uses Budget'!$C61</f>
        <v>490000</v>
      </c>
      <c r="D62" s="271">
        <f t="shared" si="0"/>
        <v>0</v>
      </c>
      <c r="E62" s="269"/>
      <c r="F62" s="268"/>
    </row>
    <row r="63" spans="1:6" s="353" customFormat="1" ht="13.7" customHeight="1">
      <c r="A63" s="272" t="s">
        <v>301</v>
      </c>
      <c r="B63" s="271">
        <f>SUM(B57:B62)</f>
        <v>566511</v>
      </c>
      <c r="C63" s="271">
        <f>SUM(C57:C62)</f>
        <v>566511</v>
      </c>
      <c r="D63" s="271">
        <f t="shared" si="0"/>
        <v>0</v>
      </c>
      <c r="E63" s="269"/>
      <c r="F63" s="268"/>
    </row>
    <row r="64" spans="1:6" s="353" customFormat="1">
      <c r="A64" s="275" t="s">
        <v>302</v>
      </c>
      <c r="B64" s="271">
        <f>SUM(B9+B12+B14+B15+B17+B26+B28+B39+B43+B44+B55+B63)</f>
        <v>21760511</v>
      </c>
      <c r="C64" s="271">
        <f>SUM(C9+C12+C14+C15+C17+C26+C28+C39+C43+C44+C55+C63)</f>
        <v>21760511</v>
      </c>
      <c r="D64" s="271">
        <f t="shared" si="0"/>
        <v>0</v>
      </c>
      <c r="E64" s="269"/>
      <c r="F64" s="268"/>
    </row>
    <row r="65" spans="1:6" s="353" customFormat="1" ht="24">
      <c r="A65" s="141" t="s">
        <v>1644</v>
      </c>
      <c r="B65" s="265"/>
      <c r="C65" s="265"/>
      <c r="D65" s="265"/>
      <c r="E65" s="283"/>
      <c r="F65" s="265"/>
    </row>
    <row r="66" spans="1:6" s="353" customFormat="1">
      <c r="A66" s="145" t="s">
        <v>171</v>
      </c>
      <c r="B66" s="267">
        <f>'Sources and Uses Budget'!$C65</f>
        <v>150000</v>
      </c>
      <c r="C66" s="267">
        <f>'Sources and Uses Budget'!$C65</f>
        <v>150000</v>
      </c>
      <c r="D66" s="271">
        <f t="shared" si="0"/>
        <v>0</v>
      </c>
      <c r="E66" s="269"/>
      <c r="F66" s="268"/>
    </row>
    <row r="67" spans="1:6" s="353" customFormat="1" ht="24">
      <c r="A67" s="284" t="s">
        <v>1641</v>
      </c>
      <c r="B67" s="267">
        <f>'Sources and Uses Budget'!$C66</f>
        <v>0</v>
      </c>
      <c r="C67" s="267">
        <f>'Sources and Uses Budget'!$C66</f>
        <v>0</v>
      </c>
      <c r="D67" s="271"/>
      <c r="E67" s="269"/>
      <c r="F67" s="268"/>
    </row>
    <row r="68" spans="1:6" s="353" customFormat="1" ht="24">
      <c r="A68" s="284" t="s">
        <v>1642</v>
      </c>
      <c r="B68" s="267">
        <f>'Sources and Uses Budget'!$C67</f>
        <v>0</v>
      </c>
      <c r="C68" s="267">
        <f>'Sources and Uses Budget'!$C67</f>
        <v>0</v>
      </c>
      <c r="D68" s="271"/>
      <c r="E68" s="269"/>
      <c r="F68" s="268"/>
    </row>
    <row r="69" spans="1:6" s="353" customFormat="1">
      <c r="A69" s="284" t="s">
        <v>1648</v>
      </c>
      <c r="B69" s="267">
        <f>'Sources and Uses Budget'!$C68</f>
        <v>0</v>
      </c>
      <c r="C69" s="267">
        <f>'Sources and Uses Budget'!$C68</f>
        <v>0</v>
      </c>
      <c r="D69" s="271"/>
      <c r="E69" s="269"/>
      <c r="F69" s="268"/>
    </row>
    <row r="70" spans="1:6" s="353" customFormat="1">
      <c r="A70" s="155" t="str">
        <f>'Sources and Uses Budget'!A69</f>
        <v>Partnership &amp; Transaction Fees</v>
      </c>
      <c r="B70" s="267">
        <f>'Sources and Uses Budget'!$C69</f>
        <v>100000</v>
      </c>
      <c r="C70" s="267">
        <f>'Sources and Uses Budget'!$C69</f>
        <v>100000</v>
      </c>
      <c r="D70" s="271">
        <f t="shared" si="0"/>
        <v>0</v>
      </c>
      <c r="E70" s="269"/>
      <c r="F70" s="268"/>
    </row>
    <row r="71" spans="1:6" s="353" customFormat="1">
      <c r="A71" s="149" t="s">
        <v>1645</v>
      </c>
      <c r="B71" s="271">
        <f>SUM(B66:B70)</f>
        <v>250000</v>
      </c>
      <c r="C71" s="271">
        <f>SUM(C66:C70)</f>
        <v>250000</v>
      </c>
      <c r="D71" s="271">
        <f t="shared" si="0"/>
        <v>0</v>
      </c>
      <c r="E71" s="269"/>
      <c r="F71" s="268"/>
    </row>
    <row r="72" spans="1:6" s="353" customFormat="1">
      <c r="A72" s="265" t="s">
        <v>602</v>
      </c>
      <c r="B72" s="265"/>
      <c r="C72" s="265"/>
      <c r="D72" s="265"/>
      <c r="E72" s="283"/>
      <c r="F72" s="265"/>
    </row>
    <row r="73" spans="1:6" s="353" customFormat="1">
      <c r="A73" s="270" t="s">
        <v>603</v>
      </c>
      <c r="B73" s="267">
        <f>'Sources and Uses Budget'!$C72</f>
        <v>0</v>
      </c>
      <c r="C73" s="267">
        <f>'Sources and Uses Budget'!$C72</f>
        <v>0</v>
      </c>
      <c r="D73" s="271">
        <f t="shared" si="0"/>
        <v>0</v>
      </c>
      <c r="E73" s="269"/>
      <c r="F73" s="268"/>
    </row>
    <row r="74" spans="1:6" s="353" customFormat="1">
      <c r="A74" s="270" t="s">
        <v>604</v>
      </c>
      <c r="B74" s="267">
        <f>'Sources and Uses Budget'!$C73</f>
        <v>0</v>
      </c>
      <c r="C74" s="267">
        <f>'Sources and Uses Budget'!$C73</f>
        <v>0</v>
      </c>
      <c r="D74" s="271">
        <f t="shared" si="0"/>
        <v>0</v>
      </c>
      <c r="E74" s="269"/>
      <c r="F74" s="268"/>
    </row>
    <row r="75" spans="1:6" s="353" customFormat="1">
      <c r="A75" s="288" t="s">
        <v>986</v>
      </c>
      <c r="B75" s="267">
        <f>'Sources and Uses Budget'!$C74</f>
        <v>0</v>
      </c>
      <c r="C75" s="267">
        <f>'Sources and Uses Budget'!$C74</f>
        <v>0</v>
      </c>
      <c r="D75" s="271">
        <f t="shared" si="0"/>
        <v>0</v>
      </c>
      <c r="E75" s="269"/>
      <c r="F75" s="268"/>
    </row>
    <row r="76" spans="1:6" s="353" customFormat="1">
      <c r="A76" s="270" t="s">
        <v>605</v>
      </c>
      <c r="B76" s="267">
        <f>'Sources and Uses Budget'!$C75</f>
        <v>334782</v>
      </c>
      <c r="C76" s="267">
        <f>'Sources and Uses Budget'!$C75</f>
        <v>334782</v>
      </c>
      <c r="D76" s="271">
        <f t="shared" si="0"/>
        <v>0</v>
      </c>
      <c r="E76" s="269"/>
      <c r="F76" s="268"/>
    </row>
    <row r="77" spans="1:6" s="353" customFormat="1">
      <c r="A77" s="273" t="s">
        <v>34</v>
      </c>
      <c r="B77" s="267">
        <f>'Sources and Uses Budget'!$C76</f>
        <v>0</v>
      </c>
      <c r="C77" s="267">
        <f>'Sources and Uses Budget'!$C76</f>
        <v>0</v>
      </c>
      <c r="D77" s="271">
        <f t="shared" si="0"/>
        <v>0</v>
      </c>
      <c r="E77" s="269"/>
      <c r="F77" s="268"/>
    </row>
    <row r="78" spans="1:6" s="353" customFormat="1">
      <c r="A78" s="272" t="s">
        <v>606</v>
      </c>
      <c r="B78" s="271">
        <f>SUM(B73:B77)</f>
        <v>334782</v>
      </c>
      <c r="C78" s="271">
        <f>SUM(C73:C77)</f>
        <v>334782</v>
      </c>
      <c r="D78" s="271">
        <f t="shared" ref="D78:D106" si="1">C78-B78</f>
        <v>0</v>
      </c>
      <c r="E78" s="269"/>
      <c r="F78" s="268"/>
    </row>
    <row r="79" spans="1:6" s="353" customFormat="1">
      <c r="A79" s="265" t="s">
        <v>1210</v>
      </c>
      <c r="B79" s="265"/>
      <c r="C79" s="265"/>
      <c r="D79" s="265"/>
      <c r="E79" s="283"/>
      <c r="F79" s="265"/>
    </row>
    <row r="80" spans="1:6" s="353" customFormat="1">
      <c r="A80" s="511" t="s">
        <v>1212</v>
      </c>
      <c r="B80" s="267">
        <f>'Sources and Uses Budget'!$C79</f>
        <v>1186000</v>
      </c>
      <c r="C80" s="267">
        <f>'Sources and Uses Budget'!$C79</f>
        <v>1186000</v>
      </c>
      <c r="D80" s="271">
        <f t="shared" si="1"/>
        <v>0</v>
      </c>
      <c r="E80" s="269"/>
      <c r="F80" s="268"/>
    </row>
    <row r="81" spans="1:6" s="353" customFormat="1">
      <c r="A81" s="511" t="s">
        <v>58</v>
      </c>
      <c r="B81" s="267">
        <f>'Sources and Uses Budget'!$C80</f>
        <v>449580</v>
      </c>
      <c r="C81" s="267">
        <f>'Sources and Uses Budget'!$C80</f>
        <v>449580</v>
      </c>
      <c r="D81" s="271">
        <f>C81-B81</f>
        <v>0</v>
      </c>
      <c r="E81" s="269"/>
      <c r="F81" s="268"/>
    </row>
    <row r="82" spans="1:6" s="353" customFormat="1">
      <c r="A82" s="272" t="s">
        <v>1209</v>
      </c>
      <c r="B82" s="271">
        <f>SUM(B80:B81)</f>
        <v>1635580</v>
      </c>
      <c r="C82" s="271">
        <f>SUM(C80:C81)</f>
        <v>1635580</v>
      </c>
      <c r="D82" s="271">
        <f t="shared" si="1"/>
        <v>0</v>
      </c>
      <c r="E82" s="269"/>
      <c r="F82" s="268"/>
    </row>
    <row r="83" spans="1:6" s="353" customFormat="1">
      <c r="A83" s="265" t="s">
        <v>765</v>
      </c>
      <c r="B83" s="265"/>
      <c r="C83" s="265"/>
      <c r="D83" s="265"/>
      <c r="E83" s="283"/>
      <c r="F83" s="265"/>
    </row>
    <row r="84" spans="1:6" s="353" customFormat="1" ht="13.7" customHeight="1">
      <c r="A84" s="270" t="s">
        <v>766</v>
      </c>
      <c r="B84" s="267">
        <f>'Sources and Uses Budget'!$C83</f>
        <v>74996</v>
      </c>
      <c r="C84" s="267">
        <f>'Sources and Uses Budget'!$C83</f>
        <v>74996</v>
      </c>
      <c r="D84" s="271">
        <f t="shared" si="1"/>
        <v>0</v>
      </c>
      <c r="E84" s="269"/>
      <c r="F84" s="268"/>
    </row>
    <row r="85" spans="1:6" s="353" customFormat="1">
      <c r="A85" s="270" t="s">
        <v>767</v>
      </c>
      <c r="B85" s="267">
        <f>'Sources and Uses Budget'!$C84</f>
        <v>40000</v>
      </c>
      <c r="C85" s="267">
        <f>'Sources and Uses Budget'!$C84</f>
        <v>40000</v>
      </c>
      <c r="D85" s="271">
        <f t="shared" si="1"/>
        <v>0</v>
      </c>
      <c r="E85" s="269"/>
      <c r="F85" s="268"/>
    </row>
    <row r="86" spans="1:6" s="353" customFormat="1">
      <c r="A86" s="270" t="s">
        <v>768</v>
      </c>
      <c r="B86" s="267">
        <f>'Sources and Uses Budget'!$C85</f>
        <v>0</v>
      </c>
      <c r="C86" s="267">
        <f>'Sources and Uses Budget'!$C85</f>
        <v>0</v>
      </c>
      <c r="D86" s="271">
        <f t="shared" si="1"/>
        <v>0</v>
      </c>
      <c r="E86" s="269"/>
      <c r="F86" s="268"/>
    </row>
    <row r="87" spans="1:6" s="353" customFormat="1">
      <c r="A87" s="270" t="s">
        <v>769</v>
      </c>
      <c r="B87" s="267">
        <f>'Sources and Uses Budget'!$C86</f>
        <v>150000</v>
      </c>
      <c r="C87" s="267">
        <f>'Sources and Uses Budget'!$C86</f>
        <v>150000</v>
      </c>
      <c r="D87" s="271">
        <f t="shared" si="1"/>
        <v>0</v>
      </c>
      <c r="E87" s="269"/>
      <c r="F87" s="268"/>
    </row>
    <row r="88" spans="1:6" s="353" customFormat="1">
      <c r="A88" s="270" t="s">
        <v>770</v>
      </c>
      <c r="B88" s="267">
        <f>'Sources and Uses Budget'!$C87</f>
        <v>0</v>
      </c>
      <c r="C88" s="267">
        <f>'Sources and Uses Budget'!$C87</f>
        <v>0</v>
      </c>
      <c r="D88" s="271">
        <f t="shared" si="1"/>
        <v>0</v>
      </c>
      <c r="E88" s="269"/>
      <c r="F88" s="268"/>
    </row>
    <row r="89" spans="1:6" s="353" customFormat="1">
      <c r="A89" s="270" t="s">
        <v>771</v>
      </c>
      <c r="B89" s="267">
        <f>'Sources and Uses Budget'!$C88</f>
        <v>20000</v>
      </c>
      <c r="C89" s="267">
        <f>'Sources and Uses Budget'!$C88</f>
        <v>20000</v>
      </c>
      <c r="D89" s="271">
        <f t="shared" si="1"/>
        <v>0</v>
      </c>
      <c r="E89" s="269"/>
      <c r="F89" s="268"/>
    </row>
    <row r="90" spans="1:6" s="353" customFormat="1">
      <c r="A90" s="270" t="s">
        <v>772</v>
      </c>
      <c r="B90" s="267">
        <f>'Sources and Uses Budget'!$C89</f>
        <v>415000</v>
      </c>
      <c r="C90" s="267">
        <f>'Sources and Uses Budget'!$C89</f>
        <v>415000</v>
      </c>
      <c r="D90" s="271">
        <f t="shared" si="1"/>
        <v>0</v>
      </c>
      <c r="E90" s="269"/>
      <c r="F90" s="268"/>
    </row>
    <row r="91" spans="1:6" s="353" customFormat="1">
      <c r="A91" s="270" t="s">
        <v>773</v>
      </c>
      <c r="B91" s="267">
        <f>'Sources and Uses Budget'!$C90</f>
        <v>15000</v>
      </c>
      <c r="C91" s="267">
        <f>'Sources and Uses Budget'!$C90</f>
        <v>15000</v>
      </c>
      <c r="D91" s="271">
        <f t="shared" si="1"/>
        <v>0</v>
      </c>
      <c r="E91" s="269"/>
      <c r="F91" s="268"/>
    </row>
    <row r="92" spans="1:6" s="353" customFormat="1">
      <c r="A92" s="270" t="s">
        <v>372</v>
      </c>
      <c r="B92" s="267">
        <f>'Sources and Uses Budget'!$C91</f>
        <v>25000</v>
      </c>
      <c r="C92" s="267">
        <f>'Sources and Uses Budget'!$C91</f>
        <v>25000</v>
      </c>
      <c r="D92" s="271">
        <f t="shared" si="1"/>
        <v>0</v>
      </c>
      <c r="E92" s="269"/>
      <c r="F92" s="268"/>
    </row>
    <row r="93" spans="1:6" s="353" customFormat="1">
      <c r="A93" s="511" t="s">
        <v>1211</v>
      </c>
      <c r="B93" s="267">
        <f>'Sources and Uses Budget'!$C92</f>
        <v>15000</v>
      </c>
      <c r="C93" s="267">
        <f>'Sources and Uses Budget'!$C92</f>
        <v>15000</v>
      </c>
      <c r="D93" s="271">
        <f t="shared" si="1"/>
        <v>0</v>
      </c>
      <c r="E93" s="269"/>
      <c r="F93" s="268"/>
    </row>
    <row r="94" spans="1:6" s="353" customFormat="1">
      <c r="A94" s="273" t="s">
        <v>34</v>
      </c>
      <c r="B94" s="267">
        <f>'Sources and Uses Budget'!$C93</f>
        <v>0</v>
      </c>
      <c r="C94" s="267">
        <f>'Sources and Uses Budget'!$C93</f>
        <v>0</v>
      </c>
      <c r="D94" s="271">
        <f t="shared" si="1"/>
        <v>0</v>
      </c>
      <c r="E94" s="269"/>
      <c r="F94" s="268"/>
    </row>
    <row r="95" spans="1:6" s="353" customFormat="1">
      <c r="A95" s="273" t="s">
        <v>34</v>
      </c>
      <c r="B95" s="267">
        <f>'Sources and Uses Budget'!$C94</f>
        <v>0</v>
      </c>
      <c r="C95" s="267">
        <f>'Sources and Uses Budget'!$C94</f>
        <v>0</v>
      </c>
      <c r="D95" s="271">
        <f t="shared" si="1"/>
        <v>0</v>
      </c>
      <c r="E95" s="269"/>
      <c r="F95" s="268"/>
    </row>
    <row r="96" spans="1:6" s="353" customFormat="1">
      <c r="A96" s="273" t="s">
        <v>34</v>
      </c>
      <c r="B96" s="267">
        <f>'Sources and Uses Budget'!$C95</f>
        <v>0</v>
      </c>
      <c r="C96" s="267">
        <f>'Sources and Uses Budget'!$C95</f>
        <v>0</v>
      </c>
      <c r="D96" s="271">
        <f t="shared" si="1"/>
        <v>0</v>
      </c>
      <c r="E96" s="269"/>
      <c r="F96" s="268"/>
    </row>
    <row r="97" spans="1:6" s="353" customFormat="1">
      <c r="A97" s="272" t="s">
        <v>774</v>
      </c>
      <c r="B97" s="271">
        <f>SUM(B84:B96)</f>
        <v>754996</v>
      </c>
      <c r="C97" s="271">
        <f>SUM(C84:C96)</f>
        <v>754996</v>
      </c>
      <c r="D97" s="271">
        <f t="shared" si="1"/>
        <v>0</v>
      </c>
      <c r="E97" s="269"/>
      <c r="F97" s="268"/>
    </row>
    <row r="98" spans="1:6" s="353" customFormat="1">
      <c r="A98" s="272" t="s">
        <v>775</v>
      </c>
      <c r="B98" s="271">
        <f>SUM(B64+B71+B78+B82+B97)</f>
        <v>24735869</v>
      </c>
      <c r="C98" s="271">
        <f>SUM(C64+C71+C78+C82+C97)</f>
        <v>24735869</v>
      </c>
      <c r="D98" s="271">
        <f t="shared" si="1"/>
        <v>0</v>
      </c>
      <c r="E98" s="269"/>
      <c r="F98" s="268"/>
    </row>
    <row r="99" spans="1:6" s="353" customFormat="1">
      <c r="A99" s="265" t="s">
        <v>776</v>
      </c>
      <c r="B99" s="265"/>
      <c r="C99" s="265"/>
      <c r="D99" s="265"/>
      <c r="E99" s="283"/>
      <c r="F99" s="265"/>
    </row>
    <row r="100" spans="1:6" s="353" customFormat="1">
      <c r="A100" s="145" t="s">
        <v>777</v>
      </c>
      <c r="B100" s="267">
        <f>'Sources and Uses Budget'!$C99</f>
        <v>2381017</v>
      </c>
      <c r="C100" s="267">
        <f>'Sources and Uses Budget'!$C99</f>
        <v>2381017</v>
      </c>
      <c r="D100" s="271">
        <f t="shared" si="1"/>
        <v>0</v>
      </c>
      <c r="E100" s="269"/>
      <c r="F100" s="268"/>
    </row>
    <row r="101" spans="1:6" s="353" customFormat="1">
      <c r="A101" s="284" t="s">
        <v>1646</v>
      </c>
      <c r="B101" s="267">
        <f>'Sources and Uses Budget'!$C100</f>
        <v>0</v>
      </c>
      <c r="C101" s="267">
        <f>'Sources and Uses Budget'!$C100</f>
        <v>0</v>
      </c>
      <c r="D101" s="271">
        <f t="shared" si="1"/>
        <v>0</v>
      </c>
      <c r="E101" s="269"/>
      <c r="F101" s="268"/>
    </row>
    <row r="102" spans="1:6" s="353" customFormat="1">
      <c r="A102" s="145" t="s">
        <v>778</v>
      </c>
      <c r="B102" s="267">
        <f>'Sources and Uses Budget'!$C101</f>
        <v>0</v>
      </c>
      <c r="C102" s="267">
        <f>'Sources and Uses Budget'!$C101</f>
        <v>0</v>
      </c>
      <c r="D102" s="271">
        <f t="shared" si="1"/>
        <v>0</v>
      </c>
      <c r="E102" s="269"/>
      <c r="F102" s="268"/>
    </row>
    <row r="103" spans="1:6" s="353" customFormat="1" ht="12" customHeight="1">
      <c r="A103" s="284" t="s">
        <v>1647</v>
      </c>
      <c r="B103" s="267">
        <f>'Sources and Uses Budget'!$C102</f>
        <v>0</v>
      </c>
      <c r="C103" s="267">
        <f>'Sources and Uses Budget'!$C102</f>
        <v>0</v>
      </c>
      <c r="D103" s="271">
        <f t="shared" si="1"/>
        <v>0</v>
      </c>
      <c r="E103" s="269"/>
      <c r="F103" s="268"/>
    </row>
    <row r="104" spans="1:6" s="353" customFormat="1">
      <c r="A104" s="1020" t="str">
        <f>'Sources and Uses Budget'!A103</f>
        <v>Other: (Specify)</v>
      </c>
      <c r="B104" s="267">
        <f>'Sources and Uses Budget'!$C103</f>
        <v>0</v>
      </c>
      <c r="C104" s="267">
        <f>'Sources and Uses Budget'!$C103</f>
        <v>0</v>
      </c>
      <c r="D104" s="271">
        <f t="shared" si="1"/>
        <v>0</v>
      </c>
      <c r="E104" s="269"/>
      <c r="F104" s="268"/>
    </row>
    <row r="105" spans="1:6" s="353" customFormat="1">
      <c r="A105" s="272" t="s">
        <v>779</v>
      </c>
      <c r="B105" s="271">
        <f>SUM(B100:B104)</f>
        <v>2381017</v>
      </c>
      <c r="C105" s="271">
        <f>SUM(C100:C104)</f>
        <v>2381017</v>
      </c>
      <c r="D105" s="271">
        <f t="shared" si="1"/>
        <v>0</v>
      </c>
      <c r="E105" s="269"/>
      <c r="F105" s="268"/>
    </row>
    <row r="106" spans="1:6" s="353" customFormat="1">
      <c r="A106" s="272" t="s">
        <v>780</v>
      </c>
      <c r="B106" s="274">
        <f>SUM(B98+B105)</f>
        <v>27116886</v>
      </c>
      <c r="C106" s="274">
        <f>SUM(C98+C105)</f>
        <v>27116886</v>
      </c>
      <c r="D106" s="271">
        <f t="shared" si="1"/>
        <v>0</v>
      </c>
      <c r="E106" s="269"/>
      <c r="F106" s="268"/>
    </row>
    <row r="107" spans="1:6" s="353" customFormat="1">
      <c r="A107" s="278" t="s">
        <v>781</v>
      </c>
      <c r="B107" s="279"/>
      <c r="C107" s="280"/>
      <c r="D107" s="282"/>
      <c r="E107" s="266"/>
      <c r="F107" s="277"/>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19" workbookViewId="0">
      <selection sqref="A1:J1"/>
    </sheetView>
  </sheetViews>
  <sheetFormatPr defaultColWidth="0" defaultRowHeight="12.6" customHeight="1" zeroHeight="1"/>
  <cols>
    <col min="1" max="10" width="10.5703125" style="403" customWidth="1"/>
    <col min="11" max="16384" width="8.85546875" style="403" hidden="1"/>
  </cols>
  <sheetData>
    <row r="1" spans="1:10" ht="15.75">
      <c r="A1" s="1276" t="s">
        <v>1869</v>
      </c>
      <c r="B1" s="1277"/>
      <c r="C1" s="1277"/>
      <c r="D1" s="1277"/>
      <c r="E1" s="1277"/>
      <c r="F1" s="1277"/>
      <c r="G1" s="1277"/>
      <c r="H1" s="1277"/>
      <c r="I1" s="1277"/>
      <c r="J1" s="1277"/>
    </row>
    <row r="2" spans="1:10" ht="15">
      <c r="A2" s="1280" t="s">
        <v>1268</v>
      </c>
      <c r="B2" s="1281"/>
      <c r="C2" s="1281"/>
      <c r="D2" s="1281"/>
      <c r="E2" s="1281"/>
      <c r="F2" s="1281"/>
      <c r="G2" s="1281"/>
      <c r="H2" s="1281"/>
      <c r="I2" s="1281"/>
      <c r="J2" s="1281"/>
    </row>
    <row r="3" spans="1:10" ht="12.75"/>
    <row r="4" spans="1:10" ht="12.75" customHeight="1">
      <c r="A4" s="1278" t="s">
        <v>2048</v>
      </c>
      <c r="B4" s="1278"/>
      <c r="C4" s="1278"/>
      <c r="D4" s="1278"/>
      <c r="E4" s="1278"/>
      <c r="F4" s="1278"/>
      <c r="G4" s="1278"/>
      <c r="H4" s="1278"/>
      <c r="I4" s="1278"/>
      <c r="J4" s="1278"/>
    </row>
    <row r="5" spans="1:10" ht="12.75">
      <c r="A5" s="1278"/>
      <c r="B5" s="1278"/>
      <c r="C5" s="1278"/>
      <c r="D5" s="1278"/>
      <c r="E5" s="1278"/>
      <c r="F5" s="1278"/>
      <c r="G5" s="1278"/>
      <c r="H5" s="1278"/>
      <c r="I5" s="1278"/>
      <c r="J5" s="1278"/>
    </row>
    <row r="6" spans="1:10" ht="30" customHeight="1">
      <c r="A6" s="1278"/>
      <c r="B6" s="1278"/>
      <c r="C6" s="1278"/>
      <c r="D6" s="1278"/>
      <c r="E6" s="1278"/>
      <c r="F6" s="1278"/>
      <c r="G6" s="1278"/>
      <c r="H6" s="1278"/>
      <c r="I6" s="1278"/>
      <c r="J6" s="1278"/>
    </row>
    <row r="7" spans="1:10" ht="12.75">
      <c r="A7" s="417"/>
      <c r="B7" s="417"/>
      <c r="C7" s="417"/>
      <c r="D7" s="417"/>
      <c r="E7" s="417"/>
      <c r="F7" s="417"/>
      <c r="G7" s="417"/>
      <c r="H7" s="417"/>
      <c r="I7" s="417"/>
      <c r="J7" s="417"/>
    </row>
    <row r="8" spans="1:10" ht="12.75" customHeight="1">
      <c r="A8" s="403" t="s">
        <v>1872</v>
      </c>
      <c r="B8" s="417"/>
      <c r="C8" s="417"/>
      <c r="D8" s="417"/>
      <c r="E8" s="417"/>
      <c r="F8" s="417"/>
      <c r="G8" s="417"/>
      <c r="H8" s="417"/>
      <c r="I8" s="417"/>
      <c r="J8" s="417"/>
    </row>
    <row r="9" spans="1:10" ht="12.75"/>
    <row r="10" spans="1:10" ht="12.75" customHeight="1">
      <c r="A10" s="1282" t="s">
        <v>1874</v>
      </c>
      <c r="B10" s="1282"/>
      <c r="C10" s="1282"/>
      <c r="D10" s="1282"/>
      <c r="E10" s="1282"/>
      <c r="F10" s="1282"/>
      <c r="G10" s="1282"/>
      <c r="H10" s="1282"/>
      <c r="I10" s="1282"/>
      <c r="J10" s="1282"/>
    </row>
    <row r="11" spans="1:10" ht="12.75">
      <c r="A11" s="1282"/>
      <c r="B11" s="1282"/>
      <c r="C11" s="1282"/>
      <c r="D11" s="1282"/>
      <c r="E11" s="1282"/>
      <c r="F11" s="1282"/>
      <c r="G11" s="1282"/>
      <c r="H11" s="1282"/>
      <c r="I11" s="1282"/>
      <c r="J11" s="1282"/>
    </row>
    <row r="12" spans="1:10" ht="12.75">
      <c r="A12" s="1282"/>
      <c r="B12" s="1282"/>
      <c r="C12" s="1282"/>
      <c r="D12" s="1282"/>
      <c r="E12" s="1282"/>
      <c r="F12" s="1282"/>
      <c r="G12" s="1282"/>
      <c r="H12" s="1282"/>
      <c r="I12" s="1282"/>
      <c r="J12" s="1282"/>
    </row>
    <row r="13" spans="1:10" ht="12.75">
      <c r="A13" s="1282"/>
      <c r="B13" s="1282"/>
      <c r="C13" s="1282"/>
      <c r="D13" s="1282"/>
      <c r="E13" s="1282"/>
      <c r="F13" s="1282"/>
      <c r="G13" s="1282"/>
      <c r="H13" s="1282"/>
      <c r="I13" s="1282"/>
      <c r="J13" s="1282"/>
    </row>
    <row r="14" spans="1:10" ht="12.75">
      <c r="A14" s="1282"/>
      <c r="B14" s="1282"/>
      <c r="C14" s="1282"/>
      <c r="D14" s="1282"/>
      <c r="E14" s="1282"/>
      <c r="F14" s="1282"/>
      <c r="G14" s="1282"/>
      <c r="H14" s="1282"/>
      <c r="I14" s="1282"/>
      <c r="J14" s="1282"/>
    </row>
    <row r="15" spans="1:10" ht="12.75">
      <c r="A15" s="1282"/>
      <c r="B15" s="1282"/>
      <c r="C15" s="1282"/>
      <c r="D15" s="1282"/>
      <c r="E15" s="1282"/>
      <c r="F15" s="1282"/>
      <c r="G15" s="1282"/>
      <c r="H15" s="1282"/>
      <c r="I15" s="1282"/>
      <c r="J15" s="1282"/>
    </row>
    <row r="16" spans="1:10" ht="12.75">
      <c r="A16" s="525"/>
      <c r="B16" s="525"/>
      <c r="C16" s="525"/>
      <c r="D16" s="525"/>
      <c r="E16" s="525"/>
      <c r="F16" s="525"/>
      <c r="G16" s="525"/>
      <c r="H16" s="525"/>
      <c r="I16" s="525"/>
      <c r="J16" s="525"/>
    </row>
    <row r="17" spans="1:10" ht="12.75">
      <c r="A17" s="477" t="s">
        <v>1873</v>
      </c>
      <c r="B17" s="417"/>
      <c r="C17" s="417"/>
      <c r="D17" s="417"/>
      <c r="E17" s="417"/>
      <c r="F17" s="417"/>
      <c r="G17" s="417"/>
      <c r="H17" s="417"/>
      <c r="I17" s="417"/>
      <c r="J17" s="417"/>
    </row>
    <row r="18" spans="1:10" ht="12.75">
      <c r="A18" s="417" t="s">
        <v>250</v>
      </c>
      <c r="B18" s="417"/>
      <c r="C18" s="417"/>
      <c r="D18" s="417"/>
      <c r="E18" s="417"/>
      <c r="F18" s="417"/>
      <c r="G18" s="417"/>
      <c r="H18" s="417"/>
      <c r="I18" s="417"/>
      <c r="J18" s="417"/>
    </row>
    <row r="19" spans="1:10" ht="12.75">
      <c r="A19" s="1281" t="s">
        <v>1189</v>
      </c>
      <c r="B19" s="1281"/>
      <c r="C19" s="1281"/>
      <c r="D19" s="1281"/>
      <c r="E19" s="1281"/>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8" t="s">
        <v>1190</v>
      </c>
      <c r="B56" s="1278"/>
      <c r="C56" s="1278"/>
      <c r="D56" s="1278"/>
      <c r="E56" s="1278"/>
      <c r="F56" s="1278"/>
      <c r="G56" s="1278"/>
      <c r="H56" s="1278"/>
      <c r="I56" s="1278"/>
      <c r="J56" s="1278"/>
    </row>
    <row r="57" spans="1:10" ht="12.75">
      <c r="A57" s="1278"/>
      <c r="B57" s="1278"/>
      <c r="C57" s="1278"/>
      <c r="D57" s="1278"/>
      <c r="E57" s="1278"/>
      <c r="F57" s="1278"/>
      <c r="G57" s="1278"/>
      <c r="H57" s="1278"/>
      <c r="I57" s="1278"/>
      <c r="J57" s="1278"/>
    </row>
    <row r="58" spans="1:10" ht="12.75">
      <c r="A58" s="1278"/>
      <c r="B58" s="1278"/>
      <c r="C58" s="1278"/>
      <c r="D58" s="1278"/>
      <c r="E58" s="1278"/>
      <c r="F58" s="1278"/>
      <c r="G58" s="1278"/>
      <c r="H58" s="1278"/>
      <c r="I58" s="1278"/>
      <c r="J58" s="1278"/>
    </row>
    <row r="59" spans="1:10" ht="12.75"/>
    <row r="60" spans="1:10" ht="12.75">
      <c r="A60" s="403" t="s">
        <v>1189</v>
      </c>
    </row>
    <row r="61" spans="1:10" ht="12.75"/>
    <row r="62" spans="1:10" ht="12.75"/>
    <row r="63" spans="1:10" ht="12.75"/>
    <row r="64" spans="1:10" ht="12.75"/>
    <row r="65" spans="1:9" ht="12.75"/>
    <row r="66" spans="1:9" ht="12.75"/>
    <row r="67" spans="1:9" ht="12.75"/>
    <row r="68" spans="1:9" ht="12.75"/>
    <row r="69" spans="1:9" ht="12.75"/>
    <row r="70" spans="1:9" ht="12.75"/>
    <row r="71" spans="1:9" ht="12.75">
      <c r="A71" s="1279" t="s">
        <v>1870</v>
      </c>
      <c r="B71" s="1279"/>
      <c r="C71" s="1279"/>
      <c r="D71" s="1279"/>
      <c r="E71" s="1279"/>
      <c r="F71" s="1279"/>
      <c r="G71" s="1279"/>
      <c r="H71" s="1279"/>
      <c r="I71" s="1279"/>
    </row>
    <row r="72" spans="1:9" ht="12.75">
      <c r="A72" s="1269" t="s">
        <v>2046</v>
      </c>
      <c r="B72" s="1269"/>
      <c r="C72" s="1269"/>
      <c r="D72" s="1269"/>
      <c r="E72" s="1269"/>
    </row>
    <row r="73" spans="1:9" ht="12.75">
      <c r="A73" s="1269" t="s">
        <v>2047</v>
      </c>
      <c r="B73" s="1269"/>
      <c r="C73" s="1269"/>
      <c r="D73" s="1269"/>
      <c r="E73" s="1269"/>
    </row>
    <row r="74" spans="1:9" ht="12.75">
      <c r="A74" s="1269" t="s">
        <v>1871</v>
      </c>
      <c r="B74" s="1269"/>
      <c r="C74" s="1269"/>
      <c r="D74" s="1269"/>
      <c r="E74" s="1269"/>
    </row>
    <row r="75" spans="1:9" ht="12.75"/>
    <row r="76" spans="1:9" ht="12.75"/>
    <row r="77" spans="1:9" ht="12.75"/>
    <row r="78" spans="1:9" ht="12.6" customHeight="1"/>
    <row r="79" spans="1:9" ht="12.6" customHeight="1"/>
    <row r="80" spans="1:9" ht="12.6" customHeight="1"/>
    <row r="81" ht="12.6" customHeight="1"/>
    <row r="82" ht="12.6" customHeight="1"/>
    <row r="83" ht="12.6" customHeight="1"/>
    <row r="84" ht="12.6" customHeight="1"/>
    <row r="85" ht="12.6"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104775</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1079" workbookViewId="0">
      <selection activeCell="F1139" sqref="F1139"/>
    </sheetView>
  </sheetViews>
  <sheetFormatPr defaultColWidth="0" defaultRowHeight="12.75" zeroHeight="1"/>
  <cols>
    <col min="1" max="1" width="3.5703125" style="481" customWidth="1"/>
    <col min="2" max="2" width="13.5703125" style="481" customWidth="1"/>
    <col min="3" max="3" width="2.5703125" style="481" customWidth="1"/>
    <col min="4" max="5" width="3.5703125" style="403" customWidth="1"/>
    <col min="6" max="6" width="65.5703125" style="403" customWidth="1"/>
    <col min="7" max="7" width="1.5703125" style="403" customWidth="1"/>
    <col min="8" max="8" width="3.5703125" style="403" customWidth="1"/>
    <col min="9" max="9" width="9.140625" style="405" customWidth="1"/>
    <col min="10" max="10" width="8.85546875" style="403" hidden="1" customWidth="1"/>
    <col min="11" max="16384" width="8.85546875" style="403" hidden="1"/>
  </cols>
  <sheetData>
    <row r="1" spans="1:13"/>
    <row r="2" spans="1:13">
      <c r="A2" s="1283" t="s">
        <v>2461</v>
      </c>
      <c r="B2" s="1283"/>
      <c r="C2" s="1283"/>
      <c r="D2" s="1283"/>
      <c r="E2" s="1283"/>
      <c r="F2" s="1283"/>
      <c r="G2" s="1283"/>
      <c r="H2" s="1283"/>
      <c r="I2" s="1283"/>
    </row>
    <row r="3" spans="1:13">
      <c r="A3" s="1284" t="s">
        <v>2220</v>
      </c>
      <c r="B3" s="1284"/>
      <c r="C3" s="1284"/>
      <c r="D3" s="1284"/>
      <c r="E3" s="1284"/>
      <c r="F3" s="1284"/>
      <c r="G3" s="1284"/>
      <c r="H3" s="1284"/>
      <c r="I3" s="1284"/>
    </row>
    <row r="4" spans="1:13">
      <c r="A4" s="1284"/>
      <c r="B4" s="1284"/>
      <c r="C4" s="1281"/>
      <c r="D4" s="1281"/>
      <c r="E4" s="1281"/>
      <c r="F4" s="1281"/>
      <c r="G4" s="1281"/>
    </row>
    <row r="5" spans="1:13">
      <c r="A5" s="1284"/>
      <c r="B5" s="1284"/>
      <c r="C5" s="1281"/>
      <c r="D5" s="1281"/>
      <c r="E5" s="1281"/>
      <c r="F5" s="1281"/>
      <c r="G5" s="1281"/>
    </row>
    <row r="6" spans="1:13" ht="12.75" customHeight="1">
      <c r="A6" s="1308" t="s">
        <v>2219</v>
      </c>
      <c r="B6" s="1308"/>
      <c r="C6" s="1308"/>
      <c r="D6" s="1308"/>
      <c r="E6" s="1308"/>
      <c r="F6" s="1308"/>
      <c r="G6" s="1308"/>
      <c r="I6" s="491"/>
    </row>
    <row r="7" spans="1:13">
      <c r="A7" s="1308"/>
      <c r="B7" s="1308"/>
      <c r="C7" s="1308"/>
      <c r="D7" s="1308"/>
      <c r="E7" s="1308"/>
      <c r="F7" s="1308"/>
      <c r="G7" s="1308"/>
      <c r="I7" s="491"/>
    </row>
    <row r="8" spans="1:13">
      <c r="A8" s="482"/>
      <c r="B8" s="482"/>
      <c r="C8" s="483"/>
      <c r="D8" s="483"/>
      <c r="E8" s="483"/>
      <c r="F8" s="483"/>
    </row>
    <row r="9" spans="1:13">
      <c r="A9" s="1288" t="s">
        <v>1101</v>
      </c>
      <c r="B9" s="1288"/>
      <c r="C9" s="1288"/>
      <c r="D9" s="1288"/>
      <c r="E9" s="1288"/>
      <c r="F9" s="1288"/>
      <c r="G9" s="1288"/>
      <c r="H9" s="1029"/>
      <c r="I9" s="1030"/>
    </row>
    <row r="10" spans="1:13">
      <c r="A10" s="483"/>
      <c r="B10" s="483"/>
      <c r="E10" s="405"/>
    </row>
    <row r="11" spans="1:13" ht="13.7" customHeight="1">
      <c r="C11" s="483"/>
      <c r="D11" s="1307" t="s">
        <v>1100</v>
      </c>
      <c r="E11" s="1307"/>
      <c r="F11" s="1307"/>
    </row>
    <row r="12" spans="1:13">
      <c r="C12" s="483"/>
      <c r="D12" s="1307"/>
      <c r="E12" s="1307"/>
      <c r="F12" s="1307"/>
    </row>
    <row r="13" spans="1:13">
      <c r="A13" s="484"/>
      <c r="B13" s="484"/>
      <c r="C13" s="484"/>
      <c r="D13" s="1286" t="s">
        <v>1090</v>
      </c>
      <c r="E13" s="1286"/>
      <c r="F13" s="1286"/>
      <c r="M13" s="96"/>
    </row>
    <row r="14" spans="1:13">
      <c r="A14" s="484"/>
      <c r="B14" s="484"/>
      <c r="C14" s="484"/>
      <c r="D14" s="477"/>
      <c r="L14" s="313"/>
    </row>
    <row r="15" spans="1:13" ht="14.25">
      <c r="A15" s="485"/>
      <c r="B15" s="486" t="s">
        <v>2669</v>
      </c>
      <c r="C15" s="484"/>
      <c r="D15" s="1285" t="s">
        <v>1922</v>
      </c>
      <c r="E15" s="1285"/>
      <c r="F15" s="1285"/>
      <c r="I15" s="491"/>
    </row>
    <row r="16" spans="1:13">
      <c r="A16" s="484"/>
      <c r="B16" s="484"/>
      <c r="C16" s="484"/>
      <c r="D16" s="1285"/>
      <c r="E16" s="1285"/>
      <c r="F16" s="1285"/>
      <c r="I16" s="491"/>
    </row>
    <row r="17" spans="1:9">
      <c r="A17" s="484"/>
      <c r="B17" s="484"/>
      <c r="C17" s="484"/>
      <c r="D17" s="1285"/>
      <c r="E17" s="1285"/>
      <c r="F17" s="1285"/>
      <c r="I17" s="491"/>
    </row>
    <row r="18" spans="1:9">
      <c r="A18" s="484"/>
      <c r="B18" s="484"/>
      <c r="C18" s="484"/>
      <c r="D18" s="446"/>
      <c r="E18" s="313" t="s">
        <v>1920</v>
      </c>
      <c r="F18" s="446"/>
      <c r="I18" s="491"/>
    </row>
    <row r="19" spans="1:9">
      <c r="A19" s="484"/>
      <c r="B19" s="484"/>
      <c r="C19" s="484"/>
      <c r="I19" s="491"/>
    </row>
    <row r="20" spans="1:9" ht="14.25">
      <c r="A20" s="485"/>
      <c r="B20" s="486" t="s">
        <v>2669</v>
      </c>
      <c r="D20" s="1285" t="s">
        <v>1923</v>
      </c>
      <c r="E20" s="1285"/>
      <c r="F20" s="1285"/>
      <c r="I20" s="491"/>
    </row>
    <row r="21" spans="1:9" ht="14.25">
      <c r="A21" s="485"/>
      <c r="D21" s="1285"/>
      <c r="E21" s="1285"/>
      <c r="F21" s="1285"/>
      <c r="I21" s="491"/>
    </row>
    <row r="22" spans="1:9" ht="14.25">
      <c r="A22" s="485"/>
      <c r="D22" s="393"/>
      <c r="E22" s="96" t="s">
        <v>1919</v>
      </c>
      <c r="F22" s="393"/>
      <c r="I22" s="491"/>
    </row>
    <row r="23" spans="1:9" ht="14.25">
      <c r="A23" s="485"/>
      <c r="B23" s="485"/>
      <c r="D23" s="447"/>
      <c r="I23" s="491"/>
    </row>
    <row r="24" spans="1:9" ht="14.25">
      <c r="A24" s="485"/>
      <c r="B24" s="486" t="s">
        <v>2670</v>
      </c>
      <c r="D24" s="1285" t="s">
        <v>1091</v>
      </c>
      <c r="E24" s="1285"/>
      <c r="F24" s="1285"/>
      <c r="I24" s="491"/>
    </row>
    <row r="25" spans="1:9" ht="14.25">
      <c r="A25" s="485"/>
      <c r="B25" s="485"/>
      <c r="D25" s="1285"/>
      <c r="E25" s="1285"/>
      <c r="F25" s="1285"/>
      <c r="I25" s="491"/>
    </row>
    <row r="26" spans="1:9">
      <c r="I26" s="491"/>
    </row>
    <row r="27" spans="1:9" ht="14.25">
      <c r="A27" s="485"/>
      <c r="B27" s="486" t="s">
        <v>2669</v>
      </c>
      <c r="D27" s="1285" t="s">
        <v>2049</v>
      </c>
      <c r="E27" s="1285"/>
      <c r="F27" s="1285"/>
      <c r="I27" s="491"/>
    </row>
    <row r="28" spans="1:9">
      <c r="D28" s="1285"/>
      <c r="E28" s="1285"/>
      <c r="F28" s="1285"/>
      <c r="I28" s="491"/>
    </row>
    <row r="29" spans="1:9">
      <c r="D29" s="1285"/>
      <c r="E29" s="1285"/>
      <c r="F29" s="1285"/>
      <c r="I29" s="491"/>
    </row>
    <row r="30" spans="1:9">
      <c r="D30" s="1285"/>
      <c r="E30" s="1285"/>
      <c r="F30" s="1285"/>
      <c r="I30" s="491"/>
    </row>
    <row r="31" spans="1:9">
      <c r="D31" s="1285"/>
      <c r="E31" s="1285"/>
      <c r="F31" s="1285"/>
      <c r="I31" s="491"/>
    </row>
    <row r="32" spans="1:9">
      <c r="D32" s="448"/>
      <c r="I32" s="491"/>
    </row>
    <row r="33" spans="1:9">
      <c r="B33" s="486" t="s">
        <v>2670</v>
      </c>
      <c r="D33" s="1285" t="s">
        <v>2050</v>
      </c>
      <c r="E33" s="1285"/>
      <c r="F33" s="1285"/>
      <c r="I33" s="491"/>
    </row>
    <row r="34" spans="1:9">
      <c r="D34" s="1285"/>
      <c r="E34" s="1285"/>
      <c r="F34" s="1285"/>
      <c r="I34" s="491"/>
    </row>
    <row r="35" spans="1:9" ht="14.25">
      <c r="A35" s="485"/>
      <c r="B35" s="485"/>
      <c r="D35" s="448"/>
      <c r="I35" s="491"/>
    </row>
    <row r="36" spans="1:9" ht="14.45" customHeight="1">
      <c r="A36" s="485"/>
      <c r="B36" s="486" t="s">
        <v>2669</v>
      </c>
      <c r="D36" s="1285" t="s">
        <v>1214</v>
      </c>
      <c r="E36" s="1285"/>
      <c r="F36" s="1285"/>
      <c r="I36" s="491"/>
    </row>
    <row r="37" spans="1:9" ht="14.25">
      <c r="A37" s="485"/>
      <c r="B37" s="485"/>
      <c r="D37" s="1285"/>
      <c r="E37" s="1285"/>
      <c r="F37" s="1285"/>
      <c r="I37" s="491"/>
    </row>
    <row r="38" spans="1:9" ht="14.25">
      <c r="A38" s="485"/>
      <c r="B38" s="485"/>
      <c r="D38" s="1285"/>
      <c r="E38" s="1285"/>
      <c r="F38" s="1285"/>
      <c r="I38" s="491"/>
    </row>
    <row r="39" spans="1:9" ht="14.25">
      <c r="A39" s="485"/>
      <c r="B39" s="485"/>
      <c r="D39" s="1285"/>
      <c r="E39" s="1285"/>
      <c r="F39" s="1285"/>
      <c r="I39" s="491"/>
    </row>
    <row r="40" spans="1:9" ht="14.25">
      <c r="A40" s="485"/>
      <c r="B40" s="485"/>
      <c r="I40" s="491"/>
    </row>
    <row r="41" spans="1:9" ht="14.25">
      <c r="A41" s="485"/>
      <c r="B41" s="486" t="s">
        <v>2670</v>
      </c>
      <c r="D41" s="1285" t="s">
        <v>1092</v>
      </c>
      <c r="E41" s="1285"/>
      <c r="F41" s="1285"/>
      <c r="I41" s="491"/>
    </row>
    <row r="42" spans="1:9" ht="14.25">
      <c r="A42" s="485"/>
      <c r="B42" s="485"/>
      <c r="D42" s="1285"/>
      <c r="E42" s="1285"/>
      <c r="F42" s="1285"/>
      <c r="I42" s="491"/>
    </row>
    <row r="43" spans="1:9" ht="14.25">
      <c r="A43" s="485"/>
      <c r="B43" s="485"/>
      <c r="D43" s="1285"/>
      <c r="E43" s="1285"/>
      <c r="F43" s="1285"/>
      <c r="I43" s="491"/>
    </row>
    <row r="44" spans="1:9" ht="14.25">
      <c r="A44" s="485"/>
      <c r="B44" s="485"/>
      <c r="D44" s="1285"/>
      <c r="E44" s="1285"/>
      <c r="F44" s="1285"/>
      <c r="I44" s="491"/>
    </row>
    <row r="45" spans="1:9" ht="14.25">
      <c r="A45" s="485"/>
      <c r="B45" s="485"/>
      <c r="D45" s="1285"/>
      <c r="E45" s="1285"/>
      <c r="F45" s="1285"/>
      <c r="I45" s="491"/>
    </row>
    <row r="46" spans="1:9" ht="14.25">
      <c r="A46" s="485"/>
      <c r="B46" s="485"/>
      <c r="D46" s="446"/>
      <c r="E46" s="446"/>
      <c r="F46" s="446"/>
      <c r="I46" s="491"/>
    </row>
    <row r="47" spans="1:9" ht="14.25">
      <c r="A47" s="485"/>
      <c r="B47" s="486" t="s">
        <v>2670</v>
      </c>
      <c r="D47" s="1285" t="s">
        <v>1093</v>
      </c>
      <c r="E47" s="1285"/>
      <c r="F47" s="1285"/>
      <c r="I47" s="491"/>
    </row>
    <row r="48" spans="1:9" ht="14.25">
      <c r="A48" s="485"/>
      <c r="B48" s="485"/>
      <c r="D48" s="1285"/>
      <c r="E48" s="1285"/>
      <c r="F48" s="1285"/>
      <c r="I48" s="491"/>
    </row>
    <row r="49" spans="1:9" ht="14.25">
      <c r="A49" s="485"/>
      <c r="B49" s="485"/>
      <c r="D49" s="1285"/>
      <c r="E49" s="1285"/>
      <c r="F49" s="1285"/>
      <c r="I49" s="491"/>
    </row>
    <row r="50" spans="1:9" ht="23.25" customHeight="1">
      <c r="A50" s="485"/>
      <c r="B50" s="485"/>
      <c r="D50" s="1285"/>
      <c r="E50" s="1285"/>
      <c r="F50" s="1285"/>
      <c r="I50" s="491"/>
    </row>
    <row r="51" spans="1:9" ht="14.25">
      <c r="A51" s="485"/>
      <c r="B51" s="485"/>
      <c r="D51" s="447"/>
      <c r="I51" s="491"/>
    </row>
    <row r="52" spans="1:9" ht="14.45" customHeight="1">
      <c r="A52" s="485"/>
      <c r="B52" s="486" t="s">
        <v>2669</v>
      </c>
      <c r="D52" s="1285" t="s">
        <v>1094</v>
      </c>
      <c r="E52" s="1285"/>
      <c r="F52" s="1285"/>
      <c r="I52" s="491"/>
    </row>
    <row r="53" spans="1:9" ht="14.25">
      <c r="A53" s="485"/>
      <c r="B53" s="485"/>
      <c r="D53" s="1285"/>
      <c r="E53" s="1285"/>
      <c r="F53" s="1285"/>
      <c r="I53" s="491"/>
    </row>
    <row r="54" spans="1:9" ht="14.25">
      <c r="A54" s="485"/>
      <c r="B54" s="485"/>
      <c r="D54" s="1285"/>
      <c r="E54" s="1285"/>
      <c r="F54" s="1285"/>
      <c r="I54" s="491"/>
    </row>
    <row r="55" spans="1:9" ht="14.25">
      <c r="A55" s="485"/>
      <c r="B55" s="485"/>
      <c r="I55" s="491"/>
    </row>
    <row r="56" spans="1:9" ht="14.25">
      <c r="A56" s="485"/>
      <c r="B56" s="486" t="s">
        <v>2669</v>
      </c>
      <c r="D56" s="1309" t="s">
        <v>1095</v>
      </c>
      <c r="E56" s="1309"/>
      <c r="F56" s="1309"/>
      <c r="I56" s="491"/>
    </row>
    <row r="57" spans="1:9" ht="14.25">
      <c r="A57" s="485"/>
      <c r="B57" s="485"/>
      <c r="D57" s="1309"/>
      <c r="E57" s="1309"/>
      <c r="F57" s="1309"/>
      <c r="I57" s="491"/>
    </row>
    <row r="58" spans="1:9" ht="14.25">
      <c r="A58" s="485"/>
      <c r="B58" s="485"/>
      <c r="D58" s="393" t="s">
        <v>1921</v>
      </c>
      <c r="E58" s="446"/>
      <c r="F58" s="446"/>
      <c r="I58" s="491"/>
    </row>
    <row r="59" spans="1:9" ht="14.25">
      <c r="A59" s="485"/>
      <c r="B59" s="485"/>
      <c r="D59" s="446"/>
      <c r="E59" s="313" t="s">
        <v>1920</v>
      </c>
      <c r="F59" s="446"/>
      <c r="I59" s="491"/>
    </row>
    <row r="60" spans="1:9">
      <c r="D60" s="448"/>
      <c r="I60" s="491"/>
    </row>
    <row r="61" spans="1:9" ht="14.25">
      <c r="A61" s="485"/>
      <c r="B61" s="486" t="s">
        <v>2670</v>
      </c>
      <c r="D61" s="1285" t="s">
        <v>1096</v>
      </c>
      <c r="E61" s="1285"/>
      <c r="F61" s="1285"/>
      <c r="I61" s="491"/>
    </row>
    <row r="62" spans="1:9">
      <c r="D62" s="1285"/>
      <c r="E62" s="1285"/>
      <c r="F62" s="1285"/>
      <c r="I62" s="491"/>
    </row>
    <row r="63" spans="1:9">
      <c r="D63" s="1285"/>
      <c r="E63" s="1285"/>
      <c r="F63" s="1285"/>
      <c r="I63" s="491"/>
    </row>
    <row r="64" spans="1:9">
      <c r="I64" s="491"/>
    </row>
    <row r="65" spans="1:9" ht="14.25">
      <c r="A65" s="485"/>
      <c r="B65" s="486" t="s">
        <v>2670</v>
      </c>
      <c r="D65" s="1285" t="s">
        <v>1097</v>
      </c>
      <c r="E65" s="1285"/>
      <c r="F65" s="1285"/>
      <c r="I65" s="491"/>
    </row>
    <row r="66" spans="1:9">
      <c r="D66" s="1285"/>
      <c r="E66" s="1285"/>
      <c r="F66" s="1285"/>
      <c r="I66" s="491"/>
    </row>
    <row r="67" spans="1:9">
      <c r="I67" s="491"/>
    </row>
    <row r="68" spans="1:9" ht="14.25">
      <c r="A68" s="485"/>
      <c r="B68" s="486" t="s">
        <v>2669</v>
      </c>
      <c r="D68" s="1285" t="s">
        <v>1098</v>
      </c>
      <c r="E68" s="1285"/>
      <c r="F68" s="1285"/>
      <c r="I68" s="491"/>
    </row>
    <row r="69" spans="1:9">
      <c r="D69" s="1285"/>
      <c r="E69" s="1285"/>
      <c r="F69" s="1285"/>
      <c r="I69" s="491"/>
    </row>
    <row r="70" spans="1:9">
      <c r="D70" s="1285"/>
      <c r="E70" s="1285"/>
      <c r="F70" s="1285"/>
      <c r="I70" s="491"/>
    </row>
    <row r="71" spans="1:9">
      <c r="I71" s="491"/>
    </row>
    <row r="72" spans="1:9" ht="14.25">
      <c r="A72" s="485"/>
      <c r="B72" s="486" t="s">
        <v>2669</v>
      </c>
      <c r="D72" s="1285" t="s">
        <v>1099</v>
      </c>
      <c r="E72" s="1285"/>
      <c r="F72" s="1285"/>
      <c r="I72" s="491"/>
    </row>
    <row r="73" spans="1:9">
      <c r="D73" s="1285"/>
      <c r="E73" s="1285"/>
      <c r="F73" s="1285"/>
      <c r="I73" s="491"/>
    </row>
    <row r="74" spans="1:9" ht="14.25">
      <c r="A74" s="485"/>
      <c r="B74" s="485"/>
      <c r="D74" s="447"/>
      <c r="I74" s="491"/>
    </row>
    <row r="75" spans="1:9">
      <c r="A75" s="1288" t="s">
        <v>1044</v>
      </c>
      <c r="B75" s="1288"/>
      <c r="C75" s="1288"/>
      <c r="D75" s="1288"/>
      <c r="E75" s="1288"/>
      <c r="F75" s="1288"/>
      <c r="G75" s="1288"/>
      <c r="H75" s="1029"/>
      <c r="I75" s="1155"/>
    </row>
    <row r="76" spans="1:9">
      <c r="I76" s="491"/>
    </row>
    <row r="77" spans="1:9">
      <c r="C77" s="487"/>
      <c r="D77" s="1287" t="s">
        <v>1102</v>
      </c>
      <c r="E77" s="1287"/>
      <c r="F77" s="1287"/>
      <c r="I77" s="491"/>
    </row>
    <row r="78" spans="1:9">
      <c r="A78" s="447"/>
      <c r="B78" s="447"/>
      <c r="D78" s="1285" t="s">
        <v>1117</v>
      </c>
      <c r="E78" s="1285"/>
      <c r="F78" s="1285"/>
      <c r="I78" s="491"/>
    </row>
    <row r="79" spans="1:9">
      <c r="A79" s="447"/>
      <c r="B79" s="447"/>
      <c r="I79" s="491"/>
    </row>
    <row r="80" spans="1:9" ht="13.7" customHeight="1">
      <c r="A80" s="485"/>
      <c r="B80" s="486" t="s">
        <v>2669</v>
      </c>
      <c r="D80" s="1285" t="s">
        <v>1245</v>
      </c>
      <c r="E80" s="1285"/>
      <c r="F80" s="1285"/>
      <c r="I80" s="491"/>
    </row>
    <row r="81" spans="1:9" ht="14.25">
      <c r="A81" s="485"/>
      <c r="B81" s="485"/>
      <c r="D81" s="1285"/>
      <c r="E81" s="1285"/>
      <c r="F81" s="1285"/>
      <c r="I81" s="491"/>
    </row>
    <row r="82" spans="1:9" ht="14.25">
      <c r="A82" s="485"/>
      <c r="B82" s="485"/>
      <c r="D82" s="1285"/>
      <c r="E82" s="1285"/>
      <c r="F82" s="1285"/>
      <c r="I82" s="491"/>
    </row>
    <row r="83" spans="1:9" ht="14.25">
      <c r="A83" s="485"/>
      <c r="B83" s="485"/>
      <c r="D83" s="1285"/>
      <c r="E83" s="1285"/>
      <c r="F83" s="1285"/>
      <c r="I83" s="491"/>
    </row>
    <row r="84" spans="1:9" ht="14.25">
      <c r="A84" s="485"/>
      <c r="B84" s="485"/>
      <c r="D84" s="1285"/>
      <c r="E84" s="1285"/>
      <c r="F84" s="1285"/>
      <c r="I84" s="491"/>
    </row>
    <row r="85" spans="1:9" ht="14.25">
      <c r="A85" s="485"/>
      <c r="B85" s="485"/>
      <c r="D85" s="1285"/>
      <c r="E85" s="1285"/>
      <c r="F85" s="1285"/>
      <c r="I85" s="491"/>
    </row>
    <row r="86" spans="1:9" ht="14.25">
      <c r="A86" s="485"/>
      <c r="B86" s="485"/>
      <c r="D86" s="1285"/>
      <c r="E86" s="1285"/>
      <c r="F86" s="1285"/>
      <c r="I86" s="491"/>
    </row>
    <row r="87" spans="1:9" ht="14.25">
      <c r="A87" s="485"/>
      <c r="B87" s="485"/>
      <c r="D87" s="1285"/>
      <c r="E87" s="1285"/>
      <c r="F87" s="1285"/>
      <c r="I87" s="491"/>
    </row>
    <row r="88" spans="1:9" ht="14.25">
      <c r="A88" s="485"/>
      <c r="B88" s="485"/>
      <c r="D88" s="386"/>
      <c r="E88" s="386"/>
      <c r="F88" s="386"/>
      <c r="I88" s="491"/>
    </row>
    <row r="89" spans="1:9" ht="15" customHeight="1">
      <c r="A89" s="485"/>
      <c r="B89" s="486" t="s">
        <v>2669</v>
      </c>
      <c r="D89" s="1285" t="s">
        <v>1742</v>
      </c>
      <c r="E89" s="1285"/>
      <c r="F89" s="1285"/>
      <c r="I89" s="491"/>
    </row>
    <row r="90" spans="1:9" ht="14.25">
      <c r="A90" s="485"/>
      <c r="B90" s="485"/>
      <c r="D90" s="1285"/>
      <c r="E90" s="1285"/>
      <c r="F90" s="1285"/>
      <c r="I90" s="491"/>
    </row>
    <row r="91" spans="1:9" ht="14.25">
      <c r="A91" s="485"/>
      <c r="B91" s="485"/>
      <c r="D91" s="446"/>
      <c r="E91" s="446"/>
      <c r="F91" s="446"/>
      <c r="I91" s="491"/>
    </row>
    <row r="92" spans="1:9" ht="14.25">
      <c r="A92" s="485"/>
      <c r="B92" s="486" t="s">
        <v>2670</v>
      </c>
      <c r="D92" s="1285" t="s">
        <v>1745</v>
      </c>
      <c r="E92" s="1285"/>
      <c r="F92" s="1285"/>
      <c r="I92" s="491"/>
    </row>
    <row r="93" spans="1:9" ht="14.25">
      <c r="A93" s="485"/>
      <c r="B93" s="485"/>
      <c r="D93" s="1285"/>
      <c r="E93" s="1285"/>
      <c r="F93" s="1285"/>
      <c r="I93" s="491"/>
    </row>
    <row r="94" spans="1:9" ht="14.25">
      <c r="A94" s="485"/>
      <c r="B94" s="485"/>
      <c r="D94" s="1285"/>
      <c r="E94" s="1285"/>
      <c r="F94" s="1285"/>
      <c r="I94" s="491"/>
    </row>
    <row r="95" spans="1:9" ht="14.25">
      <c r="A95" s="485"/>
      <c r="B95" s="485"/>
      <c r="D95" s="446"/>
      <c r="E95" s="446"/>
      <c r="F95" s="446"/>
      <c r="I95" s="491"/>
    </row>
    <row r="96" spans="1:9" ht="14.25">
      <c r="A96" s="485"/>
      <c r="B96" s="486" t="s">
        <v>2669</v>
      </c>
      <c r="D96" s="1285" t="s">
        <v>1744</v>
      </c>
      <c r="E96" s="1285"/>
      <c r="F96" s="1285"/>
      <c r="I96" s="491"/>
    </row>
    <row r="97" spans="1:9" s="988" customFormat="1" ht="14.25">
      <c r="A97" s="986"/>
      <c r="B97" s="986"/>
      <c r="C97" s="987"/>
      <c r="D97" s="1285"/>
      <c r="E97" s="1285"/>
      <c r="F97" s="1285"/>
      <c r="I97" s="1156"/>
    </row>
    <row r="98" spans="1:9" ht="14.25">
      <c r="A98" s="485"/>
      <c r="B98" s="485"/>
      <c r="D98" s="393"/>
      <c r="E98" s="313" t="s">
        <v>1924</v>
      </c>
      <c r="F98" s="446"/>
      <c r="I98" s="491"/>
    </row>
    <row r="99" spans="1:9" ht="14.25">
      <c r="A99" s="485"/>
      <c r="B99" s="485"/>
      <c r="D99" s="386"/>
      <c r="E99" s="386"/>
      <c r="F99" s="386"/>
      <c r="I99" s="491"/>
    </row>
    <row r="100" spans="1:9" ht="14.25">
      <c r="A100" s="485"/>
      <c r="B100" s="486" t="s">
        <v>2670</v>
      </c>
      <c r="D100" s="1285" t="s">
        <v>1743</v>
      </c>
      <c r="E100" s="1285"/>
      <c r="F100" s="1285"/>
      <c r="I100" s="491"/>
    </row>
    <row r="101" spans="1:9" ht="14.25">
      <c r="A101" s="485"/>
      <c r="B101" s="485"/>
      <c r="D101" s="1285"/>
      <c r="E101" s="1285"/>
      <c r="F101" s="1285"/>
      <c r="I101" s="491"/>
    </row>
    <row r="102" spans="1:9" ht="14.25">
      <c r="A102" s="485"/>
      <c r="B102" s="485"/>
      <c r="D102" s="446"/>
      <c r="E102" s="446"/>
      <c r="F102" s="446"/>
      <c r="I102" s="491"/>
    </row>
    <row r="103" spans="1:9" ht="14.45" customHeight="1">
      <c r="A103" s="485"/>
      <c r="B103" s="486" t="s">
        <v>2670</v>
      </c>
      <c r="D103" s="1285" t="s">
        <v>1194</v>
      </c>
      <c r="E103" s="1285"/>
      <c r="F103" s="1285"/>
      <c r="I103" s="491"/>
    </row>
    <row r="104" spans="1:9" ht="14.25">
      <c r="A104" s="485"/>
      <c r="B104" s="485"/>
      <c r="D104" s="1285"/>
      <c r="E104" s="1285"/>
      <c r="F104" s="1285"/>
      <c r="I104" s="491"/>
    </row>
    <row r="105" spans="1:9" ht="14.25">
      <c r="A105" s="485"/>
      <c r="B105" s="485"/>
      <c r="D105" s="1285"/>
      <c r="E105" s="1285"/>
      <c r="F105" s="1285"/>
      <c r="I105" s="491"/>
    </row>
    <row r="106" spans="1:9" ht="14.25">
      <c r="A106" s="485"/>
      <c r="B106" s="485"/>
      <c r="D106" s="1285"/>
      <c r="E106" s="1285"/>
      <c r="F106" s="1285"/>
      <c r="I106" s="491"/>
    </row>
    <row r="107" spans="1:9" ht="14.25">
      <c r="A107" s="485"/>
      <c r="B107" s="485"/>
      <c r="D107" s="1285"/>
      <c r="E107" s="1285"/>
      <c r="F107" s="1285"/>
      <c r="I107" s="491"/>
    </row>
    <row r="108" spans="1:9" ht="14.25">
      <c r="A108" s="485"/>
      <c r="B108" s="485"/>
      <c r="D108" s="1285"/>
      <c r="E108" s="1285"/>
      <c r="F108" s="1285"/>
      <c r="I108" s="491"/>
    </row>
    <row r="109" spans="1:9" ht="14.25">
      <c r="A109" s="485"/>
      <c r="B109" s="485"/>
      <c r="D109" s="1285"/>
      <c r="E109" s="1285"/>
      <c r="F109" s="1285"/>
      <c r="I109" s="491"/>
    </row>
    <row r="110" spans="1:9" ht="14.25">
      <c r="A110" s="485"/>
      <c r="B110" s="485"/>
      <c r="D110" s="1285"/>
      <c r="E110" s="1285"/>
      <c r="F110" s="1285"/>
      <c r="I110" s="491"/>
    </row>
    <row r="111" spans="1:9" ht="14.25">
      <c r="A111" s="485"/>
      <c r="B111" s="485"/>
      <c r="D111" s="1285"/>
      <c r="E111" s="1285"/>
      <c r="F111" s="1285"/>
      <c r="I111" s="491"/>
    </row>
    <row r="112" spans="1:9" ht="14.25">
      <c r="A112" s="485"/>
      <c r="B112" s="485"/>
      <c r="D112" s="1285"/>
      <c r="E112" s="1285"/>
      <c r="F112" s="1285"/>
      <c r="I112" s="491"/>
    </row>
    <row r="113" spans="1:9" ht="14.25">
      <c r="A113" s="485"/>
      <c r="B113" s="485"/>
      <c r="D113" s="1285"/>
      <c r="E113" s="1285"/>
      <c r="F113" s="1285"/>
      <c r="I113" s="491"/>
    </row>
    <row r="114" spans="1:9" ht="14.25">
      <c r="A114" s="485"/>
      <c r="B114" s="485"/>
      <c r="D114" s="1285"/>
      <c r="E114" s="1285"/>
      <c r="F114" s="1285"/>
      <c r="I114" s="491"/>
    </row>
    <row r="115" spans="1:9" ht="14.25">
      <c r="A115" s="485"/>
      <c r="B115" s="485"/>
      <c r="D115" s="1285"/>
      <c r="E115" s="1285"/>
      <c r="F115" s="1285"/>
      <c r="I115" s="491"/>
    </row>
    <row r="116" spans="1:9" ht="14.25">
      <c r="A116" s="485"/>
      <c r="B116" s="485"/>
      <c r="D116" s="1285"/>
      <c r="E116" s="1285"/>
      <c r="F116" s="1285"/>
      <c r="I116" s="491"/>
    </row>
    <row r="117" spans="1:9" ht="14.25">
      <c r="A117" s="485"/>
      <c r="B117" s="485"/>
      <c r="D117" s="1285"/>
      <c r="E117" s="1285"/>
      <c r="F117" s="1285"/>
      <c r="I117" s="491"/>
    </row>
    <row r="118" spans="1:9" ht="14.25">
      <c r="A118" s="485"/>
      <c r="B118" s="485"/>
      <c r="D118" s="525"/>
      <c r="E118" s="525"/>
      <c r="F118" s="525"/>
      <c r="I118" s="491"/>
    </row>
    <row r="119" spans="1:9" ht="14.25" customHeight="1">
      <c r="A119" s="485"/>
      <c r="B119" s="486" t="s">
        <v>2670</v>
      </c>
      <c r="D119" s="1305" t="s">
        <v>1103</v>
      </c>
      <c r="E119" s="1305"/>
      <c r="F119" s="1305"/>
      <c r="I119" s="491"/>
    </row>
    <row r="120" spans="1:9" ht="14.25">
      <c r="A120" s="485"/>
      <c r="B120" s="485"/>
      <c r="D120" s="1305"/>
      <c r="E120" s="1305"/>
      <c r="F120" s="1305"/>
      <c r="I120" s="491"/>
    </row>
    <row r="121" spans="1:9" ht="14.25">
      <c r="A121" s="485"/>
      <c r="B121" s="485"/>
      <c r="D121" s="1305"/>
      <c r="E121" s="1305"/>
      <c r="F121" s="1305"/>
      <c r="I121" s="491"/>
    </row>
    <row r="122" spans="1:9" ht="14.25">
      <c r="A122" s="485"/>
      <c r="B122" s="485"/>
      <c r="D122" s="1305"/>
      <c r="E122" s="1305"/>
      <c r="F122" s="1305"/>
      <c r="I122" s="491"/>
    </row>
    <row r="123" spans="1:9" ht="14.25">
      <c r="A123" s="485"/>
      <c r="B123" s="485"/>
      <c r="D123" s="1305"/>
      <c r="E123" s="1305"/>
      <c r="F123" s="1305"/>
      <c r="I123" s="491"/>
    </row>
    <row r="124" spans="1:9" ht="14.25">
      <c r="A124" s="485"/>
      <c r="B124" s="485"/>
      <c r="D124" s="1305"/>
      <c r="E124" s="1305"/>
      <c r="F124" s="1305"/>
      <c r="I124" s="491"/>
    </row>
    <row r="125" spans="1:9" ht="14.25">
      <c r="A125" s="485"/>
      <c r="B125" s="485"/>
      <c r="D125" s="1305"/>
      <c r="E125" s="1305"/>
      <c r="F125" s="1305"/>
      <c r="I125" s="491"/>
    </row>
    <row r="126" spans="1:9" ht="14.25">
      <c r="A126" s="485"/>
      <c r="B126" s="485"/>
      <c r="D126" s="1305"/>
      <c r="E126" s="1305"/>
      <c r="F126" s="1305"/>
      <c r="I126" s="491"/>
    </row>
    <row r="127" spans="1:9">
      <c r="C127" s="403"/>
      <c r="D127" s="526"/>
      <c r="E127" s="526"/>
      <c r="F127" s="526"/>
      <c r="I127" s="491"/>
    </row>
    <row r="128" spans="1:9" ht="14.25">
      <c r="A128" s="485"/>
      <c r="B128" s="486" t="s">
        <v>2669</v>
      </c>
      <c r="C128" s="403"/>
      <c r="D128" s="1305" t="s">
        <v>2051</v>
      </c>
      <c r="E128" s="1305"/>
      <c r="F128" s="1305"/>
      <c r="I128" s="491"/>
    </row>
    <row r="129" spans="1:9" ht="14.25">
      <c r="A129" s="485"/>
      <c r="B129" s="485"/>
      <c r="C129" s="403"/>
      <c r="D129" s="1305"/>
      <c r="E129" s="1305"/>
      <c r="F129" s="1305"/>
      <c r="I129" s="491"/>
    </row>
    <row r="130" spans="1:9">
      <c r="I130" s="491"/>
    </row>
    <row r="131" spans="1:9" ht="14.25">
      <c r="A131" s="485"/>
      <c r="B131" s="486" t="s">
        <v>2669</v>
      </c>
      <c r="D131" s="1285" t="s">
        <v>1104</v>
      </c>
      <c r="E131" s="1285"/>
      <c r="F131" s="1285"/>
      <c r="I131" s="491"/>
    </row>
    <row r="132" spans="1:9">
      <c r="D132" s="1285"/>
      <c r="E132" s="1285"/>
      <c r="F132" s="1285"/>
      <c r="I132" s="491"/>
    </row>
    <row r="133" spans="1:9">
      <c r="D133" s="1285"/>
      <c r="E133" s="1285"/>
      <c r="F133" s="1285"/>
      <c r="I133" s="491"/>
    </row>
    <row r="134" spans="1:9">
      <c r="D134" s="1285"/>
      <c r="E134" s="1285"/>
      <c r="F134" s="1285"/>
      <c r="I134" s="491"/>
    </row>
    <row r="135" spans="1:9">
      <c r="D135" s="1285"/>
      <c r="E135" s="1285"/>
      <c r="F135" s="1285"/>
      <c r="I135" s="491"/>
    </row>
    <row r="136" spans="1:9">
      <c r="I136" s="491"/>
    </row>
    <row r="137" spans="1:9" ht="14.25">
      <c r="A137" s="485"/>
      <c r="B137" s="486" t="s">
        <v>2669</v>
      </c>
      <c r="D137" s="1285" t="s">
        <v>1105</v>
      </c>
      <c r="E137" s="1285"/>
      <c r="F137" s="1285"/>
      <c r="I137" s="491"/>
    </row>
    <row r="138" spans="1:9" s="418" customFormat="1" ht="13.7" customHeight="1">
      <c r="A138" s="489"/>
      <c r="B138" s="489"/>
      <c r="C138" s="489"/>
      <c r="D138" s="1285"/>
      <c r="E138" s="1285"/>
      <c r="F138" s="1285"/>
      <c r="I138" s="1157"/>
    </row>
    <row r="139" spans="1:9" ht="13.7" customHeight="1">
      <c r="D139" s="1285"/>
      <c r="E139" s="1285"/>
      <c r="F139" s="1285"/>
      <c r="I139" s="491"/>
    </row>
    <row r="140" spans="1:9" ht="13.7" customHeight="1">
      <c r="D140" s="1285"/>
      <c r="E140" s="1285"/>
      <c r="F140" s="1285"/>
      <c r="I140" s="491"/>
    </row>
    <row r="141" spans="1:9" ht="13.7" customHeight="1">
      <c r="D141" s="1285"/>
      <c r="E141" s="1285"/>
      <c r="F141" s="1285"/>
      <c r="I141" s="491"/>
    </row>
    <row r="142" spans="1:9" ht="13.7" customHeight="1">
      <c r="A142" s="490"/>
      <c r="B142" s="490"/>
      <c r="D142" s="1285"/>
      <c r="E142" s="1285"/>
      <c r="F142" s="1285"/>
      <c r="I142" s="491"/>
    </row>
    <row r="143" spans="1:9" ht="13.7" customHeight="1">
      <c r="D143" s="1285"/>
      <c r="E143" s="1285"/>
      <c r="F143" s="1285"/>
      <c r="I143" s="491"/>
    </row>
    <row r="144" spans="1:9" ht="13.7" customHeight="1">
      <c r="D144" s="1285"/>
      <c r="E144" s="1285"/>
      <c r="F144" s="1285"/>
      <c r="I144" s="491"/>
    </row>
    <row r="145" spans="2:9" ht="13.7" customHeight="1">
      <c r="D145" s="1285"/>
      <c r="E145" s="1285"/>
      <c r="F145" s="1285"/>
      <c r="I145" s="491"/>
    </row>
    <row r="146" spans="2:9" ht="13.7" customHeight="1">
      <c r="D146" s="1285"/>
      <c r="E146" s="1285"/>
      <c r="F146" s="1285"/>
      <c r="I146" s="491"/>
    </row>
    <row r="147" spans="2:9" ht="13.7" customHeight="1">
      <c r="D147" s="1285"/>
      <c r="E147" s="1285"/>
      <c r="F147" s="1285"/>
      <c r="I147" s="491"/>
    </row>
    <row r="148" spans="2:9" ht="13.7" customHeight="1">
      <c r="D148" s="1285"/>
      <c r="E148" s="1285"/>
      <c r="F148" s="1285"/>
      <c r="I148" s="491"/>
    </row>
    <row r="149" spans="2:9" ht="13.7" customHeight="1">
      <c r="D149" s="1285"/>
      <c r="E149" s="1285"/>
      <c r="F149" s="1285"/>
      <c r="I149" s="491"/>
    </row>
    <row r="150" spans="2:9" ht="13.7" customHeight="1">
      <c r="D150" s="477"/>
      <c r="E150" s="447"/>
      <c r="F150" s="447"/>
      <c r="I150" s="491"/>
    </row>
    <row r="151" spans="2:9" ht="13.7" customHeight="1">
      <c r="B151" s="486" t="s">
        <v>2670</v>
      </c>
      <c r="D151" s="1285" t="s">
        <v>1177</v>
      </c>
      <c r="E151" s="1285"/>
      <c r="F151" s="1285"/>
      <c r="I151" s="491"/>
    </row>
    <row r="152" spans="2:9" ht="13.7" customHeight="1">
      <c r="D152" s="1285"/>
      <c r="E152" s="1285"/>
      <c r="F152" s="1285"/>
      <c r="I152" s="491"/>
    </row>
    <row r="153" spans="2:9" ht="13.7" customHeight="1">
      <c r="D153" s="1285"/>
      <c r="E153" s="1285"/>
      <c r="F153" s="1285"/>
      <c r="I153" s="491"/>
    </row>
    <row r="154" spans="2:9" ht="13.7" customHeight="1">
      <c r="D154" s="1285"/>
      <c r="E154" s="1285"/>
      <c r="F154" s="1285"/>
      <c r="I154" s="491"/>
    </row>
    <row r="155" spans="2:9" ht="13.7" customHeight="1">
      <c r="D155" s="1285"/>
      <c r="E155" s="1285"/>
      <c r="F155" s="1285"/>
      <c r="I155" s="491"/>
    </row>
    <row r="156" spans="2:9" ht="13.7" customHeight="1">
      <c r="D156" s="1285"/>
      <c r="E156" s="1285"/>
      <c r="F156" s="1285"/>
      <c r="I156" s="491"/>
    </row>
    <row r="157" spans="2:9" ht="13.7" customHeight="1">
      <c r="D157" s="1285"/>
      <c r="E157" s="1285"/>
      <c r="F157" s="1285"/>
      <c r="I157" s="491"/>
    </row>
    <row r="158" spans="2:9" ht="13.7" customHeight="1">
      <c r="D158" s="1285"/>
      <c r="E158" s="1285"/>
      <c r="F158" s="1285"/>
      <c r="I158" s="491"/>
    </row>
    <row r="159" spans="2:9" ht="13.7" customHeight="1">
      <c r="D159" s="1285"/>
      <c r="E159" s="1285"/>
      <c r="F159" s="1285"/>
      <c r="I159" s="491"/>
    </row>
    <row r="160" spans="2:9" ht="13.7" customHeight="1">
      <c r="D160" s="1285"/>
      <c r="E160" s="1285"/>
      <c r="F160" s="1285"/>
      <c r="I160" s="491"/>
    </row>
    <row r="161" spans="1:9" ht="13.7" customHeight="1">
      <c r="D161" s="1285"/>
      <c r="E161" s="1285"/>
      <c r="F161" s="1285"/>
      <c r="I161" s="491"/>
    </row>
    <row r="162" spans="1:9" ht="13.7" customHeight="1">
      <c r="D162" s="1285"/>
      <c r="E162" s="1285"/>
      <c r="F162" s="1285"/>
      <c r="I162" s="491"/>
    </row>
    <row r="163" spans="1:9" ht="13.7" customHeight="1">
      <c r="D163" s="1285"/>
      <c r="E163" s="1285"/>
      <c r="F163" s="1285"/>
      <c r="I163" s="491"/>
    </row>
    <row r="164" spans="1:9" ht="13.7" customHeight="1">
      <c r="D164" s="1285"/>
      <c r="E164" s="1285"/>
      <c r="F164" s="1285"/>
      <c r="I164" s="491"/>
    </row>
    <row r="165" spans="1:9" ht="13.7" customHeight="1">
      <c r="D165" s="1285"/>
      <c r="E165" s="1285"/>
      <c r="F165" s="1285"/>
      <c r="I165" s="491"/>
    </row>
    <row r="166" spans="1:9" ht="13.7" customHeight="1">
      <c r="D166" s="1285"/>
      <c r="E166" s="1285"/>
      <c r="F166" s="1285"/>
      <c r="I166" s="491"/>
    </row>
    <row r="167" spans="1:9" ht="13.7" customHeight="1">
      <c r="D167" s="1285"/>
      <c r="E167" s="1285"/>
      <c r="F167" s="1285"/>
      <c r="I167" s="491"/>
    </row>
    <row r="168" spans="1:9" ht="13.7" customHeight="1">
      <c r="D168" s="1285"/>
      <c r="E168" s="1285"/>
      <c r="F168" s="1285"/>
      <c r="I168" s="491"/>
    </row>
    <row r="169" spans="1:9" ht="13.7" customHeight="1">
      <c r="D169" s="1306" t="s">
        <v>2074</v>
      </c>
      <c r="E169" s="1306"/>
      <c r="F169" s="1306"/>
      <c r="G169" s="508"/>
      <c r="I169" s="491"/>
    </row>
    <row r="170" spans="1:9" ht="13.7" customHeight="1">
      <c r="D170" s="1297"/>
      <c r="E170" s="1297"/>
      <c r="F170" s="1297"/>
      <c r="G170" s="1297"/>
      <c r="I170" s="491"/>
    </row>
    <row r="171" spans="1:9" ht="14.45" customHeight="1">
      <c r="A171" s="490"/>
      <c r="B171" s="486" t="s">
        <v>2670</v>
      </c>
      <c r="C171" s="477"/>
      <c r="D171" s="1265" t="s">
        <v>2214</v>
      </c>
      <c r="E171" s="1265"/>
      <c r="F171" s="1265"/>
      <c r="G171" s="477"/>
      <c r="I171" s="491"/>
    </row>
    <row r="172" spans="1:9" ht="14.45" customHeight="1">
      <c r="A172" s="490"/>
      <c r="B172" s="490"/>
      <c r="C172" s="477"/>
      <c r="D172" s="1265"/>
      <c r="E172" s="1265"/>
      <c r="F172" s="1265"/>
      <c r="G172" s="477"/>
      <c r="I172" s="491"/>
    </row>
    <row r="173" spans="1:9" ht="14.45" customHeight="1">
      <c r="A173" s="490"/>
      <c r="B173" s="490"/>
      <c r="C173" s="477"/>
      <c r="D173" s="1265"/>
      <c r="E173" s="1265"/>
      <c r="F173" s="1265"/>
      <c r="G173" s="477"/>
      <c r="I173" s="491"/>
    </row>
    <row r="174" spans="1:9" ht="14.45" customHeight="1">
      <c r="A174" s="490"/>
      <c r="B174" s="490"/>
      <c r="C174" s="477"/>
      <c r="D174" s="1265"/>
      <c r="E174" s="1265"/>
      <c r="F174" s="1265"/>
      <c r="G174" s="477"/>
      <c r="I174" s="491"/>
    </row>
    <row r="175" spans="1:9" ht="13.7" customHeight="1">
      <c r="A175" s="490"/>
      <c r="B175" s="490"/>
      <c r="C175" s="477"/>
      <c r="D175" s="1265"/>
      <c r="E175" s="1265"/>
      <c r="F175" s="1265"/>
      <c r="G175" s="477"/>
      <c r="I175" s="491"/>
    </row>
    <row r="176" spans="1:9" ht="13.7" customHeight="1">
      <c r="A176" s="490"/>
      <c r="B176" s="490"/>
      <c r="C176" s="477"/>
      <c r="D176" s="477"/>
      <c r="E176" s="477"/>
      <c r="F176" s="477"/>
      <c r="G176" s="477"/>
      <c r="I176" s="491"/>
    </row>
    <row r="177" spans="1:9" ht="13.7" customHeight="1">
      <c r="A177" s="490"/>
      <c r="B177" s="486" t="s">
        <v>2669</v>
      </c>
      <c r="C177" s="477"/>
      <c r="D177" s="1265" t="s">
        <v>1106</v>
      </c>
      <c r="E177" s="1265"/>
      <c r="F177" s="1265"/>
      <c r="G177" s="477"/>
      <c r="I177" s="491"/>
    </row>
    <row r="178" spans="1:9" ht="13.7" customHeight="1">
      <c r="A178" s="490"/>
      <c r="B178" s="490"/>
      <c r="C178" s="477"/>
      <c r="D178" s="1265"/>
      <c r="E178" s="1265"/>
      <c r="F178" s="1265"/>
      <c r="G178" s="477"/>
      <c r="I178" s="491"/>
    </row>
    <row r="179" spans="1:9" ht="13.7" customHeight="1">
      <c r="A179" s="490"/>
      <c r="B179" s="490"/>
      <c r="C179" s="477"/>
      <c r="D179" s="1265"/>
      <c r="E179" s="1265"/>
      <c r="F179" s="1265"/>
      <c r="G179" s="477"/>
      <c r="I179" s="491"/>
    </row>
    <row r="180" spans="1:9" ht="13.7" customHeight="1">
      <c r="A180" s="490"/>
      <c r="B180" s="490"/>
      <c r="C180" s="477"/>
      <c r="D180" s="1265"/>
      <c r="E180" s="1265"/>
      <c r="F180" s="1265"/>
      <c r="G180" s="477"/>
      <c r="I180" s="491"/>
    </row>
    <row r="181" spans="1:9" ht="13.7" customHeight="1">
      <c r="D181" s="447"/>
      <c r="E181" s="447"/>
      <c r="F181" s="447"/>
      <c r="I181" s="491"/>
    </row>
    <row r="182" spans="1:9" ht="13.7" customHeight="1">
      <c r="B182" s="486" t="s">
        <v>2670</v>
      </c>
      <c r="D182" s="1289" t="s">
        <v>2052</v>
      </c>
      <c r="E182" s="1289"/>
      <c r="F182" s="1289"/>
      <c r="I182" s="491"/>
    </row>
    <row r="183" spans="1:9" ht="13.7" customHeight="1">
      <c r="D183" s="1289"/>
      <c r="E183" s="1289"/>
      <c r="F183" s="1289"/>
      <c r="I183" s="491"/>
    </row>
    <row r="184" spans="1:9" ht="13.7" customHeight="1">
      <c r="D184" s="1289"/>
      <c r="E184" s="1289"/>
      <c r="F184" s="1289"/>
      <c r="I184" s="491"/>
    </row>
    <row r="185" spans="1:9" ht="13.7" customHeight="1">
      <c r="A185" s="491"/>
      <c r="B185" s="491"/>
      <c r="E185" s="447"/>
      <c r="F185" s="447"/>
      <c r="I185" s="491"/>
    </row>
    <row r="186" spans="1:9">
      <c r="A186" s="1288" t="s">
        <v>2053</v>
      </c>
      <c r="B186" s="1288"/>
      <c r="C186" s="1288"/>
      <c r="D186" s="1288"/>
      <c r="E186" s="1288"/>
      <c r="F186" s="1288"/>
      <c r="G186" s="1288"/>
      <c r="H186" s="1029"/>
      <c r="I186" s="1155"/>
    </row>
    <row r="187" spans="1:9" ht="12" customHeight="1">
      <c r="D187" s="447"/>
      <c r="E187" s="447"/>
      <c r="F187" s="447"/>
      <c r="I187" s="491"/>
    </row>
    <row r="188" spans="1:9">
      <c r="B188" s="1291" t="s">
        <v>446</v>
      </c>
      <c r="C188" s="1291"/>
      <c r="D188" s="1291"/>
      <c r="E188" s="1291"/>
      <c r="F188" s="1291"/>
      <c r="I188" s="491"/>
    </row>
    <row r="189" spans="1:9">
      <c r="B189" s="393" t="s">
        <v>1875</v>
      </c>
      <c r="C189" s="393"/>
      <c r="D189" s="393"/>
      <c r="E189" s="393"/>
      <c r="F189" s="393"/>
      <c r="I189" s="491"/>
    </row>
    <row r="190" spans="1:9" ht="12" customHeight="1">
      <c r="A190" s="483"/>
      <c r="B190" s="483"/>
      <c r="C190" s="483"/>
      <c r="I190" s="491"/>
    </row>
    <row r="191" spans="1:9">
      <c r="A191" s="1288" t="s">
        <v>1045</v>
      </c>
      <c r="B191" s="1288"/>
      <c r="C191" s="1288"/>
      <c r="D191" s="1288"/>
      <c r="E191" s="1288"/>
      <c r="F191" s="1288"/>
      <c r="G191" s="1288"/>
      <c r="H191" s="1029"/>
      <c r="I191" s="1155"/>
    </row>
    <row r="192" spans="1:9" ht="12" customHeight="1">
      <c r="A192" s="405"/>
      <c r="B192" s="405"/>
      <c r="E192" s="405"/>
      <c r="I192" s="491"/>
    </row>
    <row r="193" spans="1:9" ht="13.7" customHeight="1">
      <c r="A193" s="405"/>
      <c r="B193" s="405"/>
      <c r="D193" s="1287" t="s">
        <v>1746</v>
      </c>
      <c r="E193" s="1287"/>
      <c r="F193" s="1287"/>
      <c r="I193" s="491"/>
    </row>
    <row r="194" spans="1:9">
      <c r="A194" s="405"/>
      <c r="B194" s="405"/>
      <c r="D194" s="1287"/>
      <c r="E194" s="1287"/>
      <c r="F194" s="1287"/>
      <c r="I194" s="491"/>
    </row>
    <row r="195" spans="1:9">
      <c r="A195" s="405"/>
      <c r="B195" s="405"/>
      <c r="D195" s="1291" t="s">
        <v>1195</v>
      </c>
      <c r="E195" s="1291"/>
      <c r="F195" s="1291"/>
      <c r="I195" s="491"/>
    </row>
    <row r="196" spans="1:9">
      <c r="A196" s="405"/>
      <c r="B196" s="405"/>
      <c r="D196" s="393"/>
      <c r="E196" s="393"/>
      <c r="F196" s="393"/>
      <c r="I196" s="491"/>
    </row>
    <row r="197" spans="1:9">
      <c r="A197" s="405"/>
      <c r="B197" s="486" t="s">
        <v>2670</v>
      </c>
      <c r="D197" s="1302" t="s">
        <v>1747</v>
      </c>
      <c r="E197" s="1302"/>
      <c r="F197" s="1302"/>
      <c r="I197" s="491"/>
    </row>
    <row r="198" spans="1:9">
      <c r="A198" s="405"/>
      <c r="B198" s="405"/>
      <c r="D198" s="1303" t="s">
        <v>1902</v>
      </c>
      <c r="E198" s="1303"/>
      <c r="F198" s="1303"/>
      <c r="I198" s="491"/>
    </row>
    <row r="199" spans="1:9">
      <c r="A199" s="405"/>
      <c r="B199" s="405"/>
      <c r="D199" s="96" t="s">
        <v>1748</v>
      </c>
      <c r="E199" s="1304" t="s">
        <v>1925</v>
      </c>
      <c r="F199" s="1304"/>
      <c r="I199" s="491"/>
    </row>
    <row r="200" spans="1:9">
      <c r="A200" s="405"/>
      <c r="B200" s="405"/>
      <c r="D200" s="3"/>
      <c r="E200" s="3"/>
      <c r="F200" s="3"/>
      <c r="I200" s="491"/>
    </row>
    <row r="201" spans="1:9">
      <c r="A201" s="405"/>
      <c r="B201" s="486" t="s">
        <v>2670</v>
      </c>
      <c r="D201" s="1303" t="s">
        <v>1749</v>
      </c>
      <c r="E201" s="1303"/>
      <c r="F201" s="1303"/>
      <c r="I201" s="491"/>
    </row>
    <row r="202" spans="1:9">
      <c r="A202" s="405"/>
      <c r="B202" s="405"/>
      <c r="D202" s="1302" t="s">
        <v>1902</v>
      </c>
      <c r="E202" s="1302"/>
      <c r="F202" s="1302"/>
      <c r="I202" s="491"/>
    </row>
    <row r="203" spans="1:9">
      <c r="A203" s="405"/>
      <c r="B203" s="405"/>
      <c r="D203" s="57" t="s">
        <v>1750</v>
      </c>
      <c r="E203" s="1304" t="s">
        <v>1926</v>
      </c>
      <c r="F203" s="1304"/>
      <c r="I203" s="491"/>
    </row>
    <row r="204" spans="1:9">
      <c r="A204" s="405"/>
      <c r="B204" s="405"/>
      <c r="D204" s="3"/>
      <c r="E204" s="3"/>
      <c r="F204" s="3"/>
      <c r="I204" s="491"/>
    </row>
    <row r="205" spans="1:9">
      <c r="A205" s="405"/>
      <c r="B205" s="486" t="s">
        <v>2670</v>
      </c>
      <c r="D205" s="1303" t="s">
        <v>1751</v>
      </c>
      <c r="E205" s="1303"/>
      <c r="F205" s="1303"/>
      <c r="I205" s="491"/>
    </row>
    <row r="206" spans="1:9">
      <c r="A206" s="405"/>
      <c r="B206" s="405"/>
      <c r="D206" s="1302" t="s">
        <v>1902</v>
      </c>
      <c r="E206" s="1302"/>
      <c r="F206" s="1302"/>
      <c r="I206" s="491"/>
    </row>
    <row r="207" spans="1:9">
      <c r="A207" s="405"/>
      <c r="B207" s="405"/>
      <c r="D207" s="57" t="s">
        <v>1748</v>
      </c>
      <c r="E207" s="1304" t="s">
        <v>1927</v>
      </c>
      <c r="F207" s="1304"/>
      <c r="I207" s="491"/>
    </row>
    <row r="208" spans="1:9">
      <c r="A208" s="405"/>
      <c r="B208" s="405"/>
      <c r="D208" s="393"/>
      <c r="E208" s="393"/>
      <c r="F208" s="393"/>
      <c r="I208" s="491"/>
    </row>
    <row r="209" spans="1:9" ht="14.25" customHeight="1">
      <c r="A209" s="485"/>
      <c r="B209" s="486" t="s">
        <v>2670</v>
      </c>
      <c r="D209" s="387" t="s">
        <v>1895</v>
      </c>
      <c r="E209" s="386"/>
      <c r="F209" s="386"/>
      <c r="I209" s="491"/>
    </row>
    <row r="210" spans="1:9" ht="14.25">
      <c r="A210" s="485"/>
      <c r="B210" s="485"/>
      <c r="D210" s="1302" t="s">
        <v>1902</v>
      </c>
      <c r="E210" s="1302"/>
      <c r="F210" s="1302"/>
      <c r="I210" s="491"/>
    </row>
    <row r="211" spans="1:9">
      <c r="D211" s="386"/>
      <c r="E211" s="1304" t="s">
        <v>1928</v>
      </c>
      <c r="F211" s="1304"/>
      <c r="I211" s="491"/>
    </row>
    <row r="212" spans="1:9">
      <c r="D212" s="448"/>
      <c r="I212" s="491"/>
    </row>
    <row r="213" spans="1:9">
      <c r="B213" s="486" t="s">
        <v>2670</v>
      </c>
      <c r="D213" s="1303" t="s">
        <v>1752</v>
      </c>
      <c r="E213" s="1303"/>
      <c r="F213" s="1303"/>
      <c r="I213" s="491"/>
    </row>
    <row r="214" spans="1:9">
      <c r="D214" s="1302" t="s">
        <v>1902</v>
      </c>
      <c r="E214" s="1302"/>
      <c r="F214" s="1302"/>
      <c r="I214" s="491"/>
    </row>
    <row r="215" spans="1:9">
      <c r="D215" s="57" t="s">
        <v>1748</v>
      </c>
      <c r="E215" s="1304" t="s">
        <v>1929</v>
      </c>
      <c r="F215" s="1304"/>
      <c r="I215" s="491"/>
    </row>
    <row r="216" spans="1:9">
      <c r="D216" s="452"/>
      <c r="E216" s="452"/>
      <c r="F216" s="452"/>
      <c r="I216" s="491"/>
    </row>
    <row r="217" spans="1:9" ht="14.25">
      <c r="A217" s="485"/>
      <c r="B217" s="486" t="s">
        <v>2670</v>
      </c>
      <c r="D217" s="1285" t="s">
        <v>1216</v>
      </c>
      <c r="E217" s="1285"/>
      <c r="F217" s="1285"/>
      <c r="I217" s="491"/>
    </row>
    <row r="218" spans="1:9" ht="14.45" customHeight="1">
      <c r="A218" s="485"/>
      <c r="B218" s="403"/>
      <c r="D218" s="1285"/>
      <c r="E218" s="1285"/>
      <c r="F218" s="1285"/>
      <c r="I218" s="491"/>
    </row>
    <row r="219" spans="1:9" ht="14.25">
      <c r="A219" s="485"/>
      <c r="D219" s="1285"/>
      <c r="E219" s="1285"/>
      <c r="F219" s="1285"/>
      <c r="I219" s="491"/>
    </row>
    <row r="220" spans="1:9" ht="14.25">
      <c r="A220" s="485"/>
      <c r="D220" s="1285"/>
      <c r="E220" s="1285"/>
      <c r="F220" s="1285"/>
      <c r="I220" s="491"/>
    </row>
    <row r="221" spans="1:9">
      <c r="D221" s="452"/>
      <c r="E221" s="452"/>
      <c r="F221" s="452"/>
      <c r="I221" s="491"/>
    </row>
    <row r="222" spans="1:9">
      <c r="A222" s="1288" t="s">
        <v>1046</v>
      </c>
      <c r="B222" s="1288"/>
      <c r="C222" s="1288"/>
      <c r="D222" s="1288"/>
      <c r="E222" s="1288"/>
      <c r="F222" s="1288"/>
      <c r="G222" s="1288"/>
      <c r="H222" s="1029"/>
      <c r="I222" s="1155"/>
    </row>
    <row r="223" spans="1:9" ht="12" customHeight="1">
      <c r="D223" s="447"/>
      <c r="E223" s="447"/>
      <c r="F223" s="447"/>
      <c r="I223" s="491"/>
    </row>
    <row r="224" spans="1:9">
      <c r="C224" s="487"/>
      <c r="D224" s="1293" t="s">
        <v>208</v>
      </c>
      <c r="E224" s="1293"/>
      <c r="F224" s="1293"/>
      <c r="I224" s="491"/>
    </row>
    <row r="225" spans="1:9">
      <c r="A225" s="483"/>
      <c r="B225" s="483"/>
      <c r="C225" s="483"/>
      <c r="D225" s="1286" t="s">
        <v>1120</v>
      </c>
      <c r="E225" s="1286"/>
      <c r="F225" s="1286"/>
      <c r="I225" s="491"/>
    </row>
    <row r="226" spans="1:9" ht="12" customHeight="1">
      <c r="A226" s="491"/>
      <c r="B226" s="491"/>
      <c r="C226" s="491"/>
      <c r="I226" s="491"/>
    </row>
    <row r="227" spans="1:9" ht="13.7" customHeight="1">
      <c r="A227" s="491"/>
      <c r="C227" s="491"/>
      <c r="D227" s="1293" t="s">
        <v>546</v>
      </c>
      <c r="E227" s="1293"/>
      <c r="F227" s="1293"/>
      <c r="I227" s="491"/>
    </row>
    <row r="228" spans="1:9" ht="14.25">
      <c r="A228" s="485"/>
      <c r="B228" s="486" t="s">
        <v>2669</v>
      </c>
      <c r="D228" s="1285" t="s">
        <v>1753</v>
      </c>
      <c r="E228" s="1285"/>
      <c r="F228" s="1285"/>
      <c r="I228" s="491"/>
    </row>
    <row r="229" spans="1:9" ht="14.25" customHeight="1">
      <c r="A229" s="485"/>
      <c r="B229" s="485"/>
      <c r="D229" s="1285"/>
      <c r="E229" s="1285"/>
      <c r="F229" s="1285"/>
      <c r="I229" s="491"/>
    </row>
    <row r="230" spans="1:9" ht="14.25" customHeight="1">
      <c r="A230" s="485"/>
      <c r="B230" s="485"/>
      <c r="D230" s="1285"/>
      <c r="E230" s="1285"/>
      <c r="F230" s="1285"/>
      <c r="I230" s="491"/>
    </row>
    <row r="231" spans="1:9" ht="14.25">
      <c r="A231" s="485"/>
      <c r="B231" s="485"/>
      <c r="D231" s="1285"/>
      <c r="E231" s="1285"/>
      <c r="F231" s="1285"/>
      <c r="I231" s="491"/>
    </row>
    <row r="232" spans="1:9" ht="14.25">
      <c r="A232" s="485"/>
      <c r="B232" s="485"/>
      <c r="D232" s="446"/>
      <c r="E232" s="446"/>
      <c r="F232" s="446"/>
      <c r="I232" s="491"/>
    </row>
    <row r="233" spans="1:9" ht="14.25">
      <c r="A233" s="485"/>
      <c r="B233" s="486" t="s">
        <v>2669</v>
      </c>
      <c r="D233" s="1285" t="s">
        <v>1754</v>
      </c>
      <c r="E233" s="1285"/>
      <c r="F233" s="1285"/>
      <c r="I233" s="491"/>
    </row>
    <row r="234" spans="1:9" ht="14.25">
      <c r="A234" s="485"/>
      <c r="B234" s="485"/>
      <c r="D234" s="1285"/>
      <c r="E234" s="1285"/>
      <c r="F234" s="1285"/>
      <c r="I234" s="491"/>
    </row>
    <row r="235" spans="1:9" ht="14.25">
      <c r="A235" s="485"/>
      <c r="B235" s="485"/>
      <c r="D235" s="1285"/>
      <c r="E235" s="1285"/>
      <c r="F235" s="1285"/>
      <c r="I235" s="491"/>
    </row>
    <row r="236" spans="1:9" ht="14.25">
      <c r="A236" s="485"/>
      <c r="B236" s="485"/>
      <c r="D236" s="1285"/>
      <c r="E236" s="1285"/>
      <c r="F236" s="1285"/>
      <c r="I236" s="491"/>
    </row>
    <row r="237" spans="1:9" ht="14.25" customHeight="1">
      <c r="A237" s="485"/>
      <c r="B237" s="485"/>
      <c r="D237" s="1285"/>
      <c r="E237" s="1285"/>
      <c r="F237" s="1285"/>
      <c r="I237" s="491"/>
    </row>
    <row r="238" spans="1:9" ht="14.25" customHeight="1">
      <c r="A238" s="485"/>
      <c r="B238" s="485"/>
      <c r="D238" s="446"/>
      <c r="E238" s="446"/>
      <c r="F238" s="446"/>
      <c r="I238" s="491"/>
    </row>
    <row r="239" spans="1:9" ht="14.25">
      <c r="A239" s="485"/>
      <c r="B239" s="485"/>
      <c r="D239" s="1285" t="s">
        <v>1118</v>
      </c>
      <c r="E239" s="1285"/>
      <c r="F239" s="1285"/>
      <c r="I239" s="491"/>
    </row>
    <row r="240" spans="1:9" ht="14.25">
      <c r="A240" s="485"/>
      <c r="B240" s="485"/>
      <c r="D240" s="1285"/>
      <c r="E240" s="1285"/>
      <c r="F240" s="1285"/>
      <c r="I240" s="491"/>
    </row>
    <row r="241" spans="1:9" ht="14.25">
      <c r="A241" s="485"/>
      <c r="B241" s="485"/>
      <c r="D241" s="1285"/>
      <c r="E241" s="1285"/>
      <c r="F241" s="1285"/>
      <c r="I241" s="491"/>
    </row>
    <row r="242" spans="1:9" ht="14.25">
      <c r="A242" s="485"/>
      <c r="B242" s="485"/>
      <c r="D242" s="1285"/>
      <c r="E242" s="1285"/>
      <c r="F242" s="1285"/>
      <c r="I242" s="491"/>
    </row>
    <row r="243" spans="1:9" ht="14.25">
      <c r="A243" s="485"/>
      <c r="B243" s="485"/>
      <c r="D243" s="1285"/>
      <c r="E243" s="1285"/>
      <c r="F243" s="1285"/>
      <c r="I243" s="491"/>
    </row>
    <row r="244" spans="1:9" ht="14.25">
      <c r="A244" s="485"/>
      <c r="B244" s="485"/>
      <c r="D244" s="447"/>
      <c r="E244" s="447"/>
      <c r="F244" s="447"/>
      <c r="I244" s="491"/>
    </row>
    <row r="245" spans="1:9" ht="14.25">
      <c r="A245" s="485"/>
      <c r="B245" s="486" t="s">
        <v>2670</v>
      </c>
      <c r="D245" s="1285" t="s">
        <v>2054</v>
      </c>
      <c r="E245" s="1285"/>
      <c r="F245" s="1285"/>
      <c r="I245" s="491"/>
    </row>
    <row r="246" spans="1:9" ht="14.25">
      <c r="A246" s="485"/>
      <c r="B246" s="485"/>
      <c r="D246" s="1285"/>
      <c r="E246" s="1285"/>
      <c r="F246" s="1285"/>
      <c r="I246" s="491"/>
    </row>
    <row r="247" spans="1:9" ht="14.25">
      <c r="A247" s="485"/>
      <c r="B247" s="485"/>
      <c r="D247" s="1285"/>
      <c r="E247" s="1285"/>
      <c r="F247" s="1285"/>
      <c r="I247" s="491"/>
    </row>
    <row r="248" spans="1:9" ht="14.25">
      <c r="A248" s="485"/>
      <c r="B248" s="485"/>
      <c r="E248" s="1037" t="s">
        <v>1896</v>
      </c>
      <c r="I248" s="491"/>
    </row>
    <row r="249" spans="1:9" ht="14.25">
      <c r="A249" s="485"/>
      <c r="B249" s="485"/>
      <c r="D249" s="447"/>
      <c r="E249" s="447"/>
      <c r="F249" s="447"/>
      <c r="I249" s="491"/>
    </row>
    <row r="250" spans="1:9" ht="14.45" customHeight="1">
      <c r="A250" s="485"/>
      <c r="B250" s="486" t="s">
        <v>2670</v>
      </c>
      <c r="D250" s="1285" t="s">
        <v>2055</v>
      </c>
      <c r="E250" s="1285"/>
      <c r="F250" s="1285"/>
      <c r="I250" s="491"/>
    </row>
    <row r="251" spans="1:9" ht="14.25">
      <c r="A251" s="485"/>
      <c r="B251" s="485"/>
      <c r="D251" s="1285"/>
      <c r="E251" s="1285"/>
      <c r="F251" s="1285"/>
      <c r="I251" s="491"/>
    </row>
    <row r="252" spans="1:9" ht="14.25">
      <c r="A252" s="485"/>
      <c r="B252" s="485"/>
      <c r="D252" s="1285"/>
      <c r="E252" s="1285"/>
      <c r="F252" s="1285"/>
      <c r="I252" s="491"/>
    </row>
    <row r="253" spans="1:9" ht="14.25">
      <c r="A253" s="485"/>
      <c r="B253" s="485"/>
      <c r="D253" s="1285"/>
      <c r="E253" s="1285"/>
      <c r="F253" s="1285"/>
      <c r="I253" s="491"/>
    </row>
    <row r="254" spans="1:9" ht="14.25">
      <c r="A254" s="485"/>
      <c r="B254" s="485"/>
      <c r="D254" s="1285"/>
      <c r="E254" s="1285"/>
      <c r="F254" s="1285"/>
      <c r="I254" s="491"/>
    </row>
    <row r="255" spans="1:9" ht="14.25">
      <c r="A255" s="485"/>
      <c r="B255" s="485"/>
      <c r="D255" s="446"/>
      <c r="E255" s="446"/>
      <c r="F255" s="446"/>
      <c r="I255" s="491"/>
    </row>
    <row r="256" spans="1:9" ht="14.25">
      <c r="A256" s="485"/>
      <c r="B256" s="486" t="s">
        <v>2669</v>
      </c>
      <c r="D256" s="393" t="s">
        <v>2056</v>
      </c>
      <c r="E256" s="446"/>
      <c r="F256" s="446"/>
      <c r="I256" s="491"/>
    </row>
    <row r="257" spans="1:9" ht="14.25">
      <c r="A257" s="485"/>
      <c r="B257" s="485"/>
      <c r="E257" s="1037" t="s">
        <v>1897</v>
      </c>
      <c r="I257" s="491"/>
    </row>
    <row r="258" spans="1:9">
      <c r="D258" s="447"/>
      <c r="E258" s="447"/>
      <c r="F258" s="447"/>
      <c r="I258" s="491"/>
    </row>
    <row r="259" spans="1:9" ht="14.25">
      <c r="A259" s="485"/>
      <c r="B259" s="486" t="s">
        <v>2669</v>
      </c>
      <c r="D259" s="1285" t="s">
        <v>1119</v>
      </c>
      <c r="E259" s="1285"/>
      <c r="F259" s="1285"/>
      <c r="I259" s="491"/>
    </row>
    <row r="260" spans="1:9" ht="14.25">
      <c r="A260" s="485"/>
      <c r="B260" s="485"/>
      <c r="D260" s="1285"/>
      <c r="E260" s="1285"/>
      <c r="F260" s="1285"/>
      <c r="I260" s="491"/>
    </row>
    <row r="261" spans="1:9">
      <c r="D261" s="492"/>
      <c r="I261" s="491"/>
    </row>
    <row r="262" spans="1:9">
      <c r="A262" s="1288" t="s">
        <v>1047</v>
      </c>
      <c r="B262" s="1288"/>
      <c r="C262" s="1288"/>
      <c r="D262" s="1288"/>
      <c r="E262" s="1288"/>
      <c r="F262" s="1288"/>
      <c r="G262" s="1288"/>
      <c r="H262" s="1029"/>
      <c r="I262" s="1155"/>
    </row>
    <row r="263" spans="1:9">
      <c r="D263" s="492"/>
      <c r="I263" s="491"/>
    </row>
    <row r="264" spans="1:9">
      <c r="C264" s="487"/>
      <c r="D264" s="1293" t="s">
        <v>1121</v>
      </c>
      <c r="E264" s="1293"/>
      <c r="F264" s="1293"/>
      <c r="I264" s="491"/>
    </row>
    <row r="265" spans="1:9">
      <c r="A265" s="483"/>
      <c r="B265" s="483"/>
      <c r="C265" s="483"/>
      <c r="D265" s="447"/>
      <c r="E265" s="447"/>
      <c r="F265" s="447"/>
      <c r="I265" s="491"/>
    </row>
    <row r="266" spans="1:9">
      <c r="A266" s="484"/>
      <c r="B266" s="484"/>
      <c r="C266" s="484"/>
      <c r="D266" s="1293" t="s">
        <v>269</v>
      </c>
      <c r="E266" s="1293"/>
      <c r="F266" s="1293"/>
      <c r="I266" s="491"/>
    </row>
    <row r="267" spans="1:9" ht="14.45" customHeight="1">
      <c r="A267" s="485"/>
      <c r="B267" s="486" t="s">
        <v>2669</v>
      </c>
      <c r="D267" s="1285" t="s">
        <v>1196</v>
      </c>
      <c r="E267" s="1285"/>
      <c r="F267" s="1285"/>
      <c r="I267" s="491"/>
    </row>
    <row r="268" spans="1:9">
      <c r="D268" s="1285"/>
      <c r="E268" s="1285"/>
      <c r="F268" s="1285"/>
      <c r="I268" s="491"/>
    </row>
    <row r="269" spans="1:9">
      <c r="E269" s="1037" t="s">
        <v>1898</v>
      </c>
      <c r="I269" s="491"/>
    </row>
    <row r="270" spans="1:9">
      <c r="D270" s="447"/>
      <c r="E270" s="447"/>
      <c r="F270" s="447"/>
      <c r="I270" s="491"/>
    </row>
    <row r="271" spans="1:9" ht="14.45" customHeight="1">
      <c r="A271" s="485"/>
      <c r="B271" s="486" t="s">
        <v>2670</v>
      </c>
      <c r="D271" s="1285" t="s">
        <v>2057</v>
      </c>
      <c r="E271" s="1285"/>
      <c r="F271" s="1285"/>
      <c r="I271" s="491"/>
    </row>
    <row r="272" spans="1:9">
      <c r="D272" s="1285"/>
      <c r="E272" s="1285"/>
      <c r="F272" s="1285"/>
      <c r="I272" s="491"/>
    </row>
    <row r="273" spans="1:9">
      <c r="D273" s="1285"/>
      <c r="E273" s="1285"/>
      <c r="F273" s="1285"/>
      <c r="I273" s="491"/>
    </row>
    <row r="274" spans="1:9">
      <c r="D274" s="1285"/>
      <c r="E274" s="1285"/>
      <c r="F274" s="1285"/>
      <c r="I274" s="491"/>
    </row>
    <row r="275" spans="1:9">
      <c r="D275" s="1285"/>
      <c r="E275" s="1285"/>
      <c r="F275" s="1285"/>
      <c r="I275" s="491"/>
    </row>
    <row r="276" spans="1:9">
      <c r="D276" s="1285"/>
      <c r="E276" s="1285"/>
      <c r="F276" s="1285"/>
      <c r="I276" s="491"/>
    </row>
    <row r="277" spans="1:9">
      <c r="D277" s="447"/>
      <c r="E277" s="447"/>
      <c r="F277" s="447"/>
      <c r="I277" s="491"/>
    </row>
    <row r="278" spans="1:9" ht="14.25">
      <c r="A278" s="485"/>
      <c r="B278" s="486" t="s">
        <v>2670</v>
      </c>
      <c r="D278" s="1285" t="s">
        <v>1122</v>
      </c>
      <c r="E278" s="1285"/>
      <c r="F278" s="1285"/>
      <c r="I278" s="491"/>
    </row>
    <row r="279" spans="1:9">
      <c r="D279" s="1285"/>
      <c r="E279" s="1285"/>
      <c r="F279" s="1285"/>
      <c r="I279" s="491"/>
    </row>
    <row r="280" spans="1:9">
      <c r="D280" s="1285"/>
      <c r="E280" s="1285"/>
      <c r="F280" s="1285"/>
      <c r="I280" s="491"/>
    </row>
    <row r="281" spans="1:9">
      <c r="D281" s="493"/>
      <c r="E281" s="447"/>
      <c r="F281" s="447"/>
      <c r="I281" s="491"/>
    </row>
    <row r="282" spans="1:9">
      <c r="A282" s="1288" t="s">
        <v>1048</v>
      </c>
      <c r="B282" s="1288"/>
      <c r="C282" s="1288"/>
      <c r="D282" s="1288"/>
      <c r="E282" s="1288"/>
      <c r="F282" s="1288"/>
      <c r="G282" s="1288"/>
      <c r="H282" s="1029"/>
      <c r="I282" s="1155"/>
    </row>
    <row r="283" spans="1:9">
      <c r="D283" s="493"/>
      <c r="E283" s="447"/>
      <c r="F283" s="447"/>
      <c r="I283" s="491"/>
    </row>
    <row r="284" spans="1:9">
      <c r="C284" s="483"/>
      <c r="D284" s="1287" t="s">
        <v>1123</v>
      </c>
      <c r="E284" s="1287"/>
      <c r="F284" s="1287"/>
      <c r="I284" s="491"/>
    </row>
    <row r="285" spans="1:9">
      <c r="C285" s="483"/>
      <c r="D285" s="1287"/>
      <c r="E285" s="1287"/>
      <c r="F285" s="1287"/>
      <c r="I285" s="491"/>
    </row>
    <row r="286" spans="1:9">
      <c r="A286" s="484"/>
      <c r="B286" s="484"/>
      <c r="C286" s="484"/>
      <c r="D286" s="405"/>
      <c r="I286" s="491"/>
    </row>
    <row r="287" spans="1:9">
      <c r="C287" s="484"/>
      <c r="D287" s="1293" t="s">
        <v>209</v>
      </c>
      <c r="E287" s="1293"/>
      <c r="F287" s="1293"/>
      <c r="I287" s="491"/>
    </row>
    <row r="288" spans="1:9" ht="15.75" customHeight="1">
      <c r="A288" s="485"/>
      <c r="B288" s="485"/>
      <c r="D288" s="1300" t="s">
        <v>1124</v>
      </c>
      <c r="E288" s="1300"/>
      <c r="F288" s="1300"/>
      <c r="I288" s="491"/>
    </row>
    <row r="289" spans="1:9">
      <c r="E289" s="447"/>
      <c r="F289" s="447"/>
      <c r="I289" s="491"/>
    </row>
    <row r="290" spans="1:9" ht="14.25">
      <c r="A290" s="485"/>
      <c r="B290" s="486" t="s">
        <v>2669</v>
      </c>
      <c r="D290" s="1285" t="s">
        <v>1125</v>
      </c>
      <c r="E290" s="1285"/>
      <c r="F290" s="1285"/>
      <c r="I290" s="491"/>
    </row>
    <row r="291" spans="1:9" ht="14.25">
      <c r="A291" s="485"/>
      <c r="B291" s="485"/>
      <c r="D291" s="1285"/>
      <c r="E291" s="1285"/>
      <c r="F291" s="1285"/>
      <c r="I291" s="491"/>
    </row>
    <row r="292" spans="1:9">
      <c r="D292" s="447"/>
      <c r="E292" s="447"/>
      <c r="F292" s="447"/>
      <c r="I292" s="491"/>
    </row>
    <row r="293" spans="1:9" ht="14.25">
      <c r="A293" s="485"/>
      <c r="B293" s="486" t="s">
        <v>2669</v>
      </c>
      <c r="D293" s="1285" t="s">
        <v>1126</v>
      </c>
      <c r="E293" s="1285"/>
      <c r="F293" s="1285"/>
      <c r="I293" s="491"/>
    </row>
    <row r="294" spans="1:9" ht="14.25">
      <c r="A294" s="485"/>
      <c r="B294" s="485"/>
      <c r="D294" s="1285"/>
      <c r="E294" s="1285"/>
      <c r="F294" s="1285"/>
      <c r="I294" s="491"/>
    </row>
    <row r="295" spans="1:9" ht="14.25">
      <c r="A295" s="485"/>
      <c r="B295" s="485"/>
      <c r="D295" s="1285"/>
      <c r="E295" s="1285"/>
      <c r="F295" s="1285"/>
      <c r="I295" s="491"/>
    </row>
    <row r="296" spans="1:9">
      <c r="D296" s="447"/>
      <c r="E296" s="447"/>
      <c r="F296" s="447"/>
      <c r="I296" s="491"/>
    </row>
    <row r="297" spans="1:9" ht="14.25">
      <c r="A297" s="485"/>
      <c r="B297" s="486" t="s">
        <v>2670</v>
      </c>
      <c r="D297" s="1285" t="s">
        <v>1127</v>
      </c>
      <c r="E297" s="1285"/>
      <c r="F297" s="1285"/>
      <c r="I297" s="491"/>
    </row>
    <row r="298" spans="1:9" ht="14.25">
      <c r="A298" s="485"/>
      <c r="B298" s="485"/>
      <c r="D298" s="1285"/>
      <c r="E298" s="1285"/>
      <c r="F298" s="1285"/>
      <c r="I298" s="491"/>
    </row>
    <row r="299" spans="1:9">
      <c r="A299" s="491"/>
      <c r="B299" s="491"/>
      <c r="E299" s="447"/>
      <c r="F299" s="447"/>
      <c r="I299" s="491"/>
    </row>
    <row r="300" spans="1:9">
      <c r="A300" s="1288" t="s">
        <v>1049</v>
      </c>
      <c r="B300" s="1288"/>
      <c r="C300" s="1288"/>
      <c r="D300" s="1288"/>
      <c r="E300" s="1288"/>
      <c r="F300" s="1288"/>
      <c r="G300" s="1288"/>
      <c r="H300" s="1029"/>
      <c r="I300" s="1155"/>
    </row>
    <row r="301" spans="1:9">
      <c r="A301" s="491"/>
      <c r="B301" s="491"/>
      <c r="D301" s="447"/>
      <c r="E301" s="447"/>
      <c r="F301" s="447"/>
      <c r="I301" s="491"/>
    </row>
    <row r="302" spans="1:9">
      <c r="C302" s="491"/>
      <c r="D302" s="1293" t="s">
        <v>682</v>
      </c>
      <c r="E302" s="1293"/>
      <c r="F302" s="1293"/>
      <c r="I302" s="491"/>
    </row>
    <row r="303" spans="1:9">
      <c r="C303" s="491"/>
      <c r="D303" s="1286" t="s">
        <v>1128</v>
      </c>
      <c r="E303" s="1286"/>
      <c r="F303" s="1286"/>
      <c r="I303" s="491"/>
    </row>
    <row r="304" spans="1:9">
      <c r="C304" s="491"/>
      <c r="D304" s="494"/>
      <c r="I304" s="491"/>
    </row>
    <row r="305" spans="1:9">
      <c r="B305" s="486" t="s">
        <v>2669</v>
      </c>
      <c r="D305" s="1286" t="s">
        <v>1129</v>
      </c>
      <c r="E305" s="1286"/>
      <c r="F305" s="1286"/>
      <c r="I305" s="491"/>
    </row>
    <row r="306" spans="1:9" ht="14.25">
      <c r="A306" s="485"/>
      <c r="B306" s="485"/>
      <c r="D306" s="495"/>
      <c r="E306" s="496"/>
      <c r="F306" s="496"/>
      <c r="I306" s="491"/>
    </row>
    <row r="307" spans="1:9" ht="13.7" customHeight="1">
      <c r="B307" s="486" t="s">
        <v>2670</v>
      </c>
      <c r="D307" s="1295" t="s">
        <v>1219</v>
      </c>
      <c r="E307" s="1295"/>
      <c r="F307" s="1295"/>
      <c r="I307" s="491"/>
    </row>
    <row r="308" spans="1:9" ht="14.25">
      <c r="A308" s="485"/>
      <c r="B308" s="485"/>
      <c r="D308" s="1295"/>
      <c r="E308" s="1295"/>
      <c r="F308" s="1295"/>
      <c r="I308" s="491"/>
    </row>
    <row r="309" spans="1:9" ht="14.25">
      <c r="A309" s="485"/>
      <c r="B309" s="485"/>
      <c r="D309" s="1295"/>
      <c r="E309" s="1295"/>
      <c r="F309" s="1295"/>
      <c r="I309" s="491"/>
    </row>
    <row r="310" spans="1:9" ht="14.25">
      <c r="A310" s="485"/>
      <c r="B310" s="485"/>
      <c r="D310" s="1295"/>
      <c r="E310" s="1295"/>
      <c r="F310" s="1295"/>
      <c r="I310" s="491"/>
    </row>
    <row r="311" spans="1:9" ht="14.25">
      <c r="A311" s="485"/>
      <c r="B311" s="485"/>
      <c r="D311" s="1295"/>
      <c r="E311" s="1295"/>
      <c r="F311" s="1295"/>
      <c r="I311" s="491"/>
    </row>
    <row r="312" spans="1:9" ht="14.25">
      <c r="A312" s="485"/>
      <c r="B312" s="485"/>
      <c r="D312" s="495"/>
      <c r="E312" s="496"/>
      <c r="F312" s="496"/>
      <c r="I312" s="491"/>
    </row>
    <row r="313" spans="1:9" ht="13.7" customHeight="1">
      <c r="B313" s="486" t="s">
        <v>2669</v>
      </c>
      <c r="D313" s="1295" t="s">
        <v>1130</v>
      </c>
      <c r="E313" s="1295"/>
      <c r="F313" s="1295"/>
      <c r="I313" s="491"/>
    </row>
    <row r="314" spans="1:9">
      <c r="D314" s="1295"/>
      <c r="E314" s="1295"/>
      <c r="F314" s="1295"/>
      <c r="I314" s="491"/>
    </row>
    <row r="315" spans="1:9" ht="14.25">
      <c r="A315" s="485"/>
      <c r="B315" s="485"/>
      <c r="D315" s="495"/>
      <c r="E315" s="496"/>
      <c r="F315" s="496"/>
      <c r="I315" s="491"/>
    </row>
    <row r="316" spans="1:9">
      <c r="B316" s="486" t="s">
        <v>2669</v>
      </c>
      <c r="D316" s="1286" t="s">
        <v>1131</v>
      </c>
      <c r="E316" s="1286"/>
      <c r="F316" s="1286"/>
      <c r="I316" s="491"/>
    </row>
    <row r="317" spans="1:9">
      <c r="E317" s="447"/>
      <c r="F317" s="447"/>
      <c r="I317" s="491"/>
    </row>
    <row r="318" spans="1:9" ht="14.25">
      <c r="A318" s="485"/>
      <c r="B318" s="486" t="s">
        <v>2669</v>
      </c>
      <c r="D318" s="1285" t="s">
        <v>2248</v>
      </c>
      <c r="E318" s="1285"/>
      <c r="F318" s="1285"/>
      <c r="I318" s="491"/>
    </row>
    <row r="319" spans="1:9" ht="14.25">
      <c r="A319" s="485"/>
      <c r="B319" s="485"/>
      <c r="D319" s="1285"/>
      <c r="E319" s="1285"/>
      <c r="F319" s="1285"/>
      <c r="I319" s="491"/>
    </row>
    <row r="320" spans="1:9" ht="14.25">
      <c r="A320" s="485"/>
      <c r="B320" s="485"/>
      <c r="D320" s="1285"/>
      <c r="E320" s="1285"/>
      <c r="F320" s="1285"/>
      <c r="I320" s="491"/>
    </row>
    <row r="321" spans="1:9" ht="14.25">
      <c r="A321" s="485"/>
      <c r="B321" s="485"/>
      <c r="D321" s="1285"/>
      <c r="E321" s="1285"/>
      <c r="F321" s="1285"/>
      <c r="I321" s="491"/>
    </row>
    <row r="322" spans="1:9" ht="14.25">
      <c r="A322" s="485"/>
      <c r="B322" s="485"/>
      <c r="D322" s="1285"/>
      <c r="E322" s="1285"/>
      <c r="F322" s="1285"/>
      <c r="I322" s="491"/>
    </row>
    <row r="323" spans="1:9" ht="14.25">
      <c r="A323" s="485"/>
      <c r="B323" s="485"/>
      <c r="D323" s="1285"/>
      <c r="E323" s="1285"/>
      <c r="F323" s="1285"/>
      <c r="I323" s="491"/>
    </row>
    <row r="324" spans="1:9" ht="14.25">
      <c r="A324" s="485"/>
      <c r="B324" s="485"/>
      <c r="D324" s="1285"/>
      <c r="E324" s="1285"/>
      <c r="F324" s="1285"/>
      <c r="I324" s="491"/>
    </row>
    <row r="325" spans="1:9" ht="14.25">
      <c r="A325" s="485"/>
      <c r="B325" s="485"/>
      <c r="D325" s="1285"/>
      <c r="E325" s="1285"/>
      <c r="F325" s="1285"/>
      <c r="I325" s="491"/>
    </row>
    <row r="326" spans="1:9" ht="14.25">
      <c r="A326" s="485"/>
      <c r="B326" s="485"/>
      <c r="D326" s="1285"/>
      <c r="E326" s="1285"/>
      <c r="F326" s="1285"/>
      <c r="I326" s="491"/>
    </row>
    <row r="327" spans="1:9" ht="14.25">
      <c r="A327" s="485"/>
      <c r="B327" s="485"/>
      <c r="D327" s="1285"/>
      <c r="E327" s="1285"/>
      <c r="F327" s="1285"/>
      <c r="I327" s="491"/>
    </row>
    <row r="328" spans="1:9" ht="14.25">
      <c r="A328" s="485"/>
      <c r="B328" s="485"/>
      <c r="D328" s="1285"/>
      <c r="E328" s="1285"/>
      <c r="F328" s="1285"/>
      <c r="I328" s="491"/>
    </row>
    <row r="329" spans="1:9" ht="14.25">
      <c r="A329" s="485"/>
      <c r="B329" s="485"/>
      <c r="D329" s="1285"/>
      <c r="E329" s="1285"/>
      <c r="F329" s="1285"/>
      <c r="I329" s="491"/>
    </row>
    <row r="330" spans="1:9" ht="14.25">
      <c r="A330" s="485"/>
      <c r="B330" s="485"/>
      <c r="D330" s="1285"/>
      <c r="E330" s="1285"/>
      <c r="F330" s="1285"/>
      <c r="I330" s="491"/>
    </row>
    <row r="331" spans="1:9" ht="14.25">
      <c r="A331" s="485"/>
      <c r="B331" s="485"/>
      <c r="D331" s="1285"/>
      <c r="E331" s="1285"/>
      <c r="F331" s="1285"/>
      <c r="I331" s="491"/>
    </row>
    <row r="332" spans="1:9" ht="14.25">
      <c r="A332" s="485"/>
      <c r="B332" s="485"/>
      <c r="D332" s="1285"/>
      <c r="E332" s="1285"/>
      <c r="F332" s="1285"/>
      <c r="I332" s="491"/>
    </row>
    <row r="333" spans="1:9">
      <c r="D333" s="447"/>
      <c r="E333" s="447"/>
      <c r="F333" s="447"/>
      <c r="I333" s="491"/>
    </row>
    <row r="334" spans="1:9" ht="14.25">
      <c r="A334" s="485"/>
      <c r="B334" s="486" t="s">
        <v>2670</v>
      </c>
      <c r="D334" s="1285" t="s">
        <v>1132</v>
      </c>
      <c r="E334" s="1285"/>
      <c r="F334" s="1285"/>
      <c r="I334" s="491"/>
    </row>
    <row r="335" spans="1:9">
      <c r="D335" s="1285"/>
      <c r="E335" s="1285"/>
      <c r="F335" s="1285"/>
      <c r="I335" s="491"/>
    </row>
    <row r="336" spans="1:9">
      <c r="D336" s="1285"/>
      <c r="E336" s="1285"/>
      <c r="F336" s="1285"/>
      <c r="I336" s="491"/>
    </row>
    <row r="337" spans="1:9">
      <c r="D337" s="1285"/>
      <c r="E337" s="1285"/>
      <c r="F337" s="1285"/>
      <c r="I337" s="491"/>
    </row>
    <row r="338" spans="1:9">
      <c r="D338" s="1285"/>
      <c r="E338" s="1285"/>
      <c r="F338" s="1285"/>
      <c r="I338" s="491"/>
    </row>
    <row r="339" spans="1:9">
      <c r="D339" s="1285"/>
      <c r="E339" s="1285"/>
      <c r="F339" s="1285"/>
      <c r="I339" s="491"/>
    </row>
    <row r="340" spans="1:9">
      <c r="D340" s="1285"/>
      <c r="E340" s="1285"/>
      <c r="F340" s="1285"/>
      <c r="I340" s="491"/>
    </row>
    <row r="341" spans="1:9">
      <c r="D341" s="1285"/>
      <c r="E341" s="1285"/>
      <c r="F341" s="1285"/>
      <c r="I341" s="491"/>
    </row>
    <row r="342" spans="1:9">
      <c r="D342" s="1285"/>
      <c r="E342" s="1285"/>
      <c r="F342" s="1285"/>
      <c r="I342" s="491"/>
    </row>
    <row r="343" spans="1:9">
      <c r="D343" s="447"/>
      <c r="E343" s="447"/>
      <c r="F343" s="447"/>
      <c r="I343" s="491"/>
    </row>
    <row r="344" spans="1:9" ht="14.25" customHeight="1">
      <c r="A344" s="485"/>
      <c r="B344" s="486" t="s">
        <v>2669</v>
      </c>
      <c r="D344" s="1285" t="s">
        <v>1903</v>
      </c>
      <c r="E344" s="1285"/>
      <c r="F344" s="1285"/>
      <c r="I344" s="491"/>
    </row>
    <row r="345" spans="1:9">
      <c r="D345" s="1285"/>
      <c r="E345" s="1285"/>
      <c r="F345" s="1285"/>
      <c r="I345" s="491"/>
    </row>
    <row r="346" spans="1:9">
      <c r="D346" s="1285"/>
      <c r="E346" s="1285"/>
      <c r="F346" s="1285"/>
      <c r="I346" s="491"/>
    </row>
    <row r="347" spans="1:9">
      <c r="D347" s="1285"/>
      <c r="E347" s="1285"/>
      <c r="F347" s="1285"/>
      <c r="I347" s="491"/>
    </row>
    <row r="348" spans="1:9">
      <c r="D348" s="387" t="s">
        <v>1902</v>
      </c>
      <c r="E348" s="386"/>
      <c r="F348" s="386"/>
      <c r="I348" s="491"/>
    </row>
    <row r="349" spans="1:9">
      <c r="D349" s="386"/>
      <c r="E349" s="96" t="s">
        <v>1899</v>
      </c>
      <c r="G349" s="96"/>
      <c r="I349" s="491"/>
    </row>
    <row r="350" spans="1:9">
      <c r="D350" s="446"/>
      <c r="E350" s="446"/>
      <c r="F350" s="446"/>
      <c r="I350" s="491"/>
    </row>
    <row r="351" spans="1:9" ht="13.5" thickBot="1">
      <c r="A351" s="1023"/>
      <c r="B351" s="1023"/>
      <c r="C351" s="1023"/>
      <c r="D351" s="1298" t="s">
        <v>979</v>
      </c>
      <c r="E351" s="1298"/>
      <c r="F351" s="1298"/>
      <c r="G351" s="1028"/>
      <c r="H351" s="1028"/>
      <c r="I351" s="1158"/>
    </row>
    <row r="352" spans="1:9" ht="13.5" thickTop="1">
      <c r="D352" s="1296" t="s">
        <v>2249</v>
      </c>
      <c r="E352" s="1296"/>
      <c r="F352" s="1296"/>
      <c r="I352" s="491"/>
    </row>
    <row r="353" spans="1:9">
      <c r="D353" s="447"/>
      <c r="E353" s="447"/>
      <c r="F353" s="447"/>
      <c r="I353" s="491"/>
    </row>
    <row r="354" spans="1:9">
      <c r="A354" s="477"/>
      <c r="B354" s="477"/>
      <c r="C354" s="477"/>
      <c r="D354" s="448"/>
      <c r="E354" s="448"/>
      <c r="F354" s="447"/>
      <c r="I354" s="491"/>
    </row>
    <row r="355" spans="1:9" ht="14.25">
      <c r="A355" s="485"/>
      <c r="B355" s="486" t="s">
        <v>2669</v>
      </c>
      <c r="C355" s="488"/>
      <c r="D355" s="1286" t="s">
        <v>1901</v>
      </c>
      <c r="E355" s="1286"/>
      <c r="F355" s="1286"/>
      <c r="I355" s="491"/>
    </row>
    <row r="356" spans="1:9" ht="12.75" customHeight="1">
      <c r="D356" s="1038"/>
      <c r="E356" s="96" t="s">
        <v>1900</v>
      </c>
      <c r="F356" s="1038"/>
      <c r="I356" s="491"/>
    </row>
    <row r="357" spans="1:9">
      <c r="D357" s="1285" t="s">
        <v>1239</v>
      </c>
      <c r="E357" s="1285"/>
      <c r="F357" s="1285"/>
      <c r="I357" s="491"/>
    </row>
    <row r="358" spans="1:9">
      <c r="D358" s="1285"/>
      <c r="E358" s="1285"/>
      <c r="F358" s="1285"/>
      <c r="I358" s="491"/>
    </row>
    <row r="359" spans="1:9">
      <c r="D359" s="1285"/>
      <c r="E359" s="1285"/>
      <c r="F359" s="1285"/>
      <c r="I359" s="491"/>
    </row>
    <row r="360" spans="1:9" ht="14.25">
      <c r="A360" s="485"/>
      <c r="B360" s="486" t="s">
        <v>2669</v>
      </c>
      <c r="C360" s="477"/>
      <c r="D360" s="1297" t="s">
        <v>2058</v>
      </c>
      <c r="E360" s="1297"/>
      <c r="F360" s="1297"/>
      <c r="I360" s="481"/>
    </row>
    <row r="361" spans="1:9">
      <c r="A361" s="477"/>
      <c r="B361" s="477"/>
      <c r="C361" s="477"/>
      <c r="D361" s="448"/>
      <c r="E361" s="448"/>
      <c r="F361" s="447"/>
      <c r="I361" s="491"/>
    </row>
    <row r="362" spans="1:9">
      <c r="A362" s="477"/>
      <c r="B362" s="486" t="s">
        <v>2670</v>
      </c>
      <c r="C362" s="477"/>
      <c r="D362" s="1265" t="s">
        <v>2059</v>
      </c>
      <c r="E362" s="1265"/>
      <c r="F362" s="1265"/>
      <c r="I362" s="491"/>
    </row>
    <row r="363" spans="1:9">
      <c r="A363" s="477"/>
      <c r="B363" s="477"/>
      <c r="C363" s="477"/>
      <c r="D363" s="1265"/>
      <c r="E363" s="1265"/>
      <c r="F363" s="1265"/>
      <c r="I363" s="491"/>
    </row>
    <row r="364" spans="1:9">
      <c r="A364" s="477"/>
      <c r="B364" s="477"/>
      <c r="C364" s="477"/>
      <c r="D364" s="1265"/>
      <c r="E364" s="1265"/>
      <c r="F364" s="1265"/>
      <c r="I364" s="491"/>
    </row>
    <row r="365" spans="1:9">
      <c r="A365" s="477"/>
      <c r="B365" s="477"/>
      <c r="C365" s="477"/>
      <c r="D365" s="1265"/>
      <c r="E365" s="1265"/>
      <c r="F365" s="1265"/>
      <c r="I365" s="491"/>
    </row>
    <row r="366" spans="1:9">
      <c r="A366" s="477"/>
      <c r="B366" s="477"/>
      <c r="C366" s="477"/>
      <c r="D366" s="1265"/>
      <c r="E366" s="1265"/>
      <c r="F366" s="1265"/>
      <c r="I366" s="491"/>
    </row>
    <row r="367" spans="1:9">
      <c r="A367" s="477"/>
      <c r="B367" s="477"/>
      <c r="C367" s="477"/>
      <c r="D367" s="1265"/>
      <c r="E367" s="1265"/>
      <c r="F367" s="1265"/>
      <c r="I367" s="491"/>
    </row>
    <row r="368" spans="1:9">
      <c r="A368" s="477"/>
      <c r="B368" s="477"/>
      <c r="C368" s="477"/>
      <c r="D368" s="1265"/>
      <c r="E368" s="1265"/>
      <c r="F368" s="1265"/>
      <c r="I368" s="491"/>
    </row>
    <row r="369" spans="1:9">
      <c r="A369" s="477"/>
      <c r="B369" s="477"/>
      <c r="C369" s="477"/>
      <c r="D369" s="1265"/>
      <c r="E369" s="1265"/>
      <c r="F369" s="1265"/>
      <c r="I369" s="491"/>
    </row>
    <row r="370" spans="1:9">
      <c r="A370" s="477"/>
      <c r="B370" s="477"/>
      <c r="C370" s="477"/>
      <c r="D370" s="1265"/>
      <c r="E370" s="1265"/>
      <c r="F370" s="1265"/>
      <c r="I370" s="491"/>
    </row>
    <row r="371" spans="1:9">
      <c r="A371" s="477"/>
      <c r="B371" s="477"/>
      <c r="C371" s="477"/>
      <c r="D371" s="1265"/>
      <c r="E371" s="1265"/>
      <c r="F371" s="1265"/>
      <c r="I371" s="491"/>
    </row>
    <row r="372" spans="1:9">
      <c r="A372" s="477"/>
      <c r="B372" s="477"/>
      <c r="C372" s="477"/>
      <c r="D372" s="1265"/>
      <c r="E372" s="1265"/>
      <c r="F372" s="1265"/>
      <c r="I372" s="491"/>
    </row>
    <row r="373" spans="1:9">
      <c r="A373" s="477"/>
      <c r="B373" s="477"/>
      <c r="C373" s="477"/>
      <c r="D373" s="1265"/>
      <c r="E373" s="1265"/>
      <c r="F373" s="1265"/>
      <c r="I373" s="491"/>
    </row>
    <row r="374" spans="1:9">
      <c r="A374" s="477"/>
      <c r="B374" s="477"/>
      <c r="C374" s="477"/>
      <c r="D374" s="452"/>
      <c r="E374" s="452"/>
      <c r="F374" s="452"/>
      <c r="I374" s="491"/>
    </row>
    <row r="375" spans="1:9" ht="12.6" customHeight="1">
      <c r="A375" s="477"/>
      <c r="B375" s="486" t="s">
        <v>2669</v>
      </c>
      <c r="C375" s="477"/>
      <c r="D375" s="1282" t="s">
        <v>1221</v>
      </c>
      <c r="E375" s="1282"/>
      <c r="F375" s="1282"/>
      <c r="I375" s="491"/>
    </row>
    <row r="376" spans="1:9">
      <c r="A376" s="477"/>
      <c r="B376" s="477"/>
      <c r="C376" s="477"/>
      <c r="D376" s="1282"/>
      <c r="E376" s="1282"/>
      <c r="F376" s="1282"/>
      <c r="I376" s="491"/>
    </row>
    <row r="377" spans="1:9">
      <c r="A377" s="477"/>
      <c r="B377" s="477"/>
      <c r="C377" s="477"/>
      <c r="D377" s="1282"/>
      <c r="E377" s="1282"/>
      <c r="F377" s="1282"/>
      <c r="I377" s="491"/>
    </row>
    <row r="378" spans="1:9">
      <c r="A378" s="477"/>
      <c r="B378" s="477"/>
      <c r="C378" s="477"/>
      <c r="D378" s="1282"/>
      <c r="E378" s="1282"/>
      <c r="F378" s="1282"/>
      <c r="I378" s="491"/>
    </row>
    <row r="379" spans="1:9">
      <c r="A379" s="477"/>
      <c r="B379" s="477"/>
      <c r="C379" s="477"/>
      <c r="D379" s="525"/>
      <c r="E379" s="525"/>
      <c r="F379" s="525"/>
      <c r="I379" s="491"/>
    </row>
    <row r="380" spans="1:9">
      <c r="A380" s="477"/>
      <c r="B380" s="486" t="s">
        <v>2670</v>
      </c>
      <c r="C380" s="477"/>
      <c r="D380" s="403" t="s">
        <v>1834</v>
      </c>
      <c r="E380" s="525"/>
      <c r="F380" s="525"/>
      <c r="I380" s="491"/>
    </row>
    <row r="381" spans="1:9">
      <c r="A381" s="477"/>
      <c r="B381" s="477"/>
      <c r="C381" s="477"/>
      <c r="D381" s="403" t="s">
        <v>1835</v>
      </c>
      <c r="E381" s="525"/>
      <c r="F381" s="525"/>
      <c r="I381" s="491"/>
    </row>
    <row r="382" spans="1:9">
      <c r="A382" s="477"/>
      <c r="B382" s="477"/>
      <c r="C382" s="477"/>
      <c r="D382" s="403" t="s">
        <v>1836</v>
      </c>
      <c r="E382" s="525"/>
      <c r="F382" s="525"/>
      <c r="I382" s="491"/>
    </row>
    <row r="383" spans="1:9">
      <c r="A383" s="477"/>
      <c r="B383" s="477"/>
      <c r="C383" s="477"/>
      <c r="D383" s="403" t="s">
        <v>1837</v>
      </c>
      <c r="E383" s="525"/>
      <c r="F383" s="525"/>
      <c r="I383" s="491"/>
    </row>
    <row r="384" spans="1:9">
      <c r="A384" s="477"/>
      <c r="B384" s="477"/>
      <c r="C384" s="477"/>
      <c r="D384" s="403" t="s">
        <v>1838</v>
      </c>
      <c r="E384" s="525"/>
      <c r="F384" s="525"/>
      <c r="I384" s="491"/>
    </row>
    <row r="385" spans="1:9">
      <c r="A385" s="477"/>
      <c r="B385" s="477"/>
      <c r="C385" s="477"/>
      <c r="D385" s="403" t="s">
        <v>1839</v>
      </c>
      <c r="E385" s="525"/>
      <c r="F385" s="525"/>
      <c r="I385" s="491"/>
    </row>
    <row r="386" spans="1:9">
      <c r="A386" s="477"/>
      <c r="B386" s="477"/>
      <c r="C386" s="477"/>
      <c r="E386" s="448"/>
      <c r="F386" s="447"/>
      <c r="I386" s="491"/>
    </row>
    <row r="387" spans="1:9" ht="14.25">
      <c r="A387" s="485"/>
      <c r="B387" s="486" t="s">
        <v>2670</v>
      </c>
      <c r="C387" s="477"/>
      <c r="D387" s="1265" t="s">
        <v>1133</v>
      </c>
      <c r="E387" s="1265"/>
      <c r="F387" s="1265"/>
      <c r="I387" s="491"/>
    </row>
    <row r="388" spans="1:9">
      <c r="A388" s="477"/>
      <c r="B388" s="477"/>
      <c r="C388" s="477"/>
      <c r="D388" s="1265"/>
      <c r="E388" s="1265"/>
      <c r="F388" s="1265"/>
      <c r="I388" s="491"/>
    </row>
    <row r="389" spans="1:9">
      <c r="A389" s="477"/>
      <c r="B389" s="477"/>
      <c r="C389" s="477"/>
      <c r="D389" s="1265"/>
      <c r="E389" s="1265"/>
      <c r="F389" s="1265"/>
      <c r="I389" s="491"/>
    </row>
    <row r="390" spans="1:9">
      <c r="A390" s="477"/>
      <c r="B390" s="477"/>
      <c r="C390" s="477"/>
      <c r="D390" s="1265"/>
      <c r="E390" s="1265"/>
      <c r="F390" s="1265"/>
      <c r="I390" s="491"/>
    </row>
    <row r="391" spans="1:9">
      <c r="A391" s="477"/>
      <c r="B391" s="477"/>
      <c r="C391" s="477"/>
      <c r="D391" s="448"/>
      <c r="E391" s="448"/>
      <c r="F391" s="447"/>
      <c r="I391" s="491"/>
    </row>
    <row r="392" spans="1:9">
      <c r="A392" s="477"/>
      <c r="B392" s="477"/>
      <c r="C392" s="477"/>
      <c r="D392" s="1265" t="s">
        <v>1134</v>
      </c>
      <c r="E392" s="1265"/>
      <c r="F392" s="1265"/>
      <c r="I392" s="491"/>
    </row>
    <row r="393" spans="1:9">
      <c r="A393" s="477"/>
      <c r="B393" s="477"/>
      <c r="C393" s="477"/>
      <c r="D393" s="1265"/>
      <c r="E393" s="1265"/>
      <c r="F393" s="1265"/>
      <c r="I393" s="491"/>
    </row>
    <row r="394" spans="1:9">
      <c r="A394" s="477"/>
      <c r="B394" s="477"/>
      <c r="C394" s="477"/>
      <c r="D394" s="1265"/>
      <c r="E394" s="1265"/>
      <c r="F394" s="1265"/>
      <c r="I394" s="491"/>
    </row>
    <row r="395" spans="1:9">
      <c r="A395" s="477"/>
      <c r="B395" s="477"/>
      <c r="C395" s="477"/>
      <c r="D395" s="1265"/>
      <c r="E395" s="1265"/>
      <c r="F395" s="1265"/>
      <c r="I395" s="491"/>
    </row>
    <row r="396" spans="1:9" ht="18" customHeight="1">
      <c r="A396" s="477"/>
      <c r="B396" s="477"/>
      <c r="C396" s="477"/>
      <c r="D396" s="1265"/>
      <c r="E396" s="1265"/>
      <c r="F396" s="1265"/>
      <c r="I396" s="491"/>
    </row>
    <row r="397" spans="1:9">
      <c r="A397" s="477"/>
      <c r="B397" s="477"/>
      <c r="C397" s="477"/>
      <c r="D397" s="1265"/>
      <c r="E397" s="1265"/>
      <c r="F397" s="1265"/>
      <c r="I397" s="491"/>
    </row>
    <row r="398" spans="1:9">
      <c r="A398" s="477"/>
      <c r="B398" s="477"/>
      <c r="C398" s="477"/>
      <c r="D398" s="1265"/>
      <c r="E398" s="1265"/>
      <c r="F398" s="1265"/>
      <c r="I398" s="491"/>
    </row>
    <row r="399" spans="1:9">
      <c r="A399" s="477"/>
      <c r="B399" s="477"/>
      <c r="C399" s="477"/>
      <c r="D399" s="1265"/>
      <c r="E399" s="1265"/>
      <c r="F399" s="1265"/>
      <c r="I399" s="491"/>
    </row>
    <row r="400" spans="1:9" ht="8.25" customHeight="1">
      <c r="A400" s="477"/>
      <c r="B400" s="477"/>
      <c r="C400" s="477"/>
      <c r="D400" s="1265"/>
      <c r="E400" s="1265"/>
      <c r="F400" s="1265"/>
      <c r="I400" s="491"/>
    </row>
    <row r="401" spans="1:9" ht="13.7" customHeight="1">
      <c r="A401" s="477"/>
      <c r="B401" s="477"/>
      <c r="C401" s="477"/>
      <c r="D401" s="1265" t="s">
        <v>1135</v>
      </c>
      <c r="E401" s="1265"/>
      <c r="F401" s="1265"/>
      <c r="I401" s="491"/>
    </row>
    <row r="402" spans="1:9">
      <c r="A402" s="477"/>
      <c r="B402" s="477"/>
      <c r="C402" s="477"/>
      <c r="D402" s="1265"/>
      <c r="E402" s="1265"/>
      <c r="F402" s="1265"/>
      <c r="I402" s="491"/>
    </row>
    <row r="403" spans="1:9">
      <c r="A403" s="477"/>
      <c r="B403" s="477"/>
      <c r="C403" s="477"/>
      <c r="D403" s="1265"/>
      <c r="E403" s="1265"/>
      <c r="F403" s="1265"/>
      <c r="I403" s="491"/>
    </row>
    <row r="404" spans="1:9">
      <c r="A404" s="477"/>
      <c r="B404" s="477"/>
      <c r="C404" s="477"/>
      <c r="D404" s="1265"/>
      <c r="E404" s="1265"/>
      <c r="F404" s="1265"/>
      <c r="I404" s="491"/>
    </row>
    <row r="405" spans="1:9">
      <c r="A405" s="477"/>
      <c r="B405" s="477"/>
      <c r="C405" s="477"/>
      <c r="D405" s="1265"/>
      <c r="E405" s="1265"/>
      <c r="F405" s="1265"/>
      <c r="I405" s="491"/>
    </row>
    <row r="406" spans="1:9">
      <c r="A406" s="477"/>
      <c r="B406" s="477"/>
      <c r="C406" s="477"/>
      <c r="D406" s="1265"/>
      <c r="E406" s="1265"/>
      <c r="F406" s="1265"/>
      <c r="I406" s="491"/>
    </row>
    <row r="407" spans="1:9">
      <c r="A407" s="477"/>
      <c r="B407" s="477"/>
      <c r="C407" s="477"/>
      <c r="D407" s="1265"/>
      <c r="E407" s="1265"/>
      <c r="F407" s="1265"/>
      <c r="I407" s="491"/>
    </row>
    <row r="408" spans="1:9">
      <c r="A408" s="477"/>
      <c r="B408" s="477"/>
      <c r="C408" s="477"/>
      <c r="D408" s="1265"/>
      <c r="E408" s="1265"/>
      <c r="F408" s="1265"/>
      <c r="I408" s="491"/>
    </row>
    <row r="409" spans="1:9">
      <c r="A409" s="477"/>
      <c r="B409" s="477"/>
      <c r="C409" s="477"/>
      <c r="D409" s="1265"/>
      <c r="E409" s="1265"/>
      <c r="F409" s="1265"/>
      <c r="I409" s="491"/>
    </row>
    <row r="410" spans="1:9">
      <c r="A410" s="477"/>
      <c r="B410" s="477"/>
      <c r="C410" s="477"/>
      <c r="D410" s="1265"/>
      <c r="E410" s="1265"/>
      <c r="F410" s="1265"/>
      <c r="I410" s="491"/>
    </row>
    <row r="411" spans="1:9">
      <c r="A411" s="477"/>
      <c r="B411" s="477"/>
      <c r="C411" s="477"/>
      <c r="D411" s="1265"/>
      <c r="E411" s="1265"/>
      <c r="F411" s="1265"/>
      <c r="I411" s="491"/>
    </row>
    <row r="412" spans="1:9">
      <c r="A412" s="477"/>
      <c r="B412" s="477"/>
      <c r="C412" s="477"/>
      <c r="D412" s="1265"/>
      <c r="E412" s="1265"/>
      <c r="F412" s="1265"/>
      <c r="I412" s="491"/>
    </row>
    <row r="413" spans="1:9">
      <c r="A413" s="477"/>
      <c r="B413" s="477"/>
      <c r="C413" s="497"/>
      <c r="D413" s="1265"/>
      <c r="E413" s="1265"/>
      <c r="F413" s="1265"/>
      <c r="I413" s="491"/>
    </row>
    <row r="414" spans="1:9">
      <c r="A414" s="477"/>
      <c r="B414" s="477"/>
      <c r="C414" s="497"/>
      <c r="D414" s="1265"/>
      <c r="E414" s="1265"/>
      <c r="F414" s="1265"/>
      <c r="I414" s="491"/>
    </row>
    <row r="415" spans="1:9">
      <c r="A415" s="477"/>
      <c r="B415" s="477"/>
      <c r="C415" s="477"/>
      <c r="D415" s="1265"/>
      <c r="E415" s="1265"/>
      <c r="F415" s="1265"/>
      <c r="I415" s="491"/>
    </row>
    <row r="416" spans="1:9">
      <c r="A416" s="477"/>
      <c r="B416" s="477"/>
      <c r="C416" s="497"/>
      <c r="D416" s="1265"/>
      <c r="E416" s="1265"/>
      <c r="F416" s="1265"/>
      <c r="I416" s="491"/>
    </row>
    <row r="417" spans="1:9">
      <c r="A417" s="477"/>
      <c r="B417" s="477"/>
      <c r="C417" s="497"/>
      <c r="D417" s="1265"/>
      <c r="E417" s="1265"/>
      <c r="F417" s="1265"/>
      <c r="I417" s="491"/>
    </row>
    <row r="418" spans="1:9">
      <c r="A418" s="477"/>
      <c r="B418" s="477"/>
      <c r="C418" s="497"/>
      <c r="D418" s="1265"/>
      <c r="E418" s="1265"/>
      <c r="F418" s="1265"/>
      <c r="I418" s="491"/>
    </row>
    <row r="419" spans="1:9">
      <c r="A419" s="477"/>
      <c r="B419" s="477"/>
      <c r="C419" s="477"/>
      <c r="D419" s="448"/>
      <c r="E419" s="448"/>
      <c r="F419" s="447"/>
      <c r="I419" s="491"/>
    </row>
    <row r="420" spans="1:9">
      <c r="A420" s="477"/>
      <c r="B420" s="486" t="s">
        <v>2669</v>
      </c>
      <c r="C420" s="477"/>
      <c r="D420" s="1265" t="s">
        <v>1136</v>
      </c>
      <c r="E420" s="1265"/>
      <c r="F420" s="1265"/>
      <c r="I420" s="491"/>
    </row>
    <row r="421" spans="1:9">
      <c r="A421" s="477"/>
      <c r="B421" s="477"/>
      <c r="C421" s="477"/>
      <c r="D421" s="1265"/>
      <c r="E421" s="1265"/>
      <c r="F421" s="1265"/>
      <c r="I421" s="491"/>
    </row>
    <row r="422" spans="1:9">
      <c r="A422" s="477"/>
      <c r="B422" s="477"/>
      <c r="C422" s="477"/>
      <c r="D422" s="452"/>
      <c r="E422" s="452"/>
      <c r="F422" s="452"/>
      <c r="I422" s="491"/>
    </row>
    <row r="423" spans="1:9" ht="14.45" customHeight="1">
      <c r="A423" s="485"/>
      <c r="B423" s="486" t="s">
        <v>307</v>
      </c>
      <c r="D423" s="1265" t="s">
        <v>1882</v>
      </c>
      <c r="E423" s="1265"/>
      <c r="F423" s="1265"/>
      <c r="I423" s="491"/>
    </row>
    <row r="424" spans="1:9" ht="14.45" customHeight="1">
      <c r="A424" s="485"/>
      <c r="D424" s="1265"/>
      <c r="E424" s="1265"/>
      <c r="F424" s="1265"/>
      <c r="I424" s="491"/>
    </row>
    <row r="425" spans="1:9" ht="14.45" customHeight="1">
      <c r="A425" s="485"/>
      <c r="D425" s="1265"/>
      <c r="E425" s="1265"/>
      <c r="F425" s="1265"/>
      <c r="I425" s="491"/>
    </row>
    <row r="426" spans="1:9" ht="14.45" customHeight="1">
      <c r="A426" s="485"/>
      <c r="D426" s="1265"/>
      <c r="E426" s="1265"/>
      <c r="F426" s="1265"/>
      <c r="I426" s="491"/>
    </row>
    <row r="427" spans="1:9" ht="14.45" customHeight="1">
      <c r="A427" s="485"/>
      <c r="D427" s="1265"/>
      <c r="E427" s="1265"/>
      <c r="F427" s="1265"/>
      <c r="I427" s="491"/>
    </row>
    <row r="428" spans="1:9" ht="14.45" customHeight="1">
      <c r="A428" s="485"/>
      <c r="D428" s="386"/>
      <c r="E428" s="386"/>
      <c r="F428" s="386"/>
      <c r="I428" s="491"/>
    </row>
    <row r="429" spans="1:9" ht="13.7" customHeight="1">
      <c r="A429" s="485"/>
      <c r="B429" s="486" t="s">
        <v>2669</v>
      </c>
      <c r="C429" s="477"/>
      <c r="D429" s="1265" t="s">
        <v>1240</v>
      </c>
      <c r="E429" s="1265"/>
      <c r="F429" s="1265"/>
      <c r="I429" s="491"/>
    </row>
    <row r="430" spans="1:9" ht="14.25">
      <c r="A430" s="498"/>
      <c r="B430" s="498"/>
      <c r="C430" s="477"/>
      <c r="D430" s="1265"/>
      <c r="E430" s="1265"/>
      <c r="F430" s="1265"/>
      <c r="I430" s="491"/>
    </row>
    <row r="431" spans="1:9" ht="14.25">
      <c r="A431" s="498"/>
      <c r="B431" s="498"/>
      <c r="C431" s="477"/>
      <c r="D431" s="1265"/>
      <c r="E431" s="1265"/>
      <c r="F431" s="1265"/>
      <c r="I431" s="491"/>
    </row>
    <row r="432" spans="1:9" ht="14.25">
      <c r="A432" s="498"/>
      <c r="B432" s="498"/>
      <c r="C432" s="477"/>
      <c r="D432" s="1265"/>
      <c r="E432" s="1265"/>
      <c r="F432" s="1265"/>
      <c r="I432" s="491"/>
    </row>
    <row r="433" spans="1:9" ht="15.75" customHeight="1">
      <c r="A433" s="498"/>
      <c r="B433" s="498"/>
      <c r="C433" s="477"/>
      <c r="D433" s="1299" t="s">
        <v>2075</v>
      </c>
      <c r="E433" s="1265"/>
      <c r="F433" s="1265"/>
      <c r="I433" s="491"/>
    </row>
    <row r="434" spans="1:9">
      <c r="D434" s="447"/>
      <c r="E434" s="447"/>
      <c r="F434" s="447"/>
      <c r="I434" s="491"/>
    </row>
    <row r="435" spans="1:9" ht="14.25">
      <c r="A435" s="485"/>
      <c r="B435" s="486" t="s">
        <v>2670</v>
      </c>
      <c r="C435" s="488"/>
      <c r="D435" s="1285" t="s">
        <v>2060</v>
      </c>
      <c r="E435" s="1285"/>
      <c r="F435" s="1285"/>
      <c r="I435" s="491"/>
    </row>
    <row r="436" spans="1:9" ht="14.25">
      <c r="A436" s="485"/>
      <c r="B436" s="485"/>
      <c r="D436" s="1285"/>
      <c r="E436" s="1285"/>
      <c r="F436" s="1285"/>
      <c r="I436" s="491"/>
    </row>
    <row r="437" spans="1:9">
      <c r="D437" s="1285"/>
      <c r="E437" s="1285"/>
      <c r="F437" s="1285"/>
      <c r="I437" s="491"/>
    </row>
    <row r="438" spans="1:9">
      <c r="D438" s="1285"/>
      <c r="E438" s="1285"/>
      <c r="F438" s="1285"/>
      <c r="I438" s="491"/>
    </row>
    <row r="439" spans="1:9">
      <c r="D439" s="1285"/>
      <c r="E439" s="1285"/>
      <c r="F439" s="1285"/>
      <c r="I439" s="491"/>
    </row>
    <row r="440" spans="1:9">
      <c r="D440" s="1285"/>
      <c r="E440" s="1285"/>
      <c r="F440" s="1285"/>
      <c r="I440" s="491"/>
    </row>
    <row r="441" spans="1:9">
      <c r="D441" s="1285"/>
      <c r="E441" s="1285"/>
      <c r="F441" s="1285"/>
      <c r="I441" s="491"/>
    </row>
    <row r="442" spans="1:9">
      <c r="D442" s="1285"/>
      <c r="E442" s="1285"/>
      <c r="F442" s="1285"/>
      <c r="I442" s="491"/>
    </row>
    <row r="443" spans="1:9">
      <c r="D443" s="1285"/>
      <c r="E443" s="1285"/>
      <c r="F443" s="1285"/>
      <c r="I443" s="491"/>
    </row>
    <row r="444" spans="1:9">
      <c r="D444" s="1285"/>
      <c r="E444" s="1285"/>
      <c r="F444" s="1285"/>
      <c r="I444" s="491"/>
    </row>
    <row r="445" spans="1:9">
      <c r="D445" s="1285"/>
      <c r="E445" s="1285"/>
      <c r="F445" s="1285"/>
      <c r="I445" s="491"/>
    </row>
    <row r="446" spans="1:9">
      <c r="D446" s="1285"/>
      <c r="E446" s="1285"/>
      <c r="F446" s="1285"/>
      <c r="I446" s="491"/>
    </row>
    <row r="447" spans="1:9">
      <c r="D447" s="1285"/>
      <c r="E447" s="1285"/>
      <c r="F447" s="1285"/>
      <c r="I447" s="491"/>
    </row>
    <row r="448" spans="1:9">
      <c r="A448" s="403"/>
      <c r="B448" s="403"/>
      <c r="C448" s="403"/>
      <c r="D448" s="1285"/>
      <c r="E448" s="1285"/>
      <c r="F448" s="1285"/>
      <c r="I448" s="491"/>
    </row>
    <row r="449" spans="1:9">
      <c r="A449" s="403"/>
      <c r="B449" s="403"/>
      <c r="C449" s="403"/>
      <c r="D449" s="1285"/>
      <c r="E449" s="1285"/>
      <c r="F449" s="1285"/>
      <c r="I449" s="491"/>
    </row>
    <row r="450" spans="1:9">
      <c r="A450" s="403"/>
      <c r="B450" s="403"/>
      <c r="C450" s="403"/>
      <c r="D450" s="1285"/>
      <c r="E450" s="1285"/>
      <c r="F450" s="1285"/>
      <c r="I450" s="491"/>
    </row>
    <row r="451" spans="1:9">
      <c r="A451" s="403"/>
      <c r="B451" s="403"/>
      <c r="C451" s="403"/>
      <c r="D451" s="1285"/>
      <c r="E451" s="1285"/>
      <c r="F451" s="1285"/>
      <c r="I451" s="491"/>
    </row>
    <row r="452" spans="1:9">
      <c r="A452" s="403"/>
      <c r="B452" s="403"/>
      <c r="C452" s="403"/>
      <c r="D452" s="1285"/>
      <c r="E452" s="1285"/>
      <c r="F452" s="1285"/>
      <c r="I452" s="491"/>
    </row>
    <row r="453" spans="1:9">
      <c r="A453" s="403"/>
      <c r="B453" s="403"/>
      <c r="C453" s="403"/>
      <c r="D453" s="1285"/>
      <c r="E453" s="1285"/>
      <c r="F453" s="1285"/>
      <c r="I453" s="491"/>
    </row>
    <row r="454" spans="1:9">
      <c r="A454" s="403"/>
      <c r="B454" s="403"/>
      <c r="C454" s="403"/>
      <c r="D454" s="1285"/>
      <c r="E454" s="1285"/>
      <c r="F454" s="1285"/>
      <c r="I454" s="491"/>
    </row>
    <row r="455" spans="1:9">
      <c r="A455" s="403"/>
      <c r="B455" s="403"/>
      <c r="C455" s="403"/>
      <c r="D455" s="1285"/>
      <c r="E455" s="1285"/>
      <c r="F455" s="1285"/>
      <c r="I455" s="491"/>
    </row>
    <row r="456" spans="1:9">
      <c r="A456" s="403"/>
      <c r="B456" s="403"/>
      <c r="C456" s="403"/>
      <c r="D456" s="1285"/>
      <c r="E456" s="1285"/>
      <c r="F456" s="1285"/>
      <c r="I456" s="491"/>
    </row>
    <row r="457" spans="1:9">
      <c r="A457" s="403"/>
      <c r="B457" s="403"/>
      <c r="C457" s="403"/>
      <c r="D457" s="1285"/>
      <c r="E457" s="1285"/>
      <c r="F457" s="1285"/>
      <c r="I457" s="491"/>
    </row>
    <row r="458" spans="1:9">
      <c r="A458" s="403"/>
      <c r="B458" s="403"/>
      <c r="C458" s="403"/>
      <c r="D458" s="1285"/>
      <c r="E458" s="1285"/>
      <c r="F458" s="1285"/>
      <c r="I458" s="491"/>
    </row>
    <row r="459" spans="1:9">
      <c r="A459" s="403"/>
      <c r="B459" s="403"/>
      <c r="C459" s="403"/>
      <c r="D459" s="1285"/>
      <c r="E459" s="1285"/>
      <c r="F459" s="1285"/>
      <c r="I459" s="491"/>
    </row>
    <row r="460" spans="1:9">
      <c r="A460" s="403"/>
      <c r="B460" s="403"/>
      <c r="C460" s="403"/>
      <c r="D460" s="1285"/>
      <c r="E460" s="1285"/>
      <c r="F460" s="1285"/>
      <c r="I460" s="491"/>
    </row>
    <row r="461" spans="1:9">
      <c r="A461" s="403"/>
      <c r="B461" s="403"/>
      <c r="C461" s="403"/>
      <c r="D461" s="1285"/>
      <c r="E461" s="1285"/>
      <c r="F461" s="1285"/>
      <c r="I461" s="491"/>
    </row>
    <row r="462" spans="1:9">
      <c r="A462" s="403"/>
      <c r="B462" s="403"/>
      <c r="C462" s="403"/>
      <c r="D462" s="1285"/>
      <c r="E462" s="1285"/>
      <c r="F462" s="1285"/>
      <c r="I462" s="491"/>
    </row>
    <row r="463" spans="1:9">
      <c r="A463" s="403"/>
      <c r="B463" s="403"/>
      <c r="C463" s="403"/>
      <c r="D463" s="1285"/>
      <c r="E463" s="1285"/>
      <c r="F463" s="1285"/>
      <c r="I463" s="491"/>
    </row>
    <row r="464" spans="1:9">
      <c r="D464" s="1285"/>
      <c r="E464" s="1285"/>
      <c r="F464" s="1285"/>
      <c r="I464" s="491"/>
    </row>
    <row r="465" spans="1:9" ht="40.700000000000003" customHeight="1">
      <c r="D465" s="1285"/>
      <c r="E465" s="1285"/>
      <c r="F465" s="1285"/>
      <c r="I465" s="491"/>
    </row>
    <row r="466" spans="1:9">
      <c r="D466" s="447"/>
      <c r="E466" s="447"/>
      <c r="F466" s="447"/>
      <c r="I466" s="491"/>
    </row>
    <row r="467" spans="1:9" ht="14.25">
      <c r="A467" s="485"/>
      <c r="B467" s="486" t="s">
        <v>2670</v>
      </c>
      <c r="C467" s="488"/>
      <c r="D467" s="1285" t="s">
        <v>1137</v>
      </c>
      <c r="E467" s="1285"/>
      <c r="F467" s="1285"/>
      <c r="I467" s="491"/>
    </row>
    <row r="468" spans="1:9">
      <c r="D468" s="1285"/>
      <c r="E468" s="1285"/>
      <c r="F468" s="1285"/>
      <c r="I468" s="491"/>
    </row>
    <row r="469" spans="1:9">
      <c r="D469" s="1285"/>
      <c r="E469" s="1285"/>
      <c r="F469" s="1285"/>
      <c r="I469" s="491"/>
    </row>
    <row r="470" spans="1:9">
      <c r="D470" s="446"/>
      <c r="E470" s="446"/>
      <c r="F470" s="446"/>
      <c r="I470" s="491"/>
    </row>
    <row r="471" spans="1:9" ht="14.25">
      <c r="B471" s="486" t="s">
        <v>2669</v>
      </c>
      <c r="C471" s="485"/>
      <c r="D471" s="1285" t="s">
        <v>1197</v>
      </c>
      <c r="E471" s="1285"/>
      <c r="F471" s="1285"/>
      <c r="I471" s="491"/>
    </row>
    <row r="472" spans="1:9">
      <c r="D472" s="1285"/>
      <c r="E472" s="1285"/>
      <c r="F472" s="1285"/>
      <c r="I472" s="491"/>
    </row>
    <row r="473" spans="1:9">
      <c r="D473" s="447"/>
      <c r="E473" s="447"/>
      <c r="F473" s="447"/>
      <c r="I473" s="491"/>
    </row>
    <row r="474" spans="1:9" ht="14.25">
      <c r="B474" s="486" t="s">
        <v>2670</v>
      </c>
      <c r="C474" s="485"/>
      <c r="D474" s="1285" t="s">
        <v>1138</v>
      </c>
      <c r="E474" s="1285"/>
      <c r="F474" s="1285"/>
      <c r="I474" s="491"/>
    </row>
    <row r="475" spans="1:9">
      <c r="D475" s="1285"/>
      <c r="E475" s="1285"/>
      <c r="F475" s="1285"/>
      <c r="I475" s="491"/>
    </row>
    <row r="476" spans="1:9">
      <c r="D476" s="1285"/>
      <c r="E476" s="1285"/>
      <c r="F476" s="1285"/>
      <c r="I476" s="491"/>
    </row>
    <row r="477" spans="1:9">
      <c r="D477" s="1285"/>
      <c r="E477" s="1285"/>
      <c r="F477" s="1285"/>
      <c r="I477" s="491"/>
    </row>
    <row r="478" spans="1:9">
      <c r="B478" s="486" t="s">
        <v>2670</v>
      </c>
      <c r="D478" s="1285"/>
      <c r="E478" s="1285"/>
      <c r="F478" s="1285"/>
      <c r="I478" s="491"/>
    </row>
    <row r="479" spans="1:9">
      <c r="A479" s="403"/>
      <c r="B479" s="403"/>
      <c r="C479" s="403"/>
      <c r="D479" s="1285"/>
      <c r="E479" s="1285"/>
      <c r="F479" s="1285"/>
      <c r="I479" s="491"/>
    </row>
    <row r="480" spans="1:9">
      <c r="A480" s="403"/>
      <c r="C480" s="403"/>
      <c r="D480" s="1285"/>
      <c r="E480" s="1285"/>
      <c r="F480" s="1285"/>
      <c r="I480" s="491"/>
    </row>
    <row r="481" spans="1:9">
      <c r="A481" s="403"/>
      <c r="B481" s="486" t="s">
        <v>2670</v>
      </c>
      <c r="C481" s="403"/>
      <c r="D481" s="1285"/>
      <c r="E481" s="1285"/>
      <c r="F481" s="1285"/>
      <c r="I481" s="491"/>
    </row>
    <row r="482" spans="1:9">
      <c r="A482" s="403"/>
      <c r="B482" s="403"/>
      <c r="C482" s="403"/>
      <c r="D482" s="1285"/>
      <c r="E482" s="1285"/>
      <c r="F482" s="1285"/>
      <c r="I482" s="491"/>
    </row>
    <row r="483" spans="1:9">
      <c r="A483" s="403"/>
      <c r="C483" s="403"/>
      <c r="D483" s="1285"/>
      <c r="E483" s="1285"/>
      <c r="F483" s="1285"/>
      <c r="I483" s="491"/>
    </row>
    <row r="484" spans="1:9">
      <c r="A484" s="403"/>
      <c r="C484" s="403"/>
      <c r="D484" s="1285"/>
      <c r="E484" s="1285"/>
      <c r="F484" s="1285"/>
      <c r="I484" s="491"/>
    </row>
    <row r="485" spans="1:9">
      <c r="A485" s="403"/>
      <c r="C485" s="403"/>
      <c r="D485" s="1285"/>
      <c r="E485" s="1285"/>
      <c r="F485" s="1285"/>
      <c r="I485" s="491"/>
    </row>
    <row r="486" spans="1:9">
      <c r="A486" s="403"/>
      <c r="B486" s="486" t="s">
        <v>2670</v>
      </c>
      <c r="C486" s="403"/>
      <c r="D486" s="1285"/>
      <c r="E486" s="1285"/>
      <c r="F486" s="1285"/>
      <c r="I486" s="491"/>
    </row>
    <row r="487" spans="1:9">
      <c r="A487" s="403"/>
      <c r="C487" s="403"/>
      <c r="D487" s="1285"/>
      <c r="E487" s="1285"/>
      <c r="F487" s="1285"/>
      <c r="I487" s="491"/>
    </row>
    <row r="488" spans="1:9">
      <c r="A488" s="403"/>
      <c r="B488" s="486" t="s">
        <v>2670</v>
      </c>
      <c r="C488" s="403"/>
      <c r="D488" s="1285" t="s">
        <v>1139</v>
      </c>
      <c r="E488" s="1285"/>
      <c r="F488" s="1285"/>
      <c r="I488" s="491"/>
    </row>
    <row r="489" spans="1:9">
      <c r="A489" s="403"/>
      <c r="B489" s="403"/>
      <c r="C489" s="403"/>
      <c r="D489" s="1285"/>
      <c r="E489" s="1285"/>
      <c r="F489" s="1285"/>
      <c r="I489" s="491"/>
    </row>
    <row r="490" spans="1:9">
      <c r="A490" s="403"/>
      <c r="B490" s="403"/>
      <c r="C490" s="403"/>
      <c r="D490" s="1285"/>
      <c r="E490" s="1285"/>
      <c r="F490" s="1285"/>
      <c r="I490" s="491"/>
    </row>
    <row r="491" spans="1:9">
      <c r="A491" s="403"/>
      <c r="B491" s="403"/>
      <c r="C491" s="403"/>
      <c r="D491" s="1285"/>
      <c r="E491" s="1285"/>
      <c r="F491" s="1285"/>
      <c r="I491" s="491"/>
    </row>
    <row r="492" spans="1:9">
      <c r="D492" s="1285"/>
      <c r="E492" s="1285"/>
      <c r="F492" s="1285"/>
      <c r="I492" s="491"/>
    </row>
    <row r="493" spans="1:9">
      <c r="D493" s="447"/>
      <c r="E493" s="447"/>
      <c r="F493" s="447"/>
      <c r="I493" s="491"/>
    </row>
    <row r="494" spans="1:9">
      <c r="B494" s="486" t="s">
        <v>2670</v>
      </c>
      <c r="D494" s="1286" t="s">
        <v>1140</v>
      </c>
      <c r="E494" s="1286"/>
      <c r="F494" s="1286"/>
      <c r="I494" s="491"/>
    </row>
    <row r="495" spans="1:9">
      <c r="A495" s="447"/>
      <c r="B495" s="447"/>
      <c r="I495" s="491"/>
    </row>
    <row r="496" spans="1:9">
      <c r="A496" s="1288" t="s">
        <v>1050</v>
      </c>
      <c r="B496" s="1288"/>
      <c r="C496" s="1288"/>
      <c r="D496" s="1288"/>
      <c r="E496" s="1288"/>
      <c r="F496" s="1288"/>
      <c r="G496" s="1288"/>
      <c r="H496" s="1029"/>
      <c r="I496" s="1155"/>
    </row>
    <row r="497" spans="1:9">
      <c r="A497" s="447"/>
      <c r="B497" s="447"/>
      <c r="I497" s="491"/>
    </row>
    <row r="498" spans="1:9">
      <c r="D498" s="1301" t="s">
        <v>883</v>
      </c>
      <c r="E498" s="1301"/>
      <c r="F498" s="1301"/>
      <c r="I498" s="491"/>
    </row>
    <row r="499" spans="1:9" ht="14.25">
      <c r="A499" s="485"/>
      <c r="B499" s="485"/>
      <c r="D499" s="1297" t="s">
        <v>1141</v>
      </c>
      <c r="E499" s="1297"/>
      <c r="F499" s="1297"/>
      <c r="I499" s="491"/>
    </row>
    <row r="500" spans="1:9" ht="14.25">
      <c r="A500" s="485"/>
      <c r="B500" s="485"/>
      <c r="D500" s="448"/>
      <c r="I500" s="491"/>
    </row>
    <row r="501" spans="1:9" ht="14.25">
      <c r="A501" s="485"/>
      <c r="B501" s="486" t="s">
        <v>2669</v>
      </c>
      <c r="D501" s="1265" t="s">
        <v>1142</v>
      </c>
      <c r="E501" s="1265"/>
      <c r="F501" s="1265"/>
      <c r="I501" s="491"/>
    </row>
    <row r="502" spans="1:9" ht="14.25">
      <c r="A502" s="485"/>
      <c r="B502" s="485"/>
      <c r="D502" s="1265"/>
      <c r="E502" s="1265"/>
      <c r="F502" s="1265"/>
      <c r="I502" s="491"/>
    </row>
    <row r="503" spans="1:9" ht="14.25">
      <c r="A503" s="485"/>
      <c r="B503" s="485"/>
      <c r="D503" s="447"/>
      <c r="I503" s="491"/>
    </row>
    <row r="504" spans="1:9" ht="12.75" customHeight="1">
      <c r="B504" s="486" t="s">
        <v>2669</v>
      </c>
      <c r="D504" s="1289" t="s">
        <v>1273</v>
      </c>
      <c r="E504" s="1289"/>
      <c r="F504" s="1289"/>
      <c r="I504" s="491"/>
    </row>
    <row r="505" spans="1:9" ht="14.25">
      <c r="A505" s="485"/>
      <c r="D505" s="1289"/>
      <c r="E505" s="1289"/>
      <c r="F505" s="1289"/>
      <c r="I505" s="491"/>
    </row>
    <row r="506" spans="1:9" ht="14.25">
      <c r="A506" s="485"/>
      <c r="B506" s="485"/>
      <c r="D506" s="1289"/>
      <c r="E506" s="1289"/>
      <c r="F506" s="1289"/>
      <c r="I506" s="491"/>
    </row>
    <row r="507" spans="1:9" ht="14.25">
      <c r="A507" s="485"/>
      <c r="B507" s="485"/>
      <c r="D507" s="1289"/>
      <c r="E507" s="1289"/>
      <c r="F507" s="1289"/>
      <c r="I507" s="491"/>
    </row>
    <row r="508" spans="1:9" ht="14.25">
      <c r="A508" s="485"/>
      <c r="D508" s="521"/>
      <c r="E508" s="521"/>
      <c r="F508" s="521"/>
      <c r="I508" s="491"/>
    </row>
    <row r="509" spans="1:9" ht="14.25">
      <c r="A509" s="485"/>
      <c r="B509" s="486" t="s">
        <v>2669</v>
      </c>
      <c r="D509" s="1286" t="s">
        <v>1143</v>
      </c>
      <c r="E509" s="1286"/>
      <c r="F509" s="1286"/>
      <c r="I509" s="491"/>
    </row>
    <row r="510" spans="1:9" ht="14.25">
      <c r="A510" s="485"/>
      <c r="B510" s="485"/>
      <c r="D510" s="447"/>
      <c r="I510" s="491"/>
    </row>
    <row r="511" spans="1:9" ht="14.25">
      <c r="A511" s="485"/>
      <c r="B511" s="486" t="s">
        <v>2670</v>
      </c>
      <c r="D511" s="1285" t="s">
        <v>1144</v>
      </c>
      <c r="E511" s="1285"/>
      <c r="F511" s="1285"/>
      <c r="I511" s="491"/>
    </row>
    <row r="512" spans="1:9" ht="14.25">
      <c r="A512" s="485"/>
      <c r="D512" s="1285"/>
      <c r="E512" s="1285"/>
      <c r="F512" s="1285"/>
      <c r="I512" s="491"/>
    </row>
    <row r="513" spans="1:9">
      <c r="A513" s="491"/>
      <c r="B513" s="491"/>
      <c r="D513" s="448"/>
      <c r="I513" s="491"/>
    </row>
    <row r="514" spans="1:9">
      <c r="A514" s="491"/>
      <c r="B514" s="486" t="s">
        <v>2669</v>
      </c>
      <c r="D514" s="1286" t="s">
        <v>1145</v>
      </c>
      <c r="E514" s="1286"/>
      <c r="F514" s="1286"/>
      <c r="I514" s="491"/>
    </row>
    <row r="515" spans="1:9">
      <c r="D515" s="447"/>
      <c r="E515" s="447"/>
      <c r="F515" s="447"/>
      <c r="I515" s="491"/>
    </row>
    <row r="516" spans="1:9">
      <c r="B516" s="486" t="s">
        <v>2670</v>
      </c>
      <c r="D516" s="1285" t="s">
        <v>2283</v>
      </c>
      <c r="E516" s="1285"/>
      <c r="F516" s="1285"/>
      <c r="I516" s="491"/>
    </row>
    <row r="517" spans="1:9">
      <c r="D517" s="1285"/>
      <c r="E517" s="1285"/>
      <c r="F517" s="1285"/>
      <c r="I517" s="491"/>
    </row>
    <row r="518" spans="1:9">
      <c r="D518" s="1285"/>
      <c r="E518" s="1285"/>
      <c r="F518" s="1285"/>
      <c r="I518" s="491"/>
    </row>
    <row r="519" spans="1:9">
      <c r="D519" s="447"/>
      <c r="E519" s="447"/>
      <c r="F519" s="447"/>
      <c r="I519" s="491"/>
    </row>
    <row r="520" spans="1:9" ht="14.25">
      <c r="A520" s="485"/>
      <c r="B520" s="485"/>
      <c r="D520" s="447"/>
      <c r="I520" s="491"/>
    </row>
    <row r="521" spans="1:9">
      <c r="A521" s="1288" t="s">
        <v>1051</v>
      </c>
      <c r="B521" s="1288"/>
      <c r="C521" s="1288"/>
      <c r="D521" s="1288"/>
      <c r="E521" s="1288"/>
      <c r="F521" s="1288"/>
      <c r="G521" s="1288"/>
      <c r="H521" s="1029"/>
      <c r="I521" s="1155"/>
    </row>
    <row r="522" spans="1:9" ht="12" customHeight="1">
      <c r="A522" s="485"/>
      <c r="B522" s="485"/>
      <c r="D522" s="447"/>
      <c r="I522" s="491"/>
    </row>
    <row r="523" spans="1:9">
      <c r="C523" s="483"/>
      <c r="D523" s="1293" t="s">
        <v>793</v>
      </c>
      <c r="E523" s="1293"/>
      <c r="F523" s="1293"/>
      <c r="I523" s="491"/>
    </row>
    <row r="524" spans="1:9">
      <c r="C524" s="483"/>
      <c r="D524" s="507" t="s">
        <v>1199</v>
      </c>
      <c r="E524" s="507"/>
      <c r="F524" s="507"/>
      <c r="I524" s="491"/>
    </row>
    <row r="525" spans="1:9">
      <c r="C525" s="483"/>
      <c r="D525" s="507" t="s">
        <v>1200</v>
      </c>
      <c r="E525" s="507"/>
      <c r="F525" s="507"/>
      <c r="I525" s="491"/>
    </row>
    <row r="526" spans="1:9">
      <c r="C526" s="483"/>
      <c r="D526" s="482"/>
      <c r="E526" s="482"/>
      <c r="F526" s="482"/>
      <c r="I526" s="491"/>
    </row>
    <row r="527" spans="1:9" ht="13.7" customHeight="1">
      <c r="A527" s="484"/>
      <c r="B527" s="486" t="s">
        <v>2669</v>
      </c>
      <c r="C527" s="484"/>
      <c r="D527" s="1265" t="s">
        <v>2061</v>
      </c>
      <c r="E527" s="1265"/>
      <c r="F527" s="1265"/>
      <c r="I527" s="491"/>
    </row>
    <row r="528" spans="1:9">
      <c r="A528" s="484"/>
      <c r="B528" s="484"/>
      <c r="C528" s="484"/>
      <c r="D528" s="1265"/>
      <c r="E528" s="1265"/>
      <c r="F528" s="1265"/>
      <c r="I528" s="491"/>
    </row>
    <row r="529" spans="1:9">
      <c r="A529" s="484"/>
      <c r="B529" s="484"/>
      <c r="C529" s="484"/>
      <c r="D529" s="452"/>
      <c r="E529" s="452"/>
      <c r="F529" s="452"/>
      <c r="I529" s="481"/>
    </row>
    <row r="530" spans="1:9" ht="12.75" customHeight="1">
      <c r="A530" s="484"/>
      <c r="B530" s="486" t="s">
        <v>2669</v>
      </c>
      <c r="D530" s="387" t="s">
        <v>1904</v>
      </c>
      <c r="E530" s="386"/>
      <c r="F530" s="386"/>
      <c r="I530" s="491"/>
    </row>
    <row r="531" spans="1:9">
      <c r="A531" s="484"/>
      <c r="B531" s="484"/>
      <c r="C531" s="484"/>
      <c r="D531" s="386"/>
      <c r="E531" s="96" t="s">
        <v>1905</v>
      </c>
      <c r="I531" s="491"/>
    </row>
    <row r="532" spans="1:9">
      <c r="A532" s="484"/>
      <c r="B532" s="484"/>
      <c r="D532" s="1282" t="s">
        <v>2062</v>
      </c>
      <c r="E532" s="1282"/>
      <c r="F532" s="1282"/>
      <c r="I532" s="491"/>
    </row>
    <row r="533" spans="1:9">
      <c r="A533" s="484"/>
      <c r="B533" s="484"/>
      <c r="D533" s="1282"/>
      <c r="E533" s="1282"/>
      <c r="F533" s="1282"/>
      <c r="I533" s="491"/>
    </row>
    <row r="534" spans="1:9">
      <c r="A534" s="484"/>
      <c r="B534" s="484"/>
      <c r="C534" s="484"/>
      <c r="D534" s="1282"/>
      <c r="E534" s="1282"/>
      <c r="F534" s="1282"/>
      <c r="I534" s="491"/>
    </row>
    <row r="535" spans="1:9">
      <c r="A535" s="484"/>
      <c r="B535" s="484"/>
      <c r="C535" s="484"/>
      <c r="D535" s="499"/>
      <c r="F535" s="447"/>
      <c r="I535" s="491"/>
    </row>
    <row r="536" spans="1:9" ht="13.35" customHeight="1">
      <c r="A536" s="484"/>
      <c r="B536" s="486" t="s">
        <v>2670</v>
      </c>
      <c r="C536" s="484"/>
      <c r="D536" s="1285" t="s">
        <v>2063</v>
      </c>
      <c r="E536" s="1285"/>
      <c r="F536" s="1285"/>
      <c r="I536" s="491"/>
    </row>
    <row r="537" spans="1:9">
      <c r="A537" s="484"/>
      <c r="B537" s="484"/>
      <c r="C537" s="484"/>
      <c r="D537" s="1285"/>
      <c r="E537" s="1285"/>
      <c r="F537" s="1285"/>
      <c r="I537" s="491"/>
    </row>
    <row r="538" spans="1:9" ht="12" customHeight="1">
      <c r="A538" s="447"/>
      <c r="B538" s="447"/>
      <c r="C538" s="488"/>
      <c r="D538" s="447"/>
      <c r="F538" s="449"/>
      <c r="I538" s="491"/>
    </row>
    <row r="539" spans="1:9">
      <c r="A539" s="1288" t="s">
        <v>1052</v>
      </c>
      <c r="B539" s="1288"/>
      <c r="C539" s="1288"/>
      <c r="D539" s="1288"/>
      <c r="E539" s="1288"/>
      <c r="F539" s="1288"/>
      <c r="G539" s="1288"/>
      <c r="H539" s="1029"/>
      <c r="I539" s="1155"/>
    </row>
    <row r="540" spans="1:9">
      <c r="A540" s="447"/>
      <c r="B540" s="447"/>
      <c r="C540" s="488"/>
      <c r="F540" s="449"/>
      <c r="I540" s="491"/>
    </row>
    <row r="541" spans="1:9">
      <c r="B541" s="1291" t="s">
        <v>446</v>
      </c>
      <c r="C541" s="1291"/>
      <c r="D541" s="1291"/>
      <c r="E541" s="1291"/>
      <c r="F541" s="1291"/>
      <c r="I541" s="491"/>
    </row>
    <row r="542" spans="1:9">
      <c r="A542" s="447"/>
      <c r="B542" s="447"/>
      <c r="C542" s="488"/>
      <c r="D542" s="447"/>
      <c r="F542" s="447"/>
      <c r="I542" s="491"/>
    </row>
    <row r="543" spans="1:9">
      <c r="A543" s="1292" t="s">
        <v>1053</v>
      </c>
      <c r="B543" s="1292"/>
      <c r="C543" s="1292"/>
      <c r="D543" s="1292"/>
      <c r="E543" s="1292"/>
      <c r="F543" s="1292"/>
      <c r="G543" s="1292"/>
      <c r="H543" s="1029"/>
      <c r="I543" s="1155"/>
    </row>
    <row r="544" spans="1:9">
      <c r="A544" s="447"/>
      <c r="B544" s="447"/>
      <c r="C544" s="488"/>
      <c r="D544" s="447"/>
      <c r="F544" s="447"/>
      <c r="I544" s="491"/>
    </row>
    <row r="545" spans="1:9">
      <c r="C545" s="488"/>
      <c r="D545" s="1293" t="s">
        <v>683</v>
      </c>
      <c r="E545" s="1293"/>
      <c r="F545" s="1293"/>
      <c r="I545" s="491"/>
    </row>
    <row r="546" spans="1:9">
      <c r="C546" s="488"/>
      <c r="D546" s="1286" t="s">
        <v>1081</v>
      </c>
      <c r="E546" s="1286"/>
      <c r="F546" s="1286"/>
      <c r="I546" s="491"/>
    </row>
    <row r="547" spans="1:9">
      <c r="C547" s="488"/>
      <c r="D547" s="447"/>
      <c r="E547" s="447"/>
      <c r="F547" s="447"/>
      <c r="I547" s="491"/>
    </row>
    <row r="548" spans="1:9" ht="13.7" customHeight="1">
      <c r="A548" s="485"/>
      <c r="B548" s="486" t="s">
        <v>2669</v>
      </c>
      <c r="C548" s="488"/>
      <c r="D548" s="1286" t="s">
        <v>884</v>
      </c>
      <c r="E548" s="1286"/>
      <c r="F548" s="1286"/>
      <c r="I548" s="491"/>
    </row>
    <row r="549" spans="1:9" ht="13.7" customHeight="1">
      <c r="A549" s="488"/>
      <c r="B549" s="488"/>
      <c r="C549" s="488"/>
      <c r="D549" s="447"/>
      <c r="I549" s="491"/>
    </row>
    <row r="550" spans="1:9" ht="14.25">
      <c r="A550" s="485"/>
      <c r="B550" s="486" t="s">
        <v>2669</v>
      </c>
      <c r="C550" s="488"/>
      <c r="D550" s="1285" t="s">
        <v>1082</v>
      </c>
      <c r="E550" s="1285"/>
      <c r="F550" s="1285"/>
      <c r="I550" s="491"/>
    </row>
    <row r="551" spans="1:9">
      <c r="A551" s="488"/>
      <c r="B551" s="488"/>
      <c r="C551" s="488"/>
      <c r="D551" s="1285"/>
      <c r="E551" s="1285"/>
      <c r="F551" s="1285"/>
      <c r="I551" s="491"/>
    </row>
    <row r="552" spans="1:9">
      <c r="A552" s="488"/>
      <c r="B552" s="488"/>
      <c r="C552" s="488"/>
      <c r="D552" s="447"/>
      <c r="E552" s="447"/>
      <c r="F552" s="447"/>
      <c r="I552" s="491"/>
    </row>
    <row r="553" spans="1:9" ht="14.25">
      <c r="A553" s="485"/>
      <c r="B553" s="486" t="s">
        <v>2669</v>
      </c>
      <c r="C553" s="488"/>
      <c r="D553" s="1285" t="s">
        <v>1083</v>
      </c>
      <c r="E553" s="1285"/>
      <c r="F553" s="1285"/>
      <c r="I553" s="491"/>
    </row>
    <row r="554" spans="1:9">
      <c r="A554" s="488"/>
      <c r="B554" s="488"/>
      <c r="C554" s="488"/>
      <c r="D554" s="1285"/>
      <c r="E554" s="1285"/>
      <c r="F554" s="1285"/>
      <c r="I554" s="491"/>
    </row>
    <row r="555" spans="1:9">
      <c r="A555" s="488"/>
      <c r="B555" s="488"/>
      <c r="C555" s="488"/>
      <c r="D555" s="447"/>
      <c r="E555" s="447"/>
      <c r="F555" s="447"/>
      <c r="I555" s="491"/>
    </row>
    <row r="556" spans="1:9" ht="14.25">
      <c r="A556" s="485"/>
      <c r="B556" s="486" t="s">
        <v>2669</v>
      </c>
      <c r="C556" s="488"/>
      <c r="D556" s="1285" t="s">
        <v>1084</v>
      </c>
      <c r="E556" s="1285"/>
      <c r="F556" s="1285"/>
      <c r="I556" s="491"/>
    </row>
    <row r="557" spans="1:9">
      <c r="A557" s="488"/>
      <c r="B557" s="488"/>
      <c r="C557" s="488"/>
      <c r="D557" s="1285"/>
      <c r="E557" s="1285"/>
      <c r="F557" s="1285"/>
      <c r="I557" s="491"/>
    </row>
    <row r="558" spans="1:9">
      <c r="A558" s="488"/>
      <c r="B558" s="488"/>
      <c r="C558" s="488"/>
      <c r="D558" s="447"/>
      <c r="E558" s="447"/>
      <c r="F558" s="447"/>
      <c r="I558" s="491"/>
    </row>
    <row r="559" spans="1:9" ht="14.25">
      <c r="A559" s="485"/>
      <c r="B559" s="486" t="s">
        <v>2669</v>
      </c>
      <c r="C559" s="488"/>
      <c r="D559" s="1285" t="s">
        <v>1085</v>
      </c>
      <c r="E559" s="1285"/>
      <c r="F559" s="1285"/>
      <c r="I559" s="491"/>
    </row>
    <row r="560" spans="1:9">
      <c r="A560" s="488"/>
      <c r="B560" s="488"/>
      <c r="C560" s="488"/>
      <c r="D560" s="1285"/>
      <c r="E560" s="1285"/>
      <c r="F560" s="1285"/>
      <c r="I560" s="491"/>
    </row>
    <row r="561" spans="1:9">
      <c r="A561" s="488"/>
      <c r="B561" s="488"/>
      <c r="C561" s="488"/>
      <c r="D561" s="1285"/>
      <c r="E561" s="1285"/>
      <c r="F561" s="1285"/>
      <c r="I561" s="491"/>
    </row>
    <row r="562" spans="1:9">
      <c r="A562" s="488"/>
      <c r="B562" s="488"/>
      <c r="C562" s="488"/>
      <c r="D562" s="447"/>
      <c r="E562" s="447"/>
      <c r="F562" s="447"/>
      <c r="I562" s="491"/>
    </row>
    <row r="563" spans="1:9" ht="14.25">
      <c r="A563" s="485"/>
      <c r="B563" s="486" t="s">
        <v>2670</v>
      </c>
      <c r="C563" s="488"/>
      <c r="D563" s="1285" t="s">
        <v>2250</v>
      </c>
      <c r="E563" s="1285"/>
      <c r="F563" s="1285"/>
      <c r="I563" s="491"/>
    </row>
    <row r="564" spans="1:9">
      <c r="A564" s="488"/>
      <c r="B564" s="488"/>
      <c r="C564" s="488"/>
      <c r="D564" s="1285"/>
      <c r="E564" s="1285"/>
      <c r="F564" s="1285"/>
      <c r="I564" s="491"/>
    </row>
    <row r="565" spans="1:9">
      <c r="A565" s="488"/>
      <c r="B565" s="488"/>
      <c r="C565" s="488"/>
      <c r="D565" s="447"/>
      <c r="E565" s="447"/>
      <c r="F565" s="447"/>
      <c r="I565" s="491"/>
    </row>
    <row r="566" spans="1:9" ht="14.25">
      <c r="A566" s="485"/>
      <c r="B566" s="486" t="s">
        <v>2670</v>
      </c>
      <c r="C566" s="488"/>
      <c r="D566" s="1285" t="s">
        <v>1086</v>
      </c>
      <c r="E566" s="1285"/>
      <c r="F566" s="1285"/>
      <c r="I566" s="491"/>
    </row>
    <row r="567" spans="1:9">
      <c r="A567" s="488"/>
      <c r="B567" s="488"/>
      <c r="C567" s="488"/>
      <c r="D567" s="1285"/>
      <c r="E567" s="1285"/>
      <c r="F567" s="1285"/>
      <c r="I567" s="491"/>
    </row>
    <row r="568" spans="1:9">
      <c r="A568" s="488"/>
      <c r="B568" s="488"/>
      <c r="C568" s="488"/>
      <c r="D568" s="447"/>
      <c r="E568" s="447"/>
      <c r="F568" s="447"/>
      <c r="I568" s="491"/>
    </row>
    <row r="569" spans="1:9" ht="14.25">
      <c r="A569" s="485"/>
      <c r="B569" s="486" t="s">
        <v>2669</v>
      </c>
      <c r="C569" s="488"/>
      <c r="D569" s="1286" t="s">
        <v>1087</v>
      </c>
      <c r="E569" s="1286"/>
      <c r="F569" s="1286"/>
      <c r="I569" s="491"/>
    </row>
    <row r="570" spans="1:9">
      <c r="A570" s="491"/>
      <c r="B570" s="491"/>
      <c r="C570" s="488"/>
      <c r="D570" s="1286" t="s">
        <v>1907</v>
      </c>
      <c r="E570" s="1286"/>
      <c r="F570" s="1286"/>
      <c r="I570" s="491"/>
    </row>
    <row r="571" spans="1:9">
      <c r="A571" s="491"/>
      <c r="B571" s="491"/>
      <c r="C571" s="488"/>
      <c r="E571" s="96" t="s">
        <v>1906</v>
      </c>
      <c r="F571" s="405"/>
      <c r="I571" s="491"/>
    </row>
    <row r="572" spans="1:9" ht="14.25">
      <c r="A572" s="485"/>
      <c r="B572" s="485"/>
      <c r="C572" s="488"/>
      <c r="E572" s="447"/>
      <c r="F572" s="447"/>
      <c r="I572" s="491"/>
    </row>
    <row r="573" spans="1:9" ht="14.25">
      <c r="A573" s="485"/>
      <c r="B573" s="486" t="s">
        <v>2669</v>
      </c>
      <c r="C573" s="488"/>
      <c r="D573" s="1286" t="s">
        <v>1088</v>
      </c>
      <c r="E573" s="1286"/>
      <c r="F573" s="1286"/>
      <c r="I573" s="491"/>
    </row>
    <row r="574" spans="1:9">
      <c r="C574" s="488"/>
      <c r="D574" s="1285" t="s">
        <v>1089</v>
      </c>
      <c r="E574" s="1285"/>
      <c r="F574" s="1285"/>
      <c r="I574" s="491"/>
    </row>
    <row r="575" spans="1:9">
      <c r="A575" s="488"/>
      <c r="B575" s="488"/>
      <c r="C575" s="488"/>
      <c r="D575" s="1285"/>
      <c r="E575" s="1285"/>
      <c r="F575" s="1285"/>
      <c r="I575" s="491"/>
    </row>
    <row r="576" spans="1:9">
      <c r="A576" s="488"/>
      <c r="B576" s="488"/>
      <c r="C576" s="488"/>
      <c r="D576" s="1285"/>
      <c r="E576" s="1285"/>
      <c r="F576" s="1285"/>
      <c r="I576" s="491"/>
    </row>
    <row r="577" spans="1:9">
      <c r="A577" s="488"/>
      <c r="B577" s="488"/>
      <c r="C577" s="488"/>
      <c r="D577" s="447"/>
      <c r="E577" s="447"/>
      <c r="F577" s="447"/>
      <c r="I577" s="491"/>
    </row>
    <row r="578" spans="1:9" ht="14.25">
      <c r="A578" s="485"/>
      <c r="B578" s="486" t="s">
        <v>2669</v>
      </c>
      <c r="C578" s="488"/>
      <c r="D578" s="1285" t="s">
        <v>2064</v>
      </c>
      <c r="E578" s="1285"/>
      <c r="F578" s="1285"/>
      <c r="I578" s="491"/>
    </row>
    <row r="579" spans="1:9" ht="14.25">
      <c r="A579" s="485"/>
      <c r="B579" s="485"/>
      <c r="C579" s="488"/>
      <c r="D579" s="1285"/>
      <c r="E579" s="1285"/>
      <c r="F579" s="1285"/>
      <c r="I579" s="491"/>
    </row>
    <row r="580" spans="1:9" ht="14.25">
      <c r="A580" s="485"/>
      <c r="B580" s="485"/>
      <c r="C580" s="488"/>
      <c r="D580" s="1285"/>
      <c r="E580" s="1285"/>
      <c r="F580" s="1285"/>
      <c r="I580" s="491"/>
    </row>
    <row r="581" spans="1:9" ht="14.25">
      <c r="A581" s="485"/>
      <c r="B581" s="485"/>
      <c r="C581" s="488"/>
      <c r="D581" s="1285"/>
      <c r="E581" s="1285"/>
      <c r="F581" s="1285"/>
      <c r="I581" s="491"/>
    </row>
    <row r="582" spans="1:9" ht="14.25">
      <c r="A582" s="485"/>
      <c r="B582" s="485"/>
      <c r="C582" s="488"/>
      <c r="D582" s="447"/>
      <c r="E582" s="447"/>
      <c r="F582" s="447"/>
      <c r="I582" s="491"/>
    </row>
    <row r="583" spans="1:9">
      <c r="A583" s="1288" t="s">
        <v>1054</v>
      </c>
      <c r="B583" s="1288"/>
      <c r="C583" s="1288"/>
      <c r="D583" s="1288"/>
      <c r="E583" s="1288"/>
      <c r="F583" s="1288"/>
      <c r="G583" s="1288"/>
      <c r="H583" s="1029"/>
      <c r="I583" s="1155"/>
    </row>
    <row r="584" spans="1:9">
      <c r="A584" s="488"/>
      <c r="B584" s="488"/>
      <c r="C584" s="488"/>
      <c r="E584" s="447"/>
      <c r="F584" s="447"/>
      <c r="I584" s="491"/>
    </row>
    <row r="585" spans="1:9" ht="12.75" customHeight="1">
      <c r="C585" s="483"/>
      <c r="D585" s="1287" t="s">
        <v>210</v>
      </c>
      <c r="E585" s="1287"/>
      <c r="F585" s="1287"/>
      <c r="I585" s="491"/>
    </row>
    <row r="586" spans="1:9">
      <c r="A586" s="484"/>
      <c r="B586" s="484"/>
      <c r="C586" s="484"/>
      <c r="D586" s="1289" t="s">
        <v>1067</v>
      </c>
      <c r="E586" s="1289"/>
      <c r="F586" s="1289"/>
      <c r="I586" s="491"/>
    </row>
    <row r="587" spans="1:9">
      <c r="A587" s="403"/>
      <c r="B587" s="403"/>
      <c r="C587" s="484"/>
      <c r="D587" s="500"/>
      <c r="I587" s="491"/>
    </row>
    <row r="588" spans="1:9">
      <c r="A588" s="484"/>
      <c r="B588" s="486" t="s">
        <v>2669</v>
      </c>
      <c r="D588" s="1289" t="s">
        <v>888</v>
      </c>
      <c r="E588" s="1289"/>
      <c r="F588" s="1289"/>
      <c r="I588" s="491"/>
    </row>
    <row r="589" spans="1:9">
      <c r="A589" s="491"/>
      <c r="B589" s="491"/>
      <c r="D589" s="477"/>
      <c r="I589" s="491"/>
    </row>
    <row r="590" spans="1:9">
      <c r="A590" s="491"/>
      <c r="B590" s="486" t="s">
        <v>2669</v>
      </c>
      <c r="D590" s="1289" t="s">
        <v>2065</v>
      </c>
      <c r="E590" s="1289"/>
      <c r="F590" s="1289"/>
      <c r="I590" s="491"/>
    </row>
    <row r="591" spans="1:9">
      <c r="A591" s="491"/>
      <c r="B591" s="491"/>
      <c r="D591" s="1289"/>
      <c r="E591" s="1289"/>
      <c r="F591" s="1289"/>
      <c r="I591" s="491"/>
    </row>
    <row r="592" spans="1:9">
      <c r="A592" s="491"/>
      <c r="B592" s="491"/>
      <c r="D592" s="1289"/>
      <c r="E592" s="1289"/>
      <c r="F592" s="1289"/>
      <c r="I592" s="491"/>
    </row>
    <row r="593" spans="1:9">
      <c r="A593" s="491"/>
      <c r="B593" s="491"/>
      <c r="D593" s="1289"/>
      <c r="E593" s="1289"/>
      <c r="F593" s="1289"/>
      <c r="I593" s="491"/>
    </row>
    <row r="594" spans="1:9">
      <c r="A594" s="491"/>
      <c r="B594" s="486" t="s">
        <v>2670</v>
      </c>
      <c r="D594" s="1289" t="s">
        <v>1068</v>
      </c>
      <c r="E594" s="1289"/>
      <c r="F594" s="1289"/>
      <c r="I594" s="491"/>
    </row>
    <row r="595" spans="1:9">
      <c r="A595" s="491"/>
      <c r="B595" s="491"/>
      <c r="D595" s="1289"/>
      <c r="E595" s="1289"/>
      <c r="F595" s="1289"/>
      <c r="I595" s="491"/>
    </row>
    <row r="596" spans="1:9">
      <c r="A596" s="491"/>
      <c r="B596" s="491"/>
      <c r="D596" s="1289"/>
      <c r="E596" s="1289"/>
      <c r="F596" s="1289"/>
      <c r="I596" s="491"/>
    </row>
    <row r="597" spans="1:9">
      <c r="A597" s="491"/>
      <c r="B597" s="491"/>
      <c r="D597" s="1289"/>
      <c r="E597" s="1289"/>
      <c r="F597" s="1289"/>
      <c r="I597" s="491"/>
    </row>
    <row r="598" spans="1:9">
      <c r="A598" s="491"/>
      <c r="B598" s="491"/>
      <c r="D598" s="441"/>
      <c r="E598" s="441"/>
      <c r="F598" s="441"/>
      <c r="I598" s="491"/>
    </row>
    <row r="599" spans="1:9">
      <c r="A599" s="491"/>
      <c r="B599" s="486" t="s">
        <v>2669</v>
      </c>
      <c r="D599" s="1289" t="s">
        <v>2066</v>
      </c>
      <c r="E599" s="1289"/>
      <c r="F599" s="1289"/>
      <c r="I599" s="491"/>
    </row>
    <row r="600" spans="1:9">
      <c r="A600" s="491"/>
      <c r="B600" s="491"/>
      <c r="D600" s="1289"/>
      <c r="E600" s="1289"/>
      <c r="F600" s="1289"/>
      <c r="I600" s="491"/>
    </row>
    <row r="601" spans="1:9">
      <c r="A601" s="491"/>
      <c r="B601" s="491"/>
      <c r="D601" s="500"/>
      <c r="I601" s="491"/>
    </row>
    <row r="602" spans="1:9">
      <c r="A602" s="491"/>
      <c r="B602" s="486" t="s">
        <v>2670</v>
      </c>
      <c r="D602" s="1289" t="s">
        <v>1069</v>
      </c>
      <c r="E602" s="1289"/>
      <c r="F602" s="1289"/>
      <c r="I602" s="491"/>
    </row>
    <row r="603" spans="1:9">
      <c r="A603" s="491"/>
      <c r="B603" s="491"/>
      <c r="D603" s="1289"/>
      <c r="E603" s="1289"/>
      <c r="F603" s="1289"/>
      <c r="I603" s="491"/>
    </row>
    <row r="604" spans="1:9" ht="14.25">
      <c r="A604" s="485"/>
      <c r="B604" s="485"/>
      <c r="D604" s="500"/>
      <c r="I604" s="491"/>
    </row>
    <row r="605" spans="1:9">
      <c r="A605" s="1288" t="s">
        <v>1055</v>
      </c>
      <c r="B605" s="1288"/>
      <c r="C605" s="1288"/>
      <c r="D605" s="1288"/>
      <c r="E605" s="1288"/>
      <c r="F605" s="1288"/>
      <c r="G605" s="1288"/>
      <c r="H605" s="1029"/>
      <c r="I605" s="1155"/>
    </row>
    <row r="606" spans="1:9">
      <c r="I606" s="491"/>
    </row>
    <row r="607" spans="1:9">
      <c r="D607" s="1293" t="s">
        <v>1107</v>
      </c>
      <c r="E607" s="1293"/>
      <c r="F607" s="1293"/>
      <c r="I607" s="491"/>
    </row>
    <row r="608" spans="1:9">
      <c r="D608" s="1294" t="s">
        <v>1108</v>
      </c>
      <c r="E608" s="1294"/>
      <c r="F608" s="1294"/>
      <c r="I608" s="491"/>
    </row>
    <row r="609" spans="1:9">
      <c r="D609" s="445"/>
      <c r="I609" s="491"/>
    </row>
    <row r="610" spans="1:9" ht="14.25" customHeight="1">
      <c r="A610" s="485"/>
      <c r="B610" s="486" t="s">
        <v>2669</v>
      </c>
      <c r="D610" s="1314" t="s">
        <v>1908</v>
      </c>
      <c r="E610" s="1314"/>
      <c r="F610" s="1314"/>
      <c r="I610" s="491"/>
    </row>
    <row r="611" spans="1:9">
      <c r="D611" s="1314"/>
      <c r="E611" s="1314"/>
      <c r="F611" s="1314"/>
      <c r="I611" s="491"/>
    </row>
    <row r="612" spans="1:9">
      <c r="D612" s="386"/>
      <c r="E612" s="1037" t="s">
        <v>1909</v>
      </c>
      <c r="F612" s="386"/>
      <c r="I612" s="491"/>
    </row>
    <row r="613" spans="1:9">
      <c r="I613" s="491"/>
    </row>
    <row r="614" spans="1:9">
      <c r="A614" s="1288" t="s">
        <v>1056</v>
      </c>
      <c r="B614" s="1288"/>
      <c r="C614" s="1288"/>
      <c r="D614" s="1288"/>
      <c r="E614" s="1288"/>
      <c r="F614" s="1288"/>
      <c r="G614" s="1288"/>
      <c r="H614" s="1029"/>
      <c r="I614" s="1155"/>
    </row>
    <row r="615" spans="1:9">
      <c r="A615" s="447"/>
      <c r="B615" s="447"/>
      <c r="I615" s="491"/>
    </row>
    <row r="616" spans="1:9">
      <c r="A616" s="483"/>
      <c r="B616" s="483"/>
      <c r="C616" s="483"/>
      <c r="D616" s="1322" t="s">
        <v>1109</v>
      </c>
      <c r="E616" s="1322"/>
      <c r="F616" s="1322"/>
      <c r="I616" s="491"/>
    </row>
    <row r="617" spans="1:9">
      <c r="A617" s="483"/>
      <c r="B617" s="483"/>
      <c r="C617" s="483"/>
      <c r="D617" s="1322"/>
      <c r="E617" s="1322"/>
      <c r="F617" s="1322"/>
      <c r="I617" s="491"/>
    </row>
    <row r="618" spans="1:9">
      <c r="C618" s="484"/>
      <c r="D618" s="1294" t="s">
        <v>1110</v>
      </c>
      <c r="E618" s="1294"/>
      <c r="F618" s="1294"/>
      <c r="I618" s="491"/>
    </row>
    <row r="619" spans="1:9">
      <c r="C619" s="484"/>
      <c r="D619" s="445"/>
      <c r="E619" s="445"/>
      <c r="F619" s="445"/>
      <c r="I619" s="491"/>
    </row>
    <row r="620" spans="1:9" ht="12.75" customHeight="1">
      <c r="A620" s="491"/>
      <c r="B620" s="486" t="s">
        <v>2669</v>
      </c>
      <c r="D620" s="1310" t="s">
        <v>1111</v>
      </c>
      <c r="E620" s="1310"/>
      <c r="F620" s="1310"/>
      <c r="I620" s="491"/>
    </row>
    <row r="621" spans="1:9">
      <c r="D621" s="1310"/>
      <c r="E621" s="1310"/>
      <c r="F621" s="1310"/>
      <c r="I621" s="491"/>
    </row>
    <row r="622" spans="1:9">
      <c r="I622" s="491"/>
    </row>
    <row r="623" spans="1:9">
      <c r="B623" s="486" t="s">
        <v>2669</v>
      </c>
      <c r="D623" s="1310" t="s">
        <v>1112</v>
      </c>
      <c r="E623" s="1310"/>
      <c r="F623" s="1310"/>
      <c r="I623" s="491"/>
    </row>
    <row r="624" spans="1:9">
      <c r="C624" s="501"/>
      <c r="D624" s="1310"/>
      <c r="E624" s="1310"/>
      <c r="F624" s="1310"/>
      <c r="I624" s="491"/>
    </row>
    <row r="625" spans="1:9">
      <c r="C625" s="501"/>
      <c r="I625" s="491"/>
    </row>
    <row r="626" spans="1:9">
      <c r="B626" s="486" t="s">
        <v>2670</v>
      </c>
      <c r="C626" s="501"/>
      <c r="D626" s="1310" t="s">
        <v>1113</v>
      </c>
      <c r="E626" s="1310"/>
      <c r="F626" s="1310"/>
      <c r="I626" s="491"/>
    </row>
    <row r="627" spans="1:9">
      <c r="C627" s="501"/>
      <c r="D627" s="1310"/>
      <c r="E627" s="1310"/>
      <c r="F627" s="1310"/>
      <c r="I627" s="501"/>
    </row>
    <row r="628" spans="1:9">
      <c r="C628" s="501"/>
      <c r="I628" s="491"/>
    </row>
    <row r="629" spans="1:9">
      <c r="A629" s="1288" t="s">
        <v>1057</v>
      </c>
      <c r="B629" s="1288"/>
      <c r="C629" s="1288"/>
      <c r="D629" s="1288"/>
      <c r="E629" s="1288"/>
      <c r="F629" s="1288"/>
      <c r="G629" s="1288"/>
      <c r="H629" s="1029"/>
      <c r="I629" s="1155"/>
    </row>
    <row r="630" spans="1:9">
      <c r="A630" s="483"/>
      <c r="B630" s="483"/>
      <c r="C630" s="483"/>
      <c r="I630" s="491"/>
    </row>
    <row r="631" spans="1:9">
      <c r="C631" s="491"/>
      <c r="D631" s="1293" t="s">
        <v>1114</v>
      </c>
      <c r="E631" s="1293"/>
      <c r="F631" s="1293"/>
      <c r="I631" s="491"/>
    </row>
    <row r="632" spans="1:9">
      <c r="A632" s="491"/>
      <c r="B632" s="491"/>
      <c r="D632" s="405"/>
      <c r="I632" s="491"/>
    </row>
    <row r="633" spans="1:9" ht="14.25" customHeight="1">
      <c r="A633" s="485"/>
      <c r="B633" s="486" t="s">
        <v>2669</v>
      </c>
      <c r="D633" s="1314" t="s">
        <v>2067</v>
      </c>
      <c r="E633" s="1314"/>
      <c r="F633" s="1314"/>
      <c r="I633" s="491"/>
    </row>
    <row r="634" spans="1:9">
      <c r="D634" s="1314"/>
      <c r="E634" s="1314"/>
      <c r="F634" s="1314"/>
      <c r="I634" s="491"/>
    </row>
    <row r="635" spans="1:9">
      <c r="D635" s="386"/>
      <c r="E635" s="1037" t="s">
        <v>1911</v>
      </c>
      <c r="F635" s="386"/>
      <c r="I635" s="491"/>
    </row>
    <row r="636" spans="1:9">
      <c r="D636" s="1285" t="s">
        <v>1910</v>
      </c>
      <c r="E636" s="1285"/>
      <c r="F636" s="1285"/>
      <c r="I636" s="491"/>
    </row>
    <row r="637" spans="1:9">
      <c r="D637" s="1285"/>
      <c r="E637" s="1285"/>
      <c r="F637" s="1285"/>
      <c r="I637" s="491"/>
    </row>
    <row r="638" spans="1:9">
      <c r="D638" s="1285"/>
      <c r="E638" s="1285"/>
      <c r="F638" s="1285"/>
      <c r="I638" s="491"/>
    </row>
    <row r="639" spans="1:9">
      <c r="D639" s="446"/>
      <c r="E639" s="446"/>
      <c r="F639" s="446"/>
      <c r="I639" s="491"/>
    </row>
    <row r="640" spans="1:9" ht="14.25">
      <c r="A640" s="485"/>
      <c r="B640" s="486" t="s">
        <v>2670</v>
      </c>
      <c r="D640" s="1285" t="s">
        <v>1115</v>
      </c>
      <c r="E640" s="1285"/>
      <c r="F640" s="1285"/>
      <c r="I640" s="491"/>
    </row>
    <row r="641" spans="1:9">
      <c r="A641" s="488"/>
      <c r="B641" s="488"/>
      <c r="C641" s="488"/>
      <c r="D641" s="1285"/>
      <c r="E641" s="1285"/>
      <c r="F641" s="1285"/>
      <c r="I641" s="491"/>
    </row>
    <row r="642" spans="1:9">
      <c r="A642" s="488"/>
      <c r="B642" s="488"/>
      <c r="C642" s="488"/>
      <c r="D642" s="447"/>
      <c r="E642" s="447"/>
      <c r="F642" s="447"/>
      <c r="I642" s="491"/>
    </row>
    <row r="643" spans="1:9" ht="14.25">
      <c r="A643" s="485"/>
      <c r="B643" s="486" t="s">
        <v>2670</v>
      </c>
      <c r="C643" s="488"/>
      <c r="D643" s="1285" t="s">
        <v>1225</v>
      </c>
      <c r="E643" s="1285"/>
      <c r="F643" s="1285"/>
      <c r="I643" s="491"/>
    </row>
    <row r="644" spans="1:9" ht="14.25">
      <c r="A644" s="485"/>
      <c r="B644" s="485"/>
      <c r="C644" s="488"/>
      <c r="D644" s="1285"/>
      <c r="E644" s="1285"/>
      <c r="F644" s="1285"/>
      <c r="I644" s="491"/>
    </row>
    <row r="645" spans="1:9" ht="14.25">
      <c r="A645" s="485"/>
      <c r="B645" s="485"/>
      <c r="C645" s="488"/>
      <c r="D645" s="1285"/>
      <c r="E645" s="1285"/>
      <c r="F645" s="1285"/>
      <c r="I645" s="491"/>
    </row>
    <row r="646" spans="1:9">
      <c r="A646" s="488"/>
      <c r="B646" s="486" t="s">
        <v>2670</v>
      </c>
      <c r="C646" s="488"/>
      <c r="D646" s="1286" t="s">
        <v>1116</v>
      </c>
      <c r="E646" s="1286"/>
      <c r="F646" s="1286"/>
      <c r="I646" s="491"/>
    </row>
    <row r="647" spans="1:9">
      <c r="A647" s="488"/>
      <c r="B647" s="488"/>
      <c r="C647" s="488"/>
      <c r="D647" s="447"/>
      <c r="E647" s="447"/>
      <c r="F647" s="447"/>
      <c r="I647" s="491"/>
    </row>
    <row r="648" spans="1:9">
      <c r="A648" s="1288" t="s">
        <v>1058</v>
      </c>
      <c r="B648" s="1288"/>
      <c r="C648" s="1288"/>
      <c r="D648" s="1288"/>
      <c r="E648" s="1288"/>
      <c r="F648" s="1288"/>
      <c r="G648" s="1288"/>
      <c r="H648" s="1029"/>
      <c r="I648" s="1155"/>
    </row>
    <row r="649" spans="1:9">
      <c r="A649" s="447"/>
      <c r="B649" s="447"/>
      <c r="C649" s="488"/>
      <c r="D649" s="447"/>
      <c r="E649" s="447"/>
      <c r="F649" s="447"/>
      <c r="I649" s="491"/>
    </row>
    <row r="650" spans="1:9">
      <c r="C650" s="483"/>
      <c r="D650" s="1293" t="s">
        <v>1146</v>
      </c>
      <c r="E650" s="1293"/>
      <c r="F650" s="1293"/>
      <c r="I650" s="491"/>
    </row>
    <row r="651" spans="1:9">
      <c r="A651" s="484"/>
      <c r="B651" s="484"/>
      <c r="C651" s="484"/>
      <c r="D651" s="1286" t="s">
        <v>1147</v>
      </c>
      <c r="E651" s="1286"/>
      <c r="F651" s="1286"/>
      <c r="I651" s="491"/>
    </row>
    <row r="652" spans="1:9">
      <c r="A652" s="484"/>
      <c r="B652" s="484"/>
      <c r="C652" s="484"/>
      <c r="D652" s="447"/>
      <c r="E652" s="447"/>
      <c r="F652" s="447"/>
      <c r="I652" s="491"/>
    </row>
    <row r="653" spans="1:9" ht="12.75" customHeight="1">
      <c r="B653" s="486" t="s">
        <v>2670</v>
      </c>
      <c r="C653" s="488"/>
      <c r="D653" s="1285" t="s">
        <v>1281</v>
      </c>
      <c r="E653" s="1285"/>
      <c r="F653" s="1285"/>
      <c r="I653" s="491"/>
    </row>
    <row r="654" spans="1:9">
      <c r="D654" s="1285"/>
      <c r="E654" s="1285"/>
      <c r="F654" s="1285"/>
      <c r="I654" s="491"/>
    </row>
    <row r="655" spans="1:9">
      <c r="D655" s="1285"/>
      <c r="E655" s="1285"/>
      <c r="F655" s="1285"/>
      <c r="I655" s="491"/>
    </row>
    <row r="656" spans="1:9">
      <c r="D656" s="1285"/>
      <c r="E656" s="1285"/>
      <c r="F656" s="1285"/>
      <c r="I656" s="491"/>
    </row>
    <row r="657" spans="1:9" ht="14.45" customHeight="1">
      <c r="A657" s="485"/>
      <c r="B657" s="485"/>
      <c r="C657" s="488"/>
      <c r="D657" s="386"/>
      <c r="E657" s="386"/>
      <c r="F657" s="386"/>
      <c r="I657" s="491"/>
    </row>
    <row r="658" spans="1:9" ht="12.75" customHeight="1">
      <c r="A658" s="484"/>
      <c r="B658" s="486" t="s">
        <v>2670</v>
      </c>
      <c r="C658" s="488"/>
      <c r="D658" s="1285" t="s">
        <v>1283</v>
      </c>
      <c r="E658" s="1285"/>
      <c r="F658" s="1285"/>
      <c r="I658" s="491"/>
    </row>
    <row r="659" spans="1:9" ht="14.25">
      <c r="A659" s="484"/>
      <c r="B659" s="485"/>
      <c r="C659" s="488"/>
      <c r="D659" s="1285"/>
      <c r="E659" s="1285"/>
      <c r="F659" s="1285"/>
      <c r="I659" s="491"/>
    </row>
    <row r="660" spans="1:9" ht="14.25">
      <c r="A660" s="484"/>
      <c r="B660" s="485"/>
      <c r="C660" s="488"/>
      <c r="D660" s="1285"/>
      <c r="E660" s="1285"/>
      <c r="F660" s="1285"/>
      <c r="I660" s="491"/>
    </row>
    <row r="661" spans="1:9" ht="14.25">
      <c r="A661" s="484"/>
      <c r="B661" s="485"/>
      <c r="C661" s="488"/>
      <c r="D661" s="1285"/>
      <c r="E661" s="1285"/>
      <c r="F661" s="1285"/>
      <c r="I661" s="491"/>
    </row>
    <row r="662" spans="1:9" ht="14.25">
      <c r="A662" s="484"/>
      <c r="B662" s="485"/>
      <c r="C662" s="488"/>
      <c r="D662" s="1285"/>
      <c r="E662" s="1285"/>
      <c r="F662" s="1285"/>
      <c r="I662" s="491"/>
    </row>
    <row r="663" spans="1:9" ht="14.25" customHeight="1">
      <c r="A663" s="484"/>
      <c r="B663" s="485"/>
      <c r="C663" s="488"/>
      <c r="F663" s="387"/>
      <c r="I663" s="491"/>
    </row>
    <row r="664" spans="1:9" ht="12.75" customHeight="1">
      <c r="A664" s="484"/>
      <c r="B664" s="486" t="s">
        <v>2670</v>
      </c>
      <c r="C664" s="488"/>
      <c r="D664" s="1285" t="s">
        <v>1282</v>
      </c>
      <c r="E664" s="1285"/>
      <c r="F664" s="1285"/>
      <c r="I664" s="491"/>
    </row>
    <row r="665" spans="1:9" ht="14.25">
      <c r="A665" s="484"/>
      <c r="B665" s="485"/>
      <c r="C665" s="488"/>
      <c r="D665" s="1285"/>
      <c r="E665" s="1285"/>
      <c r="F665" s="1285"/>
      <c r="I665" s="491"/>
    </row>
    <row r="666" spans="1:9" ht="14.25">
      <c r="A666" s="485"/>
      <c r="B666" s="485"/>
      <c r="C666" s="488"/>
      <c r="D666" s="1285"/>
      <c r="E666" s="1285"/>
      <c r="F666" s="1285"/>
      <c r="I666" s="491"/>
    </row>
    <row r="667" spans="1:9" ht="14.25">
      <c r="A667" s="485"/>
      <c r="B667" s="485"/>
      <c r="C667" s="488"/>
      <c r="D667" s="1285"/>
      <c r="E667" s="1285"/>
      <c r="F667" s="1285"/>
      <c r="I667" s="491"/>
    </row>
    <row r="668" spans="1:9" ht="14.25">
      <c r="A668" s="485"/>
      <c r="B668" s="485"/>
      <c r="C668" s="488"/>
      <c r="D668" s="446"/>
      <c r="E668" s="446"/>
      <c r="F668" s="446"/>
      <c r="I668" s="491"/>
    </row>
    <row r="669" spans="1:9" ht="12.75" customHeight="1">
      <c r="A669" s="484"/>
      <c r="B669" s="486" t="s">
        <v>2670</v>
      </c>
      <c r="C669" s="488"/>
      <c r="D669" s="1285" t="s">
        <v>2068</v>
      </c>
      <c r="E669" s="1285"/>
      <c r="F669" s="1285"/>
      <c r="I669" s="491"/>
    </row>
    <row r="670" spans="1:9" ht="12.75" customHeight="1">
      <c r="A670" s="484"/>
      <c r="B670" s="485"/>
      <c r="C670" s="488"/>
      <c r="D670" s="1285"/>
      <c r="E670" s="1285"/>
      <c r="F670" s="1285"/>
      <c r="I670" s="491"/>
    </row>
    <row r="671" spans="1:9" ht="12.75" customHeight="1">
      <c r="A671" s="484"/>
      <c r="B671" s="485"/>
      <c r="C671" s="488"/>
      <c r="D671" s="1285"/>
      <c r="E671" s="1285"/>
      <c r="F671" s="1285"/>
      <c r="I671" s="491"/>
    </row>
    <row r="672" spans="1:9" ht="12.75" customHeight="1">
      <c r="A672" s="484"/>
      <c r="B672" s="485"/>
      <c r="C672" s="488"/>
      <c r="D672" s="1285"/>
      <c r="E672" s="1285"/>
      <c r="F672" s="1285"/>
      <c r="I672" s="491"/>
    </row>
    <row r="673" spans="1:11" ht="12.75" customHeight="1">
      <c r="A673" s="484"/>
      <c r="B673" s="485"/>
      <c r="C673" s="488"/>
      <c r="D673" s="1285"/>
      <c r="E673" s="1285"/>
      <c r="F673" s="1285"/>
      <c r="I673" s="491"/>
    </row>
    <row r="674" spans="1:11" ht="12.75" customHeight="1">
      <c r="A674" s="484"/>
      <c r="B674" s="485"/>
      <c r="C674" s="488"/>
      <c r="D674" s="1285"/>
      <c r="E674" s="1285"/>
      <c r="F674" s="1285"/>
      <c r="I674" s="491"/>
    </row>
    <row r="675" spans="1:11" ht="12.75" customHeight="1">
      <c r="A675" s="484"/>
      <c r="B675" s="485"/>
      <c r="C675" s="488"/>
      <c r="D675" s="1285"/>
      <c r="E675" s="1285"/>
      <c r="F675" s="1285"/>
      <c r="I675" s="491"/>
    </row>
    <row r="676" spans="1:11" ht="12.75" customHeight="1">
      <c r="A676" s="484"/>
      <c r="B676" s="485"/>
      <c r="C676" s="488"/>
      <c r="D676" s="1285"/>
      <c r="E676" s="1285"/>
      <c r="F676" s="1285"/>
      <c r="I676" s="491"/>
    </row>
    <row r="677" spans="1:11" ht="12.75" customHeight="1">
      <c r="A677" s="484"/>
      <c r="B677" s="485"/>
      <c r="C677" s="488"/>
      <c r="D677" s="1285"/>
      <c r="E677" s="1285"/>
      <c r="F677" s="1285"/>
      <c r="I677" s="491"/>
    </row>
    <row r="678" spans="1:11">
      <c r="A678" s="488"/>
      <c r="B678" s="488"/>
      <c r="C678" s="488"/>
      <c r="D678" s="447"/>
      <c r="E678" s="447"/>
      <c r="F678" s="447"/>
      <c r="I678" s="491"/>
    </row>
    <row r="679" spans="1:11">
      <c r="A679" s="1288" t="s">
        <v>1059</v>
      </c>
      <c r="B679" s="1288"/>
      <c r="C679" s="1288"/>
      <c r="D679" s="1288"/>
      <c r="E679" s="1288"/>
      <c r="F679" s="1288"/>
      <c r="G679" s="1288"/>
      <c r="H679" s="1031"/>
      <c r="I679" s="1159"/>
      <c r="J679" s="502"/>
      <c r="K679" s="502"/>
    </row>
    <row r="680" spans="1:11">
      <c r="A680" s="449"/>
      <c r="B680" s="449"/>
      <c r="C680" s="449"/>
      <c r="D680" s="449"/>
      <c r="E680" s="449"/>
      <c r="F680" s="449"/>
      <c r="G680" s="449"/>
      <c r="H680" s="502"/>
      <c r="I680" s="484"/>
      <c r="J680" s="502"/>
      <c r="K680" s="502"/>
    </row>
    <row r="681" spans="1:11">
      <c r="C681" s="483"/>
      <c r="D681" s="1293" t="s">
        <v>99</v>
      </c>
      <c r="E681" s="1293"/>
      <c r="F681" s="1293"/>
      <c r="H681" s="502"/>
      <c r="I681" s="484"/>
      <c r="J681" s="502"/>
      <c r="K681" s="502"/>
    </row>
    <row r="682" spans="1:11">
      <c r="A682" s="483"/>
      <c r="B682" s="483"/>
      <c r="C682" s="483"/>
      <c r="D682" s="1293" t="s">
        <v>123</v>
      </c>
      <c r="E682" s="1293"/>
      <c r="F682" s="1293"/>
      <c r="H682" s="502"/>
      <c r="I682" s="484"/>
      <c r="J682" s="502"/>
      <c r="K682" s="502"/>
    </row>
    <row r="683" spans="1:11">
      <c r="A683" s="484"/>
      <c r="B683" s="484"/>
      <c r="C683" s="484"/>
      <c r="D683" s="1286" t="s">
        <v>1076</v>
      </c>
      <c r="E683" s="1286"/>
      <c r="F683" s="1286"/>
      <c r="H683" s="502"/>
      <c r="I683" s="484"/>
      <c r="J683" s="502"/>
      <c r="K683" s="502"/>
    </row>
    <row r="684" spans="1:11">
      <c r="A684" s="484"/>
      <c r="B684" s="484"/>
      <c r="C684" s="484"/>
      <c r="H684" s="502"/>
      <c r="I684" s="484"/>
      <c r="J684" s="502"/>
      <c r="K684" s="502"/>
    </row>
    <row r="685" spans="1:11" ht="14.25">
      <c r="A685" s="485"/>
      <c r="B685" s="486" t="s">
        <v>2670</v>
      </c>
      <c r="C685" s="484"/>
      <c r="D685" s="1286" t="s">
        <v>885</v>
      </c>
      <c r="E685" s="1286"/>
      <c r="F685" s="1286"/>
      <c r="H685" s="502"/>
      <c r="I685" s="484"/>
      <c r="J685" s="502"/>
      <c r="K685" s="502"/>
    </row>
    <row r="686" spans="1:11">
      <c r="A686" s="484"/>
      <c r="B686" s="484"/>
      <c r="C686" s="484"/>
      <c r="D686" s="1286" t="s">
        <v>894</v>
      </c>
      <c r="E686" s="1286"/>
      <c r="F686" s="1286"/>
      <c r="H686" s="502"/>
      <c r="I686" s="484"/>
      <c r="J686" s="502"/>
      <c r="K686" s="502"/>
    </row>
    <row r="687" spans="1:11" ht="12.75" customHeight="1">
      <c r="A687" s="484"/>
      <c r="B687" s="484"/>
      <c r="C687" s="484"/>
      <c r="E687" s="1037" t="s">
        <v>1913</v>
      </c>
      <c r="F687" s="421"/>
      <c r="H687" s="502"/>
      <c r="I687" s="484"/>
      <c r="J687" s="502"/>
      <c r="K687" s="502"/>
    </row>
    <row r="688" spans="1:11">
      <c r="A688" s="484"/>
      <c r="B688" s="484"/>
      <c r="C688" s="484"/>
      <c r="E688" s="502" t="s">
        <v>1912</v>
      </c>
      <c r="F688" s="421"/>
      <c r="I688" s="484"/>
      <c r="J688" s="502"/>
      <c r="K688" s="502"/>
    </row>
    <row r="689" spans="1:11">
      <c r="A689" s="484"/>
      <c r="B689" s="484"/>
      <c r="C689" s="484"/>
      <c r="D689" s="503"/>
      <c r="E689" s="447"/>
      <c r="H689" s="502"/>
      <c r="I689" s="484"/>
      <c r="J689" s="502"/>
      <c r="K689" s="502"/>
    </row>
    <row r="690" spans="1:11" ht="14.25">
      <c r="A690" s="485"/>
      <c r="B690" s="486" t="s">
        <v>2669</v>
      </c>
      <c r="C690" s="484"/>
      <c r="D690" s="1285" t="s">
        <v>2069</v>
      </c>
      <c r="E690" s="1285"/>
      <c r="F690" s="1285"/>
      <c r="H690" s="502"/>
      <c r="I690" s="484"/>
      <c r="J690" s="502"/>
      <c r="K690" s="502"/>
    </row>
    <row r="691" spans="1:11">
      <c r="A691" s="491"/>
      <c r="B691" s="491"/>
      <c r="C691" s="484"/>
      <c r="D691" s="1285"/>
      <c r="E691" s="1285"/>
      <c r="F691" s="1285"/>
      <c r="H691" s="502"/>
      <c r="I691" s="484"/>
      <c r="J691" s="502"/>
      <c r="K691" s="502"/>
    </row>
    <row r="692" spans="1:11">
      <c r="A692" s="484"/>
      <c r="B692" s="484"/>
      <c r="C692" s="484"/>
      <c r="D692" s="1285"/>
      <c r="E692" s="1285"/>
      <c r="F692" s="1285"/>
      <c r="H692" s="502"/>
      <c r="I692" s="484"/>
      <c r="J692" s="502"/>
      <c r="K692" s="502"/>
    </row>
    <row r="693" spans="1:11">
      <c r="A693" s="484"/>
      <c r="B693" s="484"/>
      <c r="C693" s="484"/>
      <c r="H693" s="502"/>
      <c r="J693" s="502"/>
      <c r="K693" s="502"/>
    </row>
    <row r="694" spans="1:11" ht="14.25">
      <c r="A694" s="485"/>
      <c r="B694" s="486" t="s">
        <v>2669</v>
      </c>
      <c r="C694" s="484"/>
      <c r="D694" s="1286" t="s">
        <v>917</v>
      </c>
      <c r="E694" s="1286"/>
      <c r="F694" s="1286"/>
      <c r="H694" s="502"/>
      <c r="I694" s="484"/>
      <c r="J694" s="502"/>
      <c r="K694" s="502"/>
    </row>
    <row r="695" spans="1:11" ht="14.25">
      <c r="A695" s="485"/>
      <c r="B695" s="485"/>
      <c r="C695" s="484"/>
      <c r="D695" s="1286" t="s">
        <v>894</v>
      </c>
      <c r="E695" s="1286"/>
      <c r="F695" s="1286"/>
      <c r="H695" s="502"/>
      <c r="I695" s="484"/>
      <c r="J695" s="502"/>
      <c r="K695" s="502"/>
    </row>
    <row r="696" spans="1:11">
      <c r="A696" s="484"/>
      <c r="B696" s="484"/>
      <c r="C696" s="484"/>
      <c r="E696" s="1037" t="s">
        <v>1914</v>
      </c>
      <c r="F696" s="405"/>
      <c r="H696" s="502"/>
      <c r="I696" s="484"/>
      <c r="J696" s="502"/>
      <c r="K696" s="502"/>
    </row>
    <row r="697" spans="1:11">
      <c r="A697" s="484"/>
      <c r="B697" s="484"/>
      <c r="C697" s="484"/>
      <c r="D697" s="405"/>
      <c r="H697" s="502"/>
      <c r="I697" s="484"/>
      <c r="J697" s="502"/>
      <c r="K697" s="502"/>
    </row>
    <row r="698" spans="1:11" ht="14.25">
      <c r="A698" s="485"/>
      <c r="B698" s="486" t="s">
        <v>2670</v>
      </c>
      <c r="C698" s="484"/>
      <c r="D698" s="1286" t="s">
        <v>2472</v>
      </c>
      <c r="E698" s="1286"/>
      <c r="F698" s="1286"/>
      <c r="H698" s="502"/>
      <c r="I698" s="484"/>
      <c r="J698" s="502"/>
      <c r="K698" s="502"/>
    </row>
    <row r="699" spans="1:11" ht="14.25">
      <c r="A699" s="485"/>
      <c r="B699" s="485"/>
      <c r="C699" s="484"/>
      <c r="D699" s="1286" t="s">
        <v>894</v>
      </c>
      <c r="E699" s="1286"/>
      <c r="F699" s="1286"/>
      <c r="H699" s="502"/>
      <c r="I699" s="484"/>
      <c r="J699" s="502"/>
      <c r="K699" s="502"/>
    </row>
    <row r="700" spans="1:11">
      <c r="A700" s="484"/>
      <c r="B700" s="484"/>
      <c r="C700" s="484"/>
      <c r="E700" s="1037" t="s">
        <v>2473</v>
      </c>
      <c r="F700" s="405"/>
      <c r="H700" s="502"/>
      <c r="I700" s="484"/>
      <c r="J700" s="502"/>
      <c r="K700" s="502"/>
    </row>
    <row r="701" spans="1:11">
      <c r="A701" s="484"/>
      <c r="B701" s="484"/>
      <c r="C701" s="484"/>
      <c r="D701" s="405"/>
      <c r="H701" s="502"/>
      <c r="I701" s="484"/>
      <c r="J701" s="502"/>
      <c r="K701" s="502"/>
    </row>
    <row r="702" spans="1:11" ht="14.25">
      <c r="A702" s="485"/>
      <c r="B702" s="486" t="s">
        <v>2670</v>
      </c>
      <c r="C702" s="484"/>
      <c r="D702" s="1285" t="s">
        <v>2247</v>
      </c>
      <c r="E702" s="1285"/>
      <c r="F702" s="1285"/>
      <c r="H702" s="502"/>
      <c r="I702" s="484"/>
      <c r="J702" s="502"/>
      <c r="K702" s="502"/>
    </row>
    <row r="703" spans="1:11">
      <c r="A703" s="484"/>
      <c r="B703" s="484"/>
      <c r="C703" s="484"/>
      <c r="D703" s="1285"/>
      <c r="E703" s="1285"/>
      <c r="F703" s="1285"/>
      <c r="H703" s="502"/>
      <c r="I703" s="484"/>
      <c r="J703" s="502"/>
      <c r="K703" s="502"/>
    </row>
    <row r="704" spans="1:11">
      <c r="A704" s="484"/>
      <c r="B704" s="484"/>
      <c r="C704" s="484"/>
      <c r="D704" s="1285"/>
      <c r="E704" s="1285"/>
      <c r="F704" s="1285"/>
      <c r="H704" s="502"/>
      <c r="I704" s="484"/>
      <c r="J704" s="502"/>
      <c r="K704" s="502"/>
    </row>
    <row r="705" spans="1:11">
      <c r="A705" s="484"/>
      <c r="B705" s="484"/>
      <c r="C705" s="484"/>
      <c r="D705" s="1285"/>
      <c r="E705" s="1285"/>
      <c r="F705" s="1285"/>
      <c r="H705" s="502"/>
      <c r="I705" s="484"/>
      <c r="J705" s="502"/>
      <c r="K705" s="502"/>
    </row>
    <row r="706" spans="1:11">
      <c r="A706" s="484"/>
      <c r="B706" s="484"/>
      <c r="C706" s="484"/>
      <c r="D706" s="1285"/>
      <c r="E706" s="1285"/>
      <c r="F706" s="1285"/>
      <c r="H706" s="502"/>
      <c r="I706" s="484"/>
      <c r="J706" s="502"/>
      <c r="K706" s="502"/>
    </row>
    <row r="707" spans="1:11">
      <c r="A707" s="484"/>
      <c r="B707" s="484"/>
      <c r="C707" s="484"/>
      <c r="D707" s="1285"/>
      <c r="E707" s="1285"/>
      <c r="F707" s="1285"/>
      <c r="H707" s="502"/>
      <c r="I707" s="484"/>
      <c r="J707" s="502"/>
      <c r="K707" s="502"/>
    </row>
    <row r="708" spans="1:11">
      <c r="A708" s="484"/>
      <c r="B708" s="484"/>
      <c r="C708" s="484"/>
      <c r="D708" s="446"/>
      <c r="E708" s="446"/>
      <c r="F708" s="446"/>
      <c r="H708" s="502"/>
      <c r="I708" s="484"/>
      <c r="J708" s="502"/>
      <c r="K708" s="502"/>
    </row>
    <row r="709" spans="1:11">
      <c r="A709" s="484"/>
      <c r="B709" s="486" t="s">
        <v>2670</v>
      </c>
      <c r="C709" s="484"/>
      <c r="D709" s="1285" t="s">
        <v>1201</v>
      </c>
      <c r="E709" s="1285"/>
      <c r="F709" s="1285"/>
      <c r="H709" s="502"/>
      <c r="I709" s="484"/>
      <c r="J709" s="502"/>
      <c r="K709" s="502"/>
    </row>
    <row r="710" spans="1:11">
      <c r="A710" s="484"/>
      <c r="B710" s="484"/>
      <c r="C710" s="484"/>
      <c r="D710" s="1285"/>
      <c r="E710" s="1285"/>
      <c r="F710" s="1285"/>
      <c r="H710" s="502"/>
      <c r="I710" s="484"/>
      <c r="J710" s="502"/>
      <c r="K710" s="502"/>
    </row>
    <row r="711" spans="1:11">
      <c r="A711" s="484"/>
      <c r="B711" s="484"/>
      <c r="C711" s="484"/>
      <c r="D711" s="446"/>
      <c r="E711" s="446"/>
      <c r="F711" s="446"/>
      <c r="H711" s="502"/>
      <c r="I711" s="484"/>
      <c r="J711" s="502"/>
      <c r="K711" s="502"/>
    </row>
    <row r="712" spans="1:11" ht="14.25">
      <c r="A712" s="485"/>
      <c r="B712" s="486" t="s">
        <v>2670</v>
      </c>
      <c r="C712" s="484"/>
      <c r="D712" s="1285" t="s">
        <v>1077</v>
      </c>
      <c r="E712" s="1285"/>
      <c r="F712" s="1285"/>
      <c r="H712" s="502"/>
      <c r="I712" s="484"/>
      <c r="J712" s="502"/>
      <c r="K712" s="502"/>
    </row>
    <row r="713" spans="1:11">
      <c r="A713" s="484"/>
      <c r="B713" s="484"/>
      <c r="C713" s="484"/>
      <c r="D713" s="1285"/>
      <c r="E713" s="1285"/>
      <c r="F713" s="1285"/>
      <c r="H713" s="502"/>
      <c r="I713" s="484"/>
      <c r="J713" s="502"/>
      <c r="K713" s="502"/>
    </row>
    <row r="714" spans="1:11">
      <c r="A714" s="484"/>
      <c r="B714" s="484"/>
      <c r="C714" s="484"/>
      <c r="D714" s="1285"/>
      <c r="E714" s="1285"/>
      <c r="F714" s="1285"/>
      <c r="H714" s="502"/>
      <c r="I714" s="484"/>
      <c r="J714" s="502"/>
      <c r="K714" s="502"/>
    </row>
    <row r="715" spans="1:11" ht="15" customHeight="1">
      <c r="A715" s="484"/>
      <c r="B715" s="484"/>
      <c r="C715" s="484"/>
      <c r="D715" s="1285"/>
      <c r="E715" s="1285"/>
      <c r="F715" s="1285"/>
      <c r="H715" s="502"/>
      <c r="I715" s="484"/>
      <c r="J715" s="502"/>
      <c r="K715" s="502"/>
    </row>
    <row r="716" spans="1:11" ht="15" customHeight="1">
      <c r="A716" s="484"/>
      <c r="B716" s="484"/>
      <c r="C716" s="484"/>
      <c r="D716" s="1285"/>
      <c r="E716" s="1285"/>
      <c r="F716" s="1285"/>
      <c r="H716" s="502"/>
      <c r="I716" s="484"/>
      <c r="J716" s="502"/>
      <c r="K716" s="502"/>
    </row>
    <row r="717" spans="1:11">
      <c r="A717" s="484"/>
      <c r="B717" s="484"/>
      <c r="C717" s="484"/>
      <c r="D717" s="1285"/>
      <c r="E717" s="1285"/>
      <c r="F717" s="1285"/>
      <c r="H717" s="502"/>
      <c r="I717" s="484"/>
      <c r="J717" s="502"/>
      <c r="K717" s="502"/>
    </row>
    <row r="718" spans="1:11">
      <c r="A718" s="484"/>
      <c r="B718" s="484"/>
      <c r="C718" s="484"/>
      <c r="D718" s="1285"/>
      <c r="E718" s="1285"/>
      <c r="F718" s="1285"/>
      <c r="H718" s="502"/>
      <c r="I718" s="484"/>
      <c r="J718" s="502"/>
      <c r="K718" s="502"/>
    </row>
    <row r="719" spans="1:11">
      <c r="A719" s="484"/>
      <c r="B719" s="484"/>
      <c r="C719" s="484"/>
      <c r="D719" s="1285"/>
      <c r="E719" s="1285"/>
      <c r="F719" s="1285"/>
      <c r="H719" s="502"/>
      <c r="I719" s="484"/>
      <c r="J719" s="502"/>
      <c r="K719" s="502"/>
    </row>
    <row r="720" spans="1:11" ht="15" customHeight="1">
      <c r="A720" s="484"/>
      <c r="B720" s="484"/>
      <c r="C720" s="484"/>
      <c r="D720" s="1285"/>
      <c r="E720" s="1285"/>
      <c r="F720" s="1285"/>
      <c r="H720" s="502"/>
      <c r="I720" s="484"/>
      <c r="J720" s="502"/>
      <c r="K720" s="502"/>
    </row>
    <row r="721" spans="1:11">
      <c r="A721" s="484"/>
      <c r="B721" s="484"/>
      <c r="C721" s="484"/>
      <c r="D721" s="1285"/>
      <c r="E721" s="1285"/>
      <c r="F721" s="1285"/>
      <c r="H721" s="502"/>
      <c r="I721" s="484"/>
      <c r="J721" s="502"/>
      <c r="K721" s="502"/>
    </row>
    <row r="722" spans="1:11">
      <c r="A722" s="484"/>
      <c r="B722" s="484"/>
      <c r="C722" s="484"/>
      <c r="D722" s="1285"/>
      <c r="E722" s="1285"/>
      <c r="F722" s="1285"/>
      <c r="H722" s="502"/>
      <c r="I722" s="484"/>
      <c r="J722" s="502"/>
      <c r="K722" s="502"/>
    </row>
    <row r="723" spans="1:11">
      <c r="A723" s="484"/>
      <c r="B723" s="484"/>
      <c r="C723" s="484"/>
      <c r="D723" s="1285"/>
      <c r="E723" s="1285"/>
      <c r="F723" s="1285"/>
      <c r="H723" s="502"/>
      <c r="I723" s="484"/>
      <c r="J723" s="502"/>
      <c r="K723" s="502"/>
    </row>
    <row r="724" spans="1:11">
      <c r="A724" s="484"/>
      <c r="B724" s="484"/>
      <c r="C724" s="484"/>
      <c r="D724" s="1285"/>
      <c r="E724" s="1285"/>
      <c r="F724" s="1285"/>
      <c r="H724" s="502"/>
      <c r="I724" s="484"/>
      <c r="J724" s="502"/>
      <c r="K724" s="502"/>
    </row>
    <row r="725" spans="1:11">
      <c r="A725" s="484"/>
      <c r="B725" s="486" t="s">
        <v>2670</v>
      </c>
      <c r="C725" s="484"/>
      <c r="D725" s="1285" t="s">
        <v>2465</v>
      </c>
      <c r="E725" s="1285"/>
      <c r="F725" s="1285"/>
      <c r="H725" s="502"/>
      <c r="I725" s="484"/>
      <c r="J725" s="502"/>
      <c r="K725" s="502"/>
    </row>
    <row r="726" spans="1:11">
      <c r="A726" s="484"/>
      <c r="B726" s="484"/>
      <c r="C726" s="484"/>
      <c r="D726" s="1285"/>
      <c r="E726" s="1285"/>
      <c r="F726" s="1285"/>
      <c r="H726" s="502"/>
      <c r="I726" s="484"/>
      <c r="J726" s="502"/>
      <c r="K726" s="502"/>
    </row>
    <row r="727" spans="1:11">
      <c r="A727" s="484"/>
      <c r="B727" s="484"/>
      <c r="C727" s="484"/>
      <c r="D727" s="1285"/>
      <c r="E727" s="1285"/>
      <c r="F727" s="1285"/>
      <c r="H727" s="502"/>
      <c r="I727" s="484"/>
      <c r="J727" s="502"/>
      <c r="K727" s="502"/>
    </row>
    <row r="728" spans="1:11">
      <c r="A728" s="484"/>
      <c r="B728" s="484"/>
      <c r="C728" s="484"/>
      <c r="D728" s="446"/>
      <c r="E728" s="446"/>
      <c r="F728" s="446"/>
      <c r="H728" s="502"/>
      <c r="I728" s="484"/>
      <c r="J728" s="502"/>
      <c r="K728" s="502"/>
    </row>
    <row r="729" spans="1:11">
      <c r="A729" s="484"/>
      <c r="B729" s="486" t="s">
        <v>2670</v>
      </c>
      <c r="C729" s="484"/>
      <c r="D729" s="1285" t="s">
        <v>2464</v>
      </c>
      <c r="E729" s="1285"/>
      <c r="F729" s="1285"/>
      <c r="H729" s="502"/>
      <c r="I729" s="484"/>
      <c r="J729" s="502"/>
      <c r="K729" s="502"/>
    </row>
    <row r="730" spans="1:11">
      <c r="A730" s="484"/>
      <c r="B730" s="484"/>
      <c r="C730" s="484"/>
      <c r="D730" s="1285"/>
      <c r="E730" s="1285"/>
      <c r="F730" s="1285"/>
      <c r="H730" s="502"/>
      <c r="I730" s="484"/>
      <c r="J730" s="502"/>
      <c r="K730" s="502"/>
    </row>
    <row r="731" spans="1:11">
      <c r="A731" s="484"/>
      <c r="B731" s="484"/>
      <c r="C731" s="484"/>
      <c r="D731" s="1285"/>
      <c r="E731" s="1285"/>
      <c r="F731" s="1285"/>
      <c r="H731" s="502"/>
      <c r="I731" s="484"/>
      <c r="J731" s="502"/>
      <c r="K731" s="502"/>
    </row>
    <row r="732" spans="1:11">
      <c r="A732" s="484"/>
      <c r="B732" s="484"/>
      <c r="C732" s="484"/>
      <c r="H732" s="502"/>
      <c r="I732" s="484"/>
      <c r="J732" s="502"/>
      <c r="K732" s="502"/>
    </row>
    <row r="733" spans="1:11">
      <c r="A733" s="484"/>
      <c r="B733" s="486" t="s">
        <v>2670</v>
      </c>
      <c r="C733" s="484"/>
      <c r="D733" s="1285" t="s">
        <v>2463</v>
      </c>
      <c r="E733" s="1285"/>
      <c r="F733" s="1285"/>
      <c r="H733" s="502"/>
      <c r="I733" s="484"/>
      <c r="J733" s="502"/>
      <c r="K733" s="502"/>
    </row>
    <row r="734" spans="1:11">
      <c r="A734" s="484"/>
      <c r="B734" s="484"/>
      <c r="C734" s="484"/>
      <c r="D734" s="1285"/>
      <c r="E734" s="1285"/>
      <c r="F734" s="1285"/>
      <c r="H734" s="502"/>
      <c r="I734" s="484"/>
      <c r="J734" s="502"/>
      <c r="K734" s="502"/>
    </row>
    <row r="735" spans="1:11">
      <c r="A735" s="484"/>
      <c r="B735" s="484"/>
      <c r="C735" s="484"/>
      <c r="D735" s="1285"/>
      <c r="E735" s="1285"/>
      <c r="F735" s="1285"/>
      <c r="H735" s="502"/>
      <c r="I735" s="484"/>
      <c r="J735" s="502"/>
      <c r="K735" s="502"/>
    </row>
    <row r="736" spans="1:11">
      <c r="A736" s="484"/>
      <c r="B736" s="484"/>
      <c r="C736" s="484"/>
      <c r="D736" s="1285"/>
      <c r="E736" s="1285"/>
      <c r="F736" s="1285"/>
      <c r="H736" s="502"/>
      <c r="I736" s="484"/>
      <c r="J736" s="502"/>
      <c r="K736" s="502"/>
    </row>
    <row r="737" spans="1:11">
      <c r="A737" s="484"/>
      <c r="B737" s="484"/>
      <c r="C737" s="484"/>
      <c r="H737" s="502"/>
      <c r="I737" s="484"/>
      <c r="J737" s="502"/>
      <c r="K737" s="502"/>
    </row>
    <row r="738" spans="1:11" ht="14.25">
      <c r="A738" s="485"/>
      <c r="B738" s="486" t="s">
        <v>2670</v>
      </c>
      <c r="C738" s="484"/>
      <c r="D738" s="1285" t="s">
        <v>1078</v>
      </c>
      <c r="E738" s="1285"/>
      <c r="F738" s="1285"/>
      <c r="H738" s="502"/>
      <c r="I738" s="484"/>
      <c r="J738" s="502"/>
      <c r="K738" s="502"/>
    </row>
    <row r="739" spans="1:11">
      <c r="A739" s="484"/>
      <c r="B739" s="484"/>
      <c r="C739" s="484"/>
      <c r="D739" s="1285"/>
      <c r="E739" s="1285"/>
      <c r="F739" s="1285"/>
      <c r="H739" s="502"/>
      <c r="I739" s="484"/>
      <c r="J739" s="502"/>
      <c r="K739" s="502"/>
    </row>
    <row r="740" spans="1:11">
      <c r="A740" s="484"/>
      <c r="B740" s="484"/>
      <c r="C740" s="484"/>
      <c r="D740" s="1285"/>
      <c r="E740" s="1285"/>
      <c r="F740" s="1285"/>
      <c r="H740" s="502"/>
      <c r="I740" s="484"/>
      <c r="J740" s="502"/>
      <c r="K740" s="502"/>
    </row>
    <row r="741" spans="1:11">
      <c r="A741" s="484"/>
      <c r="B741" s="484"/>
      <c r="C741" s="484"/>
      <c r="D741" s="1285"/>
      <c r="E741" s="1285"/>
      <c r="F741" s="1285"/>
      <c r="H741" s="502"/>
      <c r="I741" s="484"/>
      <c r="J741" s="502"/>
      <c r="K741" s="502"/>
    </row>
    <row r="742" spans="1:11">
      <c r="A742" s="484"/>
      <c r="B742" s="484"/>
      <c r="C742" s="484"/>
      <c r="D742" s="1285"/>
      <c r="E742" s="1285"/>
      <c r="F742" s="1285"/>
      <c r="H742" s="502"/>
      <c r="I742" s="484"/>
      <c r="J742" s="502"/>
      <c r="K742" s="502"/>
    </row>
    <row r="743" spans="1:11">
      <c r="A743" s="484"/>
      <c r="B743" s="484"/>
      <c r="C743" s="484"/>
      <c r="D743" s="493"/>
      <c r="H743" s="502"/>
      <c r="I743" s="484"/>
      <c r="J743" s="502"/>
      <c r="K743" s="502"/>
    </row>
    <row r="744" spans="1:11" ht="14.25">
      <c r="A744" s="485"/>
      <c r="B744" s="486" t="s">
        <v>2670</v>
      </c>
      <c r="C744" s="484"/>
      <c r="D744" s="1285" t="s">
        <v>2147</v>
      </c>
      <c r="E744" s="1285"/>
      <c r="F744" s="1285"/>
      <c r="H744" s="502"/>
      <c r="I744" s="484"/>
      <c r="J744" s="502"/>
      <c r="K744" s="502"/>
    </row>
    <row r="745" spans="1:11">
      <c r="A745" s="484"/>
      <c r="B745" s="484"/>
      <c r="C745" s="484"/>
      <c r="D745" s="1285"/>
      <c r="E745" s="1285"/>
      <c r="F745" s="1285"/>
      <c r="H745" s="502"/>
      <c r="I745" s="484"/>
      <c r="J745" s="502"/>
      <c r="K745" s="502"/>
    </row>
    <row r="746" spans="1:11">
      <c r="A746" s="484"/>
      <c r="B746" s="484"/>
      <c r="C746" s="484"/>
      <c r="D746" s="1285"/>
      <c r="E746" s="1285"/>
      <c r="F746" s="1285"/>
      <c r="H746" s="502"/>
      <c r="I746" s="484"/>
      <c r="J746" s="502"/>
      <c r="K746" s="502"/>
    </row>
    <row r="747" spans="1:11">
      <c r="A747" s="484"/>
      <c r="B747" s="484"/>
      <c r="C747" s="484"/>
      <c r="D747" s="1285"/>
      <c r="E747" s="1285"/>
      <c r="F747" s="1285"/>
      <c r="H747" s="502"/>
      <c r="I747" s="484"/>
      <c r="J747" s="502"/>
      <c r="K747" s="502"/>
    </row>
    <row r="748" spans="1:11">
      <c r="A748" s="484"/>
      <c r="B748" s="484"/>
      <c r="C748" s="484"/>
      <c r="D748" s="1285"/>
      <c r="E748" s="1285"/>
      <c r="F748" s="1285"/>
      <c r="H748" s="502"/>
      <c r="I748" s="484"/>
      <c r="J748" s="502"/>
      <c r="K748" s="502"/>
    </row>
    <row r="749" spans="1:11">
      <c r="A749" s="484"/>
      <c r="B749" s="484"/>
      <c r="C749" s="484"/>
      <c r="D749" s="1285"/>
      <c r="E749" s="1285"/>
      <c r="F749" s="1285"/>
      <c r="H749" s="502"/>
      <c r="I749" s="484"/>
      <c r="J749" s="502"/>
      <c r="K749" s="502"/>
    </row>
    <row r="750" spans="1:11">
      <c r="A750" s="484"/>
      <c r="B750" s="484"/>
      <c r="C750" s="484"/>
      <c r="D750" s="1285"/>
      <c r="E750" s="1285"/>
      <c r="F750" s="1285"/>
      <c r="H750" s="502"/>
      <c r="I750" s="484"/>
      <c r="J750" s="502"/>
      <c r="K750" s="502"/>
    </row>
    <row r="751" spans="1:11">
      <c r="A751" s="484"/>
      <c r="B751" s="484"/>
      <c r="C751" s="484"/>
      <c r="D751" s="1323" t="s">
        <v>2076</v>
      </c>
      <c r="E751" s="1323"/>
      <c r="F751" s="1323"/>
      <c r="H751" s="502"/>
      <c r="I751" s="484"/>
      <c r="J751" s="502"/>
      <c r="K751" s="502"/>
    </row>
    <row r="752" spans="1:11">
      <c r="A752" s="484"/>
      <c r="B752" s="484"/>
      <c r="C752" s="484"/>
      <c r="D752" s="342"/>
      <c r="H752" s="502"/>
      <c r="I752" s="484"/>
      <c r="J752" s="502"/>
      <c r="K752" s="502"/>
    </row>
    <row r="753" spans="1:11">
      <c r="A753" s="1292" t="s">
        <v>1060</v>
      </c>
      <c r="B753" s="1292"/>
      <c r="C753" s="1292"/>
      <c r="D753" s="1292"/>
      <c r="E753" s="1292"/>
      <c r="F753" s="1292"/>
      <c r="G753" s="1292"/>
      <c r="H753" s="1031"/>
      <c r="I753" s="1159"/>
      <c r="J753" s="502"/>
      <c r="K753" s="502"/>
    </row>
    <row r="754" spans="1:11">
      <c r="A754" s="484"/>
      <c r="B754" s="484"/>
      <c r="C754" s="484"/>
      <c r="D754" s="493"/>
      <c r="G754" s="502"/>
      <c r="H754" s="502"/>
      <c r="I754" s="484"/>
      <c r="J754" s="502"/>
      <c r="K754" s="502"/>
    </row>
    <row r="755" spans="1:11" ht="13.7" customHeight="1">
      <c r="C755" s="484"/>
      <c r="D755" s="1287" t="s">
        <v>1070</v>
      </c>
      <c r="E755" s="1287"/>
      <c r="F755" s="1287"/>
      <c r="G755" s="502"/>
      <c r="H755" s="502"/>
      <c r="I755" s="484"/>
      <c r="J755" s="502"/>
      <c r="K755" s="502"/>
    </row>
    <row r="756" spans="1:11">
      <c r="A756" s="484"/>
      <c r="B756" s="484"/>
      <c r="C756" s="484"/>
      <c r="D756" s="1291" t="s">
        <v>1071</v>
      </c>
      <c r="E756" s="1291"/>
      <c r="F756" s="1291"/>
      <c r="G756" s="502"/>
      <c r="H756" s="502"/>
      <c r="I756" s="484"/>
      <c r="J756" s="502"/>
      <c r="K756" s="502"/>
    </row>
    <row r="757" spans="1:11">
      <c r="A757" s="484"/>
      <c r="B757" s="484"/>
      <c r="C757" s="484"/>
      <c r="G757" s="502"/>
      <c r="H757" s="502"/>
      <c r="I757" s="484"/>
      <c r="J757" s="502"/>
      <c r="K757" s="502"/>
    </row>
    <row r="758" spans="1:11" ht="14.25">
      <c r="A758" s="485"/>
      <c r="B758" s="486" t="s">
        <v>2669</v>
      </c>
      <c r="D758" s="1285" t="s">
        <v>1072</v>
      </c>
      <c r="E758" s="1285"/>
      <c r="F758" s="1285"/>
      <c r="G758" s="502"/>
      <c r="H758" s="502"/>
      <c r="I758" s="484"/>
      <c r="J758" s="502"/>
      <c r="K758" s="502"/>
    </row>
    <row r="759" spans="1:11" ht="10.5" customHeight="1">
      <c r="D759" s="1285"/>
      <c r="E759" s="1285"/>
      <c r="F759" s="1285"/>
      <c r="G759" s="502"/>
      <c r="H759" s="502"/>
      <c r="I759" s="484"/>
      <c r="J759" s="502"/>
      <c r="K759" s="502"/>
    </row>
    <row r="760" spans="1:11">
      <c r="D760" s="1285"/>
      <c r="E760" s="1285"/>
      <c r="F760" s="1285"/>
      <c r="G760" s="502"/>
      <c r="H760" s="502"/>
      <c r="I760" s="484"/>
      <c r="J760" s="502"/>
      <c r="K760" s="502"/>
    </row>
    <row r="761" spans="1:11">
      <c r="D761" s="1285"/>
      <c r="E761" s="1285"/>
      <c r="F761" s="1285"/>
      <c r="G761" s="502"/>
      <c r="H761" s="502"/>
      <c r="I761" s="484"/>
      <c r="J761" s="502"/>
      <c r="K761" s="502"/>
    </row>
    <row r="762" spans="1:11">
      <c r="D762" s="1285"/>
      <c r="E762" s="1285"/>
      <c r="F762" s="1285"/>
      <c r="G762" s="502"/>
      <c r="H762" s="502"/>
      <c r="I762" s="484"/>
      <c r="J762" s="502"/>
      <c r="K762" s="502"/>
    </row>
    <row r="763" spans="1:11" ht="15.6" customHeight="1">
      <c r="D763" s="1285"/>
      <c r="E763" s="1285"/>
      <c r="F763" s="1285"/>
      <c r="G763" s="502"/>
      <c r="H763" s="502"/>
      <c r="I763" s="484"/>
      <c r="J763" s="502"/>
      <c r="K763" s="502"/>
    </row>
    <row r="764" spans="1:11">
      <c r="D764" s="500"/>
      <c r="E764" s="447"/>
      <c r="F764" s="447"/>
      <c r="G764" s="502"/>
      <c r="H764" s="502"/>
      <c r="I764" s="484"/>
      <c r="J764" s="502"/>
      <c r="K764" s="502"/>
    </row>
    <row r="765" spans="1:11" s="506" customFormat="1" ht="14.25">
      <c r="A765" s="504"/>
      <c r="B765" s="486" t="s">
        <v>2670</v>
      </c>
      <c r="C765" s="505"/>
      <c r="D765" s="1285" t="s">
        <v>1241</v>
      </c>
      <c r="E765" s="1285"/>
      <c r="F765" s="1285"/>
      <c r="I765" s="1160"/>
    </row>
    <row r="766" spans="1:11" s="506" customFormat="1">
      <c r="A766" s="505"/>
      <c r="B766" s="505"/>
      <c r="C766" s="505"/>
      <c r="D766" s="1285"/>
      <c r="E766" s="1285"/>
      <c r="F766" s="1285"/>
      <c r="I766" s="1160"/>
    </row>
    <row r="767" spans="1:11" s="506" customFormat="1">
      <c r="A767" s="505"/>
      <c r="B767" s="505"/>
      <c r="C767" s="505"/>
      <c r="D767" s="1285"/>
      <c r="E767" s="1285"/>
      <c r="F767" s="1285"/>
      <c r="I767" s="1160"/>
    </row>
    <row r="768" spans="1:11" s="506" customFormat="1">
      <c r="A768" s="505"/>
      <c r="B768" s="505"/>
      <c r="C768" s="505"/>
      <c r="D768" s="1285"/>
      <c r="E768" s="1285"/>
      <c r="F768" s="1285"/>
      <c r="I768" s="1160"/>
    </row>
    <row r="769" spans="1:11" s="506" customFormat="1">
      <c r="A769" s="505"/>
      <c r="B769" s="505"/>
      <c r="C769" s="505"/>
      <c r="D769" s="500"/>
      <c r="I769" s="1160"/>
    </row>
    <row r="770" spans="1:11" s="506" customFormat="1" ht="14.25">
      <c r="A770" s="485"/>
      <c r="B770" s="486" t="s">
        <v>2670</v>
      </c>
      <c r="C770" s="505"/>
      <c r="D770" s="1310" t="s">
        <v>1242</v>
      </c>
      <c r="E770" s="1310"/>
      <c r="F770" s="1310"/>
      <c r="I770" s="1160"/>
    </row>
    <row r="771" spans="1:11" s="506" customFormat="1">
      <c r="A771" s="505"/>
      <c r="B771" s="505"/>
      <c r="C771" s="505"/>
      <c r="D771" s="1310"/>
      <c r="E771" s="1310"/>
      <c r="F771" s="1310"/>
      <c r="I771" s="1160"/>
    </row>
    <row r="772" spans="1:11" s="506" customFormat="1">
      <c r="A772" s="505"/>
      <c r="B772" s="505"/>
      <c r="C772" s="505"/>
      <c r="D772" s="1310"/>
      <c r="E772" s="1310"/>
      <c r="F772" s="1310"/>
      <c r="I772" s="1160"/>
    </row>
    <row r="773" spans="1:11">
      <c r="D773" s="500"/>
      <c r="E773" s="447"/>
      <c r="F773" s="447"/>
      <c r="G773" s="502"/>
      <c r="H773" s="502"/>
      <c r="I773" s="484"/>
      <c r="J773" s="502"/>
      <c r="K773" s="502"/>
    </row>
    <row r="774" spans="1:11" ht="14.25">
      <c r="A774" s="485"/>
      <c r="B774" s="486" t="s">
        <v>2670</v>
      </c>
      <c r="D774" s="1285" t="s">
        <v>1198</v>
      </c>
      <c r="E774" s="1285"/>
      <c r="F774" s="1285"/>
      <c r="G774" s="502"/>
      <c r="H774" s="502"/>
      <c r="I774" s="484"/>
      <c r="J774" s="502"/>
      <c r="K774" s="502"/>
    </row>
    <row r="775" spans="1:11">
      <c r="D775" s="1285"/>
      <c r="E775" s="1285"/>
      <c r="F775" s="1285"/>
      <c r="G775" s="502"/>
      <c r="H775" s="502"/>
      <c r="I775" s="484"/>
      <c r="J775" s="502"/>
      <c r="K775" s="502"/>
    </row>
    <row r="776" spans="1:11">
      <c r="D776" s="446"/>
      <c r="E776" s="446"/>
      <c r="F776" s="446"/>
      <c r="G776" s="502"/>
      <c r="H776" s="502"/>
      <c r="I776" s="484"/>
      <c r="J776" s="502"/>
      <c r="K776" s="502"/>
    </row>
    <row r="777" spans="1:11">
      <c r="B777" s="486" t="s">
        <v>307</v>
      </c>
      <c r="D777" s="1285" t="s">
        <v>1215</v>
      </c>
      <c r="E777" s="1285"/>
      <c r="F777" s="1285"/>
      <c r="G777" s="502"/>
      <c r="H777" s="502"/>
      <c r="I777" s="484"/>
      <c r="J777" s="502"/>
      <c r="K777" s="502"/>
    </row>
    <row r="778" spans="1:11">
      <c r="D778" s="1285"/>
      <c r="E778" s="1285"/>
      <c r="F778" s="1285"/>
      <c r="G778" s="502"/>
      <c r="H778" s="502"/>
      <c r="I778" s="484"/>
      <c r="J778" s="502"/>
      <c r="K778" s="502"/>
    </row>
    <row r="779" spans="1:11">
      <c r="D779" s="1285"/>
      <c r="E779" s="1285"/>
      <c r="F779" s="1285"/>
      <c r="G779" s="502"/>
      <c r="H779" s="502"/>
      <c r="I779" s="484"/>
      <c r="J779" s="502"/>
      <c r="K779" s="502"/>
    </row>
    <row r="780" spans="1:11">
      <c r="D780" s="446"/>
      <c r="E780" s="446"/>
      <c r="F780" s="446"/>
      <c r="G780" s="502"/>
      <c r="H780" s="502"/>
      <c r="I780" s="484"/>
      <c r="J780" s="502"/>
      <c r="K780" s="502"/>
    </row>
    <row r="781" spans="1:11">
      <c r="A781" s="1317" t="s">
        <v>1801</v>
      </c>
      <c r="B781" s="1317"/>
      <c r="C781" s="1317"/>
      <c r="D781" s="1317"/>
      <c r="E781" s="1317"/>
      <c r="F781" s="1317"/>
      <c r="G781" s="1317"/>
      <c r="H781" s="1029"/>
      <c r="I781" s="1155"/>
    </row>
    <row r="782" spans="1:11">
      <c r="A782" s="57"/>
      <c r="B782" s="57"/>
      <c r="C782" s="355"/>
      <c r="D782" s="3"/>
      <c r="E782" s="3"/>
      <c r="F782" s="3"/>
      <c r="G782" s="3"/>
      <c r="I782" s="491"/>
    </row>
    <row r="783" spans="1:11">
      <c r="A783" s="57"/>
      <c r="B783" s="57"/>
      <c r="C783" s="355"/>
      <c r="D783" s="1316" t="s">
        <v>1855</v>
      </c>
      <c r="E783" s="1316"/>
      <c r="F783" s="1316"/>
      <c r="G783" s="3"/>
      <c r="I783" s="491"/>
    </row>
    <row r="784" spans="1:11">
      <c r="A784" s="57"/>
      <c r="B784" s="57"/>
      <c r="C784" s="355"/>
      <c r="D784" s="1297" t="s">
        <v>1755</v>
      </c>
      <c r="E784" s="1297"/>
      <c r="F784" s="1297"/>
      <c r="G784" s="3"/>
      <c r="I784" s="491"/>
    </row>
    <row r="785" spans="1:9">
      <c r="A785" s="57"/>
      <c r="B785" s="57"/>
      <c r="C785" s="355"/>
      <c r="D785" s="448"/>
      <c r="E785" s="448"/>
      <c r="F785" s="448"/>
      <c r="G785" s="3"/>
      <c r="I785" s="491"/>
    </row>
    <row r="786" spans="1:9">
      <c r="A786" s="57"/>
      <c r="B786" s="486" t="s">
        <v>2670</v>
      </c>
      <c r="C786" s="355"/>
      <c r="D786" s="1318" t="s">
        <v>1756</v>
      </c>
      <c r="E786" s="1318"/>
      <c r="F786" s="1318"/>
      <c r="G786" s="3"/>
      <c r="I786" s="484"/>
    </row>
    <row r="787" spans="1:9">
      <c r="A787" s="57"/>
      <c r="B787" s="57"/>
      <c r="C787" s="355"/>
      <c r="D787" s="1318"/>
      <c r="E787" s="1318"/>
      <c r="F787" s="1318"/>
      <c r="G787" s="3"/>
      <c r="I787" s="491"/>
    </row>
    <row r="788" spans="1:9">
      <c r="A788" s="174"/>
      <c r="B788" s="174"/>
      <c r="C788" s="174"/>
      <c r="D788" s="1318"/>
      <c r="E788" s="1318"/>
      <c r="F788" s="1318"/>
      <c r="G788" s="118"/>
      <c r="I788" s="491"/>
    </row>
    <row r="789" spans="1:9">
      <c r="A789" s="355"/>
      <c r="B789" s="355"/>
      <c r="C789" s="355"/>
      <c r="D789" s="173"/>
      <c r="E789" s="3"/>
      <c r="F789" s="3"/>
      <c r="G789" s="3"/>
      <c r="I789" s="491"/>
    </row>
    <row r="790" spans="1:9">
      <c r="A790" s="172"/>
      <c r="B790" s="486" t="s">
        <v>2670</v>
      </c>
      <c r="C790" s="172"/>
      <c r="D790" s="1318" t="s">
        <v>1757</v>
      </c>
      <c r="E790" s="1318"/>
      <c r="F790" s="1318"/>
      <c r="G790" s="3"/>
      <c r="I790" s="484"/>
    </row>
    <row r="791" spans="1:9">
      <c r="A791" s="172"/>
      <c r="B791" s="172"/>
      <c r="C791" s="172"/>
      <c r="D791" s="1318"/>
      <c r="E791" s="1318"/>
      <c r="F791" s="1318"/>
      <c r="G791" s="3"/>
      <c r="I791" s="491"/>
    </row>
    <row r="792" spans="1:9">
      <c r="A792" s="172"/>
      <c r="B792" s="172"/>
      <c r="C792" s="172"/>
      <c r="D792" s="1318"/>
      <c r="E792" s="1318"/>
      <c r="F792" s="1318"/>
      <c r="G792" s="3"/>
      <c r="I792" s="491"/>
    </row>
    <row r="793" spans="1:9">
      <c r="A793" s="174"/>
      <c r="B793" s="174"/>
      <c r="C793" s="174"/>
      <c r="D793" s="3"/>
      <c r="E793" s="989"/>
      <c r="F793" s="989"/>
      <c r="G793" s="989"/>
      <c r="I793" s="491"/>
    </row>
    <row r="794" spans="1:9" ht="14.25">
      <c r="A794" s="175"/>
      <c r="B794" s="486" t="s">
        <v>2670</v>
      </c>
      <c r="C794" s="990"/>
      <c r="D794" s="1318" t="s">
        <v>1758</v>
      </c>
      <c r="E794" s="1318"/>
      <c r="F794" s="1318"/>
      <c r="G794" s="989"/>
      <c r="I794" s="484"/>
    </row>
    <row r="795" spans="1:9" ht="14.25">
      <c r="A795" s="175"/>
      <c r="B795" s="175"/>
      <c r="C795" s="990"/>
      <c r="D795" s="1318"/>
      <c r="E795" s="1318"/>
      <c r="F795" s="1318"/>
      <c r="G795" s="989"/>
      <c r="I795" s="491"/>
    </row>
    <row r="796" spans="1:9" ht="14.25">
      <c r="A796" s="175"/>
      <c r="B796" s="175"/>
      <c r="C796" s="990"/>
      <c r="D796" s="1318"/>
      <c r="E796" s="1318"/>
      <c r="F796" s="1318"/>
      <c r="G796" s="989"/>
      <c r="I796" s="491"/>
    </row>
    <row r="797" spans="1:9" ht="14.25">
      <c r="A797" s="175"/>
      <c r="B797" s="175"/>
      <c r="C797" s="990"/>
      <c r="D797" s="118"/>
      <c r="E797" s="3"/>
      <c r="F797" s="3"/>
      <c r="G797" s="989"/>
      <c r="I797" s="491"/>
    </row>
    <row r="798" spans="1:9" ht="14.25">
      <c r="A798" s="175"/>
      <c r="B798" s="486" t="s">
        <v>2670</v>
      </c>
      <c r="C798" s="990"/>
      <c r="D798" s="1318" t="s">
        <v>1759</v>
      </c>
      <c r="E798" s="1318"/>
      <c r="F798" s="1318"/>
      <c r="G798" s="989"/>
      <c r="I798" s="484"/>
    </row>
    <row r="799" spans="1:9" ht="14.25">
      <c r="A799" s="175"/>
      <c r="B799" s="175"/>
      <c r="C799" s="990"/>
      <c r="D799" s="1318"/>
      <c r="E799" s="1318"/>
      <c r="F799" s="1318"/>
      <c r="G799" s="989"/>
      <c r="I799" s="491"/>
    </row>
    <row r="800" spans="1:9" ht="14.25">
      <c r="A800" s="175"/>
      <c r="B800" s="175"/>
      <c r="C800" s="990"/>
      <c r="D800" s="1318"/>
      <c r="E800" s="1318"/>
      <c r="F800" s="1318"/>
      <c r="G800" s="989"/>
      <c r="I800" s="491"/>
    </row>
    <row r="801" spans="1:9" ht="14.25">
      <c r="A801" s="175"/>
      <c r="B801" s="175"/>
      <c r="C801" s="990"/>
      <c r="D801" s="1318"/>
      <c r="E801" s="1318"/>
      <c r="F801" s="1318"/>
      <c r="G801" s="989"/>
      <c r="I801" s="491"/>
    </row>
    <row r="802" spans="1:9" ht="14.25">
      <c r="A802" s="175"/>
      <c r="B802" s="175"/>
      <c r="C802" s="990"/>
      <c r="D802" s="1318"/>
      <c r="E802" s="1318"/>
      <c r="F802" s="1318"/>
      <c r="G802" s="989"/>
      <c r="I802" s="491"/>
    </row>
    <row r="803" spans="1:9" ht="14.25">
      <c r="A803" s="175"/>
      <c r="B803" s="175"/>
      <c r="C803" s="990"/>
      <c r="D803" s="1318"/>
      <c r="E803" s="1318"/>
      <c r="F803" s="1318"/>
      <c r="G803" s="989"/>
      <c r="I803" s="491"/>
    </row>
    <row r="804" spans="1:9" ht="14.25">
      <c r="A804" s="175"/>
      <c r="B804" s="175"/>
      <c r="C804" s="990"/>
      <c r="D804" s="1318" t="s">
        <v>1802</v>
      </c>
      <c r="E804" s="1318"/>
      <c r="F804" s="1318"/>
      <c r="G804" s="989"/>
      <c r="I804" s="491"/>
    </row>
    <row r="805" spans="1:9" ht="14.25">
      <c r="A805" s="175"/>
      <c r="B805" s="175"/>
      <c r="C805" s="990"/>
      <c r="D805" s="1318"/>
      <c r="E805" s="1318"/>
      <c r="F805" s="1318"/>
      <c r="G805" s="989"/>
      <c r="I805" s="491"/>
    </row>
    <row r="806" spans="1:9" ht="14.25">
      <c r="A806" s="175"/>
      <c r="B806" s="175"/>
      <c r="C806" s="990"/>
      <c r="D806" s="1318"/>
      <c r="E806" s="1318"/>
      <c r="F806" s="1318"/>
      <c r="G806" s="989"/>
      <c r="I806" s="491"/>
    </row>
    <row r="807" spans="1:9" ht="14.25">
      <c r="A807" s="175"/>
      <c r="B807" s="355"/>
      <c r="C807" s="990"/>
      <c r="D807" s="991"/>
      <c r="E807" s="991"/>
      <c r="F807" s="991"/>
      <c r="G807" s="989"/>
      <c r="I807" s="491"/>
    </row>
    <row r="808" spans="1:9" ht="14.25">
      <c r="A808" s="175"/>
      <c r="B808" s="486" t="s">
        <v>2670</v>
      </c>
      <c r="C808" s="990"/>
      <c r="D808" s="1318" t="s">
        <v>1760</v>
      </c>
      <c r="E808" s="1318"/>
      <c r="F808" s="1318"/>
      <c r="G808" s="989"/>
      <c r="I808" s="484"/>
    </row>
    <row r="809" spans="1:9" ht="14.25">
      <c r="A809" s="175"/>
      <c r="B809" s="175"/>
      <c r="C809" s="990"/>
      <c r="D809" s="1318"/>
      <c r="E809" s="1318"/>
      <c r="F809" s="1318"/>
      <c r="G809" s="989"/>
      <c r="I809" s="491"/>
    </row>
    <row r="810" spans="1:9" ht="14.25">
      <c r="A810" s="175"/>
      <c r="B810" s="175"/>
      <c r="C810" s="990"/>
      <c r="D810" s="1318"/>
      <c r="E810" s="1318"/>
      <c r="F810" s="1318"/>
      <c r="G810" s="989"/>
      <c r="I810" s="491"/>
    </row>
    <row r="811" spans="1:9" ht="14.25">
      <c r="A811" s="175"/>
      <c r="B811" s="175"/>
      <c r="C811" s="990"/>
      <c r="D811" s="1318"/>
      <c r="E811" s="1318"/>
      <c r="F811" s="1318"/>
      <c r="G811" s="989"/>
      <c r="I811" s="491"/>
    </row>
    <row r="812" spans="1:9" ht="14.25">
      <c r="A812" s="175"/>
      <c r="B812" s="175"/>
      <c r="C812" s="990"/>
      <c r="D812" s="1318"/>
      <c r="E812" s="1318"/>
      <c r="F812" s="1318"/>
      <c r="G812" s="989"/>
      <c r="I812" s="491"/>
    </row>
    <row r="813" spans="1:9" ht="14.25">
      <c r="A813" s="175"/>
      <c r="B813" s="175"/>
      <c r="C813" s="990"/>
      <c r="D813" s="1318"/>
      <c r="E813" s="1318"/>
      <c r="F813" s="1318"/>
      <c r="G813" s="989"/>
      <c r="I813" s="491"/>
    </row>
    <row r="814" spans="1:9" ht="14.25">
      <c r="A814" s="175"/>
      <c r="B814" s="175"/>
      <c r="C814" s="990"/>
      <c r="D814" s="983"/>
      <c r="E814" s="983"/>
      <c r="F814" s="983"/>
      <c r="G814" s="989"/>
      <c r="I814" s="491"/>
    </row>
    <row r="815" spans="1:9" ht="14.25">
      <c r="A815" s="175"/>
      <c r="B815" s="486" t="s">
        <v>2670</v>
      </c>
      <c r="C815" s="990"/>
      <c r="D815" s="1318" t="s">
        <v>1761</v>
      </c>
      <c r="E815" s="1318"/>
      <c r="F815" s="1318"/>
      <c r="G815" s="989"/>
      <c r="I815" s="484"/>
    </row>
    <row r="816" spans="1:9" ht="14.25">
      <c r="A816" s="175"/>
      <c r="B816" s="175"/>
      <c r="C816" s="990"/>
      <c r="D816" s="1318"/>
      <c r="E816" s="1318"/>
      <c r="F816" s="1318"/>
      <c r="G816" s="989"/>
      <c r="I816" s="491"/>
    </row>
    <row r="817" spans="1:9" ht="14.25">
      <c r="A817" s="175"/>
      <c r="B817" s="175"/>
      <c r="C817" s="990"/>
      <c r="D817" s="1318"/>
      <c r="E817" s="1318"/>
      <c r="F817" s="1318"/>
      <c r="G817" s="989"/>
      <c r="I817" s="491"/>
    </row>
    <row r="818" spans="1:9" ht="14.25">
      <c r="A818" s="175"/>
      <c r="B818" s="175"/>
      <c r="C818" s="990"/>
      <c r="D818" s="1318"/>
      <c r="E818" s="1318"/>
      <c r="F818" s="1318"/>
      <c r="G818" s="989"/>
      <c r="I818" s="491"/>
    </row>
    <row r="819" spans="1:9" ht="14.25">
      <c r="A819" s="175"/>
      <c r="B819" s="175"/>
      <c r="C819" s="990"/>
      <c r="D819" s="1318"/>
      <c r="E819" s="1318"/>
      <c r="F819" s="1318"/>
      <c r="G819" s="989"/>
      <c r="I819" s="491"/>
    </row>
    <row r="820" spans="1:9" ht="14.25">
      <c r="A820" s="175"/>
      <c r="B820" s="175"/>
      <c r="C820" s="990"/>
      <c r="D820" s="1318"/>
      <c r="E820" s="1318"/>
      <c r="F820" s="1318"/>
      <c r="G820" s="989"/>
      <c r="I820" s="491"/>
    </row>
    <row r="821" spans="1:9" ht="14.25">
      <c r="A821" s="175"/>
      <c r="B821" s="175"/>
      <c r="C821" s="990"/>
      <c r="D821" s="983"/>
      <c r="E821" s="983"/>
      <c r="F821" s="983"/>
      <c r="G821" s="989"/>
      <c r="I821" s="491"/>
    </row>
    <row r="822" spans="1:9" ht="14.25">
      <c r="A822" s="175"/>
      <c r="B822" s="486" t="s">
        <v>2670</v>
      </c>
      <c r="C822" s="990"/>
      <c r="D822" s="1290" t="s">
        <v>1762</v>
      </c>
      <c r="E822" s="1290"/>
      <c r="F822" s="1290"/>
      <c r="G822" s="989"/>
      <c r="I822" s="484"/>
    </row>
    <row r="823" spans="1:9" ht="14.25">
      <c r="A823" s="175"/>
      <c r="B823" s="175"/>
      <c r="C823" s="990"/>
      <c r="D823" s="1290"/>
      <c r="E823" s="1290"/>
      <c r="F823" s="1290"/>
      <c r="G823" s="989"/>
      <c r="I823" s="491"/>
    </row>
    <row r="824" spans="1:9">
      <c r="A824" s="13"/>
      <c r="B824" s="13"/>
      <c r="C824" s="990"/>
      <c r="D824" s="1290"/>
      <c r="E824" s="1290"/>
      <c r="F824" s="1290"/>
      <c r="G824" s="989"/>
      <c r="I824" s="491"/>
    </row>
    <row r="825" spans="1:9" ht="14.25">
      <c r="A825" s="175"/>
      <c r="B825" s="13"/>
      <c r="C825" s="990"/>
      <c r="D825" s="1290"/>
      <c r="E825" s="1290"/>
      <c r="F825" s="1290"/>
      <c r="G825" s="989"/>
      <c r="I825" s="491"/>
    </row>
    <row r="826" spans="1:9" ht="12.75" customHeight="1">
      <c r="A826" s="175"/>
      <c r="B826" s="13"/>
      <c r="C826" s="990"/>
      <c r="D826" s="1290"/>
      <c r="E826" s="1290"/>
      <c r="F826" s="1290"/>
      <c r="G826" s="989"/>
      <c r="I826" s="491"/>
    </row>
    <row r="827" spans="1:9" ht="12.75" customHeight="1">
      <c r="A827" s="175"/>
      <c r="B827" s="13"/>
      <c r="C827" s="990"/>
      <c r="D827" s="1290"/>
      <c r="E827" s="1290"/>
      <c r="F827" s="1290"/>
      <c r="G827" s="989"/>
      <c r="I827" s="491"/>
    </row>
    <row r="828" spans="1:9" ht="12.75" customHeight="1">
      <c r="A828" s="13"/>
      <c r="B828" s="13"/>
      <c r="C828" s="990"/>
      <c r="D828" s="989"/>
      <c r="E828" s="3"/>
      <c r="F828" s="3"/>
      <c r="G828" s="989"/>
      <c r="I828" s="491"/>
    </row>
    <row r="829" spans="1:9" ht="12.75" customHeight="1">
      <c r="A829" s="1311" t="s">
        <v>1763</v>
      </c>
      <c r="B829" s="1311"/>
      <c r="C829" s="1311"/>
      <c r="D829" s="1311"/>
      <c r="E829" s="1311"/>
      <c r="F829" s="1311"/>
      <c r="G829" s="1311"/>
      <c r="H829" s="1029"/>
      <c r="I829" s="1155"/>
    </row>
    <row r="830" spans="1:9" ht="12.75" customHeight="1">
      <c r="A830" s="172"/>
      <c r="B830" s="172"/>
      <c r="C830" s="990"/>
      <c r="D830" s="989"/>
      <c r="E830" s="989"/>
      <c r="F830" s="989"/>
      <c r="G830" s="989"/>
      <c r="I830" s="491"/>
    </row>
    <row r="831" spans="1:9" ht="12.75" customHeight="1">
      <c r="A831" s="175"/>
      <c r="B831" s="175"/>
      <c r="C831" s="355"/>
      <c r="D831" s="1315" t="s">
        <v>1803</v>
      </c>
      <c r="E831" s="1315"/>
      <c r="F831" s="1315"/>
      <c r="G831" s="3"/>
      <c r="I831" s="491"/>
    </row>
    <row r="832" spans="1:9" ht="14.25" customHeight="1">
      <c r="A832" s="175"/>
      <c r="B832" s="175"/>
      <c r="C832" s="355"/>
      <c r="D832" s="1262" t="s">
        <v>1764</v>
      </c>
      <c r="E832" s="1262"/>
      <c r="F832" s="1262"/>
      <c r="G832" s="3"/>
      <c r="I832" s="491"/>
    </row>
    <row r="833" spans="1:9" ht="12.75" customHeight="1">
      <c r="A833" s="175"/>
      <c r="B833" s="175"/>
      <c r="C833" s="355"/>
      <c r="D833" s="442"/>
      <c r="E833" s="442"/>
      <c r="F833" s="442"/>
      <c r="G833" s="3"/>
      <c r="I833" s="491"/>
    </row>
    <row r="834" spans="1:9" ht="12.75" customHeight="1">
      <c r="A834" s="355"/>
      <c r="B834" s="486" t="s">
        <v>2669</v>
      </c>
      <c r="C834" s="990"/>
      <c r="D834" s="1262" t="s">
        <v>1765</v>
      </c>
      <c r="E834" s="1262"/>
      <c r="F834" s="1262"/>
      <c r="G834" s="3"/>
      <c r="I834" s="491" t="s">
        <v>1880</v>
      </c>
    </row>
    <row r="835" spans="1:9" ht="14.25" customHeight="1">
      <c r="A835" s="13"/>
      <c r="B835" s="13"/>
      <c r="C835" s="990"/>
      <c r="E835" s="1037" t="s">
        <v>1896</v>
      </c>
      <c r="F835" s="1039"/>
      <c r="G835" s="3"/>
      <c r="I835" s="491"/>
    </row>
    <row r="836" spans="1:9" ht="12.75" customHeight="1">
      <c r="A836" s="13"/>
      <c r="B836" s="13"/>
      <c r="C836" s="990"/>
      <c r="D836" s="992"/>
      <c r="E836" s="3"/>
      <c r="F836" s="3"/>
      <c r="G836" s="3"/>
      <c r="I836" s="491"/>
    </row>
    <row r="837" spans="1:9" ht="14.25" hidden="1" customHeight="1">
      <c r="A837" s="13"/>
      <c r="B837" s="486" t="s">
        <v>307</v>
      </c>
      <c r="C837" s="990"/>
      <c r="D837" s="1320" t="s">
        <v>2077</v>
      </c>
      <c r="E837" s="1320"/>
      <c r="F837" s="1320"/>
      <c r="G837" s="3"/>
      <c r="I837" s="491"/>
    </row>
    <row r="838" spans="1:9" ht="12.75" hidden="1" customHeight="1">
      <c r="A838" s="13"/>
      <c r="B838" s="13"/>
      <c r="C838" s="990"/>
      <c r="D838" s="1320"/>
      <c r="E838" s="1320"/>
      <c r="F838" s="1320"/>
      <c r="G838" s="3"/>
      <c r="I838" s="491"/>
    </row>
    <row r="839" spans="1:9" ht="12.75" hidden="1" customHeight="1">
      <c r="A839" s="13"/>
      <c r="B839" s="13"/>
      <c r="C839" s="990"/>
      <c r="D839" s="1320"/>
      <c r="E839" s="1320"/>
      <c r="F839" s="1320"/>
      <c r="G839" s="3"/>
      <c r="I839" s="491"/>
    </row>
    <row r="840" spans="1:9" ht="12.75" hidden="1" customHeight="1">
      <c r="A840" s="13"/>
      <c r="B840" s="13"/>
      <c r="C840" s="990"/>
      <c r="D840" s="1320"/>
      <c r="E840" s="1320"/>
      <c r="F840" s="1320"/>
      <c r="G840" s="3"/>
      <c r="I840" s="491"/>
    </row>
    <row r="841" spans="1:9" ht="12.75" hidden="1" customHeight="1">
      <c r="A841" s="13"/>
      <c r="B841" s="13"/>
      <c r="C841" s="990"/>
      <c r="D841" s="1320"/>
      <c r="E841" s="1320"/>
      <c r="F841" s="1320"/>
      <c r="G841" s="3"/>
      <c r="I841" s="491"/>
    </row>
    <row r="842" spans="1:9" ht="12.75" hidden="1" customHeight="1">
      <c r="A842" s="13"/>
      <c r="B842" s="13"/>
      <c r="C842" s="990"/>
      <c r="D842" s="1320"/>
      <c r="E842" s="1320"/>
      <c r="F842" s="1320"/>
      <c r="G842" s="3"/>
      <c r="I842" s="491"/>
    </row>
    <row r="843" spans="1:9" ht="12.75" hidden="1" customHeight="1">
      <c r="A843" s="13"/>
      <c r="B843" s="13"/>
      <c r="C843" s="990"/>
      <c r="D843" s="1320"/>
      <c r="E843" s="1320"/>
      <c r="F843" s="1320"/>
      <c r="G843" s="3"/>
      <c r="I843" s="491"/>
    </row>
    <row r="844" spans="1:9" ht="12.75" hidden="1" customHeight="1">
      <c r="A844" s="13"/>
      <c r="B844" s="13"/>
      <c r="C844" s="990"/>
      <c r="D844" s="1320"/>
      <c r="E844" s="1320"/>
      <c r="F844" s="1320"/>
      <c r="G844" s="3"/>
      <c r="I844" s="491"/>
    </row>
    <row r="845" spans="1:9" ht="12.75" hidden="1" customHeight="1">
      <c r="A845" s="13"/>
      <c r="B845" s="13"/>
      <c r="C845" s="990"/>
      <c r="D845" s="1320"/>
      <c r="E845" s="1320"/>
      <c r="F845" s="1320"/>
      <c r="G845" s="3"/>
      <c r="I845" s="491"/>
    </row>
    <row r="846" spans="1:9" ht="12.75" hidden="1" customHeight="1">
      <c r="A846" s="13"/>
      <c r="B846" s="13"/>
      <c r="C846" s="990"/>
      <c r="D846" s="1320"/>
      <c r="E846" s="1320"/>
      <c r="F846" s="1320"/>
      <c r="G846" s="3"/>
      <c r="I846" s="491"/>
    </row>
    <row r="847" spans="1:9" ht="12.75" hidden="1" customHeight="1">
      <c r="A847" s="13"/>
      <c r="B847" s="13"/>
      <c r="C847" s="990"/>
      <c r="D847" s="992"/>
      <c r="E847" s="3"/>
      <c r="F847" s="3"/>
      <c r="G847" s="3"/>
      <c r="I847" s="491"/>
    </row>
    <row r="848" spans="1:9" ht="12.75" customHeight="1">
      <c r="A848" s="175"/>
      <c r="B848" s="486" t="s">
        <v>2669</v>
      </c>
      <c r="C848" s="990"/>
      <c r="D848" s="1262" t="s">
        <v>1766</v>
      </c>
      <c r="E848" s="1262"/>
      <c r="F848" s="1262"/>
      <c r="G848" s="3"/>
      <c r="I848" s="491" t="s">
        <v>1883</v>
      </c>
    </row>
    <row r="849" spans="1:9" ht="12.75" customHeight="1">
      <c r="A849" s="175"/>
      <c r="B849" s="175"/>
      <c r="C849" s="990"/>
      <c r="D849" s="1262"/>
      <c r="E849" s="1262"/>
      <c r="F849" s="1262"/>
      <c r="G849" s="3"/>
      <c r="I849" s="491"/>
    </row>
    <row r="850" spans="1:9" ht="12.75" customHeight="1">
      <c r="A850" s="175"/>
      <c r="B850" s="175"/>
      <c r="C850" s="990"/>
      <c r="D850" s="1262"/>
      <c r="E850" s="1262"/>
      <c r="F850" s="1262"/>
      <c r="G850" s="3"/>
      <c r="I850" s="491"/>
    </row>
    <row r="851" spans="1:9" ht="12.75" customHeight="1">
      <c r="A851" s="175"/>
      <c r="B851" s="175"/>
      <c r="C851" s="990"/>
      <c r="D851" s="118"/>
      <c r="E851" s="3"/>
      <c r="F851" s="3"/>
      <c r="G851" s="3"/>
      <c r="I851" s="491"/>
    </row>
    <row r="852" spans="1:9" ht="12.75" customHeight="1">
      <c r="A852" s="993"/>
      <c r="B852" s="486" t="s">
        <v>2670</v>
      </c>
      <c r="C852" s="990"/>
      <c r="D852" s="1315" t="s">
        <v>1767</v>
      </c>
      <c r="E852" s="1315"/>
      <c r="F852" s="1315"/>
      <c r="G852" s="3"/>
      <c r="I852" s="491"/>
    </row>
    <row r="853" spans="1:9" ht="12.75" customHeight="1">
      <c r="A853" s="355"/>
      <c r="B853" s="993"/>
      <c r="C853" s="990"/>
      <c r="D853" s="1315"/>
      <c r="E853" s="1315"/>
      <c r="F853" s="1315"/>
      <c r="G853" s="3"/>
      <c r="I853" s="491"/>
    </row>
    <row r="854" spans="1:9" ht="12.75" customHeight="1">
      <c r="A854" s="175"/>
      <c r="B854" s="355"/>
      <c r="C854" s="990"/>
      <c r="D854" s="1262" t="s">
        <v>2070</v>
      </c>
      <c r="E854" s="1262"/>
      <c r="F854" s="1262"/>
      <c r="G854" s="3"/>
      <c r="I854" s="491"/>
    </row>
    <row r="855" spans="1:9" ht="12.75" customHeight="1">
      <c r="A855" s="175"/>
      <c r="B855" s="175"/>
      <c r="C855" s="990"/>
      <c r="D855" s="1262"/>
      <c r="E855" s="1262"/>
      <c r="F855" s="1262"/>
      <c r="G855" s="3"/>
      <c r="I855" s="491"/>
    </row>
    <row r="856" spans="1:9" ht="12.75" customHeight="1">
      <c r="A856" s="175"/>
      <c r="B856" s="175"/>
      <c r="C856" s="990"/>
      <c r="D856" s="1262"/>
      <c r="E856" s="1262"/>
      <c r="F856" s="1262"/>
      <c r="G856" s="3"/>
      <c r="I856" s="491"/>
    </row>
    <row r="857" spans="1:9" ht="12.75" customHeight="1">
      <c r="A857" s="175"/>
      <c r="B857" s="175"/>
      <c r="C857" s="990"/>
      <c r="D857" s="1262"/>
      <c r="E857" s="1262"/>
      <c r="F857" s="1262"/>
      <c r="G857" s="3"/>
      <c r="I857" s="491"/>
    </row>
    <row r="858" spans="1:9" ht="12.75" customHeight="1">
      <c r="A858" s="175"/>
      <c r="B858" s="175"/>
      <c r="C858" s="990"/>
      <c r="D858" s="1262"/>
      <c r="E858" s="1262"/>
      <c r="F858" s="1262"/>
      <c r="G858" s="3"/>
      <c r="I858" s="491"/>
    </row>
    <row r="859" spans="1:9" ht="12.75" customHeight="1">
      <c r="A859" s="175"/>
      <c r="B859" s="175"/>
      <c r="C859" s="990"/>
      <c r="D859" s="1262"/>
      <c r="E859" s="1262"/>
      <c r="F859" s="1262"/>
      <c r="G859" s="3"/>
      <c r="I859" s="491"/>
    </row>
    <row r="860" spans="1:9" ht="12.75" customHeight="1">
      <c r="A860" s="175"/>
      <c r="B860" s="175"/>
      <c r="C860" s="990"/>
      <c r="D860" s="118"/>
      <c r="E860" s="3"/>
      <c r="F860" s="3"/>
      <c r="G860" s="3"/>
      <c r="I860" s="491"/>
    </row>
    <row r="861" spans="1:9" ht="12.75" customHeight="1">
      <c r="A861" s="175"/>
      <c r="B861" s="486" t="s">
        <v>2670</v>
      </c>
      <c r="C861" s="990"/>
      <c r="D861" s="1262" t="s">
        <v>1768</v>
      </c>
      <c r="E861" s="1262"/>
      <c r="F861" s="1262"/>
      <c r="G861" s="3"/>
      <c r="I861" s="491" t="s">
        <v>1881</v>
      </c>
    </row>
    <row r="862" spans="1:9" ht="12.75" customHeight="1">
      <c r="A862" s="175"/>
      <c r="B862" s="175"/>
      <c r="C862" s="990"/>
      <c r="D862" s="1262" t="s">
        <v>1769</v>
      </c>
      <c r="E862" s="1262"/>
      <c r="F862" s="1262"/>
      <c r="G862" s="3"/>
      <c r="I862" s="491"/>
    </row>
    <row r="863" spans="1:9" ht="12.75" customHeight="1">
      <c r="A863" s="175"/>
      <c r="B863" s="175"/>
      <c r="C863" s="990"/>
      <c r="E863" s="1037" t="s">
        <v>1898</v>
      </c>
      <c r="F863" s="1039"/>
      <c r="G863" s="3"/>
      <c r="I863" s="491"/>
    </row>
    <row r="864" spans="1:9" ht="12.75" customHeight="1">
      <c r="A864" s="175"/>
      <c r="B864" s="175"/>
      <c r="C864" s="990"/>
      <c r="D864" s="118"/>
      <c r="E864" s="3"/>
      <c r="F864" s="3"/>
      <c r="G864" s="3"/>
      <c r="I864" s="491"/>
    </row>
    <row r="865" spans="1:9" ht="12.75" customHeight="1">
      <c r="A865" s="175"/>
      <c r="B865" s="486" t="s">
        <v>2670</v>
      </c>
      <c r="C865" s="990"/>
      <c r="D865" s="1262" t="s">
        <v>1770</v>
      </c>
      <c r="E865" s="1262"/>
      <c r="F865" s="1262"/>
      <c r="G865" s="3"/>
      <c r="I865" s="491" t="s">
        <v>1884</v>
      </c>
    </row>
    <row r="866" spans="1:9" ht="12.75" customHeight="1">
      <c r="A866" s="175"/>
      <c r="B866" s="175"/>
      <c r="C866" s="990"/>
      <c r="D866" s="1262"/>
      <c r="E866" s="1262"/>
      <c r="F866" s="1262"/>
      <c r="G866" s="3"/>
      <c r="I866" s="491"/>
    </row>
    <row r="867" spans="1:9" ht="12.75" customHeight="1">
      <c r="A867" s="175"/>
      <c r="B867" s="175"/>
      <c r="C867" s="990"/>
      <c r="D867" s="1262"/>
      <c r="E867" s="1262"/>
      <c r="F867" s="1262"/>
      <c r="G867" s="3"/>
      <c r="I867" s="491"/>
    </row>
    <row r="868" spans="1:9" ht="12.75" customHeight="1">
      <c r="A868" s="175"/>
      <c r="B868" s="175"/>
      <c r="C868" s="990"/>
      <c r="D868" s="1262"/>
      <c r="E868" s="1262"/>
      <c r="F868" s="1262"/>
      <c r="G868" s="3"/>
      <c r="I868" s="491"/>
    </row>
    <row r="869" spans="1:9" ht="12.75" customHeight="1">
      <c r="A869" s="172"/>
      <c r="B869" s="172"/>
      <c r="C869" s="172"/>
      <c r="D869" s="118"/>
      <c r="E869" s="3"/>
      <c r="F869" s="3"/>
      <c r="G869" s="3"/>
      <c r="I869" s="491"/>
    </row>
    <row r="870" spans="1:9" ht="12.75" customHeight="1">
      <c r="A870" s="984" t="s">
        <v>1771</v>
      </c>
      <c r="B870" s="984"/>
      <c r="C870" s="994"/>
      <c r="D870" s="994"/>
      <c r="E870" s="994"/>
      <c r="F870" s="994"/>
      <c r="G870" s="994"/>
      <c r="H870" s="1029"/>
      <c r="I870" s="1155"/>
    </row>
    <row r="871" spans="1:9" ht="12.75" customHeight="1">
      <c r="A871" s="172"/>
      <c r="B871" s="172"/>
      <c r="C871" s="172"/>
      <c r="D871" s="995"/>
      <c r="E871" s="3"/>
      <c r="F871" s="3"/>
      <c r="G871" s="3"/>
      <c r="I871" s="491"/>
    </row>
    <row r="872" spans="1:9" ht="12.75" customHeight="1">
      <c r="A872" s="355"/>
      <c r="B872" s="355"/>
      <c r="C872" s="174"/>
      <c r="D872" s="1324" t="s">
        <v>1804</v>
      </c>
      <c r="E872" s="1324"/>
      <c r="F872" s="1324"/>
      <c r="G872" s="989"/>
      <c r="I872" s="491"/>
    </row>
    <row r="873" spans="1:9" ht="12.75" customHeight="1">
      <c r="A873" s="355"/>
      <c r="B873" s="355"/>
      <c r="C873" s="174"/>
      <c r="D873" s="1319" t="s">
        <v>1772</v>
      </c>
      <c r="E873" s="1319"/>
      <c r="F873" s="1319"/>
      <c r="G873" s="989"/>
      <c r="I873" s="491"/>
    </row>
    <row r="874" spans="1:9" ht="12.75" customHeight="1">
      <c r="A874" s="355"/>
      <c r="B874" s="355"/>
      <c r="C874" s="174"/>
      <c r="D874" s="996"/>
      <c r="E874" s="996"/>
      <c r="F874" s="996"/>
      <c r="G874" s="989"/>
      <c r="I874" s="491"/>
    </row>
    <row r="875" spans="1:9" ht="12.75" customHeight="1">
      <c r="A875" s="175"/>
      <c r="B875" s="486" t="s">
        <v>2669</v>
      </c>
      <c r="C875" s="355"/>
      <c r="D875" s="1302" t="s">
        <v>1773</v>
      </c>
      <c r="E875" s="1302"/>
      <c r="F875" s="1302"/>
      <c r="G875" s="989"/>
      <c r="I875" s="491" t="s">
        <v>1881</v>
      </c>
    </row>
    <row r="876" spans="1:9" ht="12.75" customHeight="1">
      <c r="A876" s="355"/>
      <c r="B876" s="355"/>
      <c r="C876" s="355"/>
      <c r="D876" s="2" t="s">
        <v>1748</v>
      </c>
      <c r="E876" s="1037" t="s">
        <v>1898</v>
      </c>
      <c r="F876" s="1040"/>
      <c r="G876" s="989"/>
      <c r="I876" s="491"/>
    </row>
    <row r="877" spans="1:9" ht="12.75" customHeight="1">
      <c r="A877" s="355"/>
      <c r="B877" s="355"/>
      <c r="C877" s="355"/>
      <c r="D877" s="118"/>
      <c r="E877" s="989"/>
      <c r="F877" s="989"/>
      <c r="G877" s="989"/>
      <c r="I877" s="491"/>
    </row>
    <row r="878" spans="1:9" ht="12.75" customHeight="1">
      <c r="A878" s="175"/>
      <c r="B878" s="486" t="s">
        <v>2669</v>
      </c>
      <c r="C878" s="355"/>
      <c r="D878" s="1262" t="s">
        <v>1774</v>
      </c>
      <c r="E878" s="1312"/>
      <c r="F878" s="1312"/>
      <c r="G878" s="3"/>
      <c r="I878" s="491" t="s">
        <v>1884</v>
      </c>
    </row>
    <row r="879" spans="1:9" ht="12.75" customHeight="1">
      <c r="A879" s="355"/>
      <c r="B879" s="355"/>
      <c r="C879" s="355"/>
      <c r="D879" s="1312"/>
      <c r="E879" s="1312"/>
      <c r="F879" s="1312"/>
      <c r="G879" s="3"/>
      <c r="I879" s="491"/>
    </row>
    <row r="880" spans="1:9" ht="12.75" customHeight="1">
      <c r="A880" s="355"/>
      <c r="B880" s="355"/>
      <c r="C880" s="355"/>
      <c r="D880" s="118"/>
      <c r="E880" s="3"/>
      <c r="F880" s="3"/>
      <c r="G880" s="3"/>
      <c r="I880" s="491"/>
    </row>
    <row r="881" spans="1:9" ht="12.75" customHeight="1">
      <c r="A881" s="355"/>
      <c r="B881" s="486" t="s">
        <v>2670</v>
      </c>
      <c r="C881" s="355"/>
      <c r="D881" s="1313" t="s">
        <v>1775</v>
      </c>
      <c r="E881" s="1313"/>
      <c r="F881" s="1313"/>
      <c r="G881" s="989"/>
      <c r="I881" s="491"/>
    </row>
    <row r="882" spans="1:9" ht="12.75" customHeight="1">
      <c r="A882" s="355"/>
      <c r="B882" s="997"/>
      <c r="C882" s="355"/>
      <c r="D882" s="1313"/>
      <c r="E882" s="1313"/>
      <c r="F882" s="1313"/>
      <c r="G882" s="989"/>
      <c r="I882" s="491"/>
    </row>
    <row r="883" spans="1:9" ht="12.75" customHeight="1">
      <c r="A883" s="175"/>
      <c r="B883"/>
      <c r="C883" s="355"/>
      <c r="D883" s="1262" t="s">
        <v>2070</v>
      </c>
      <c r="E883" s="1262"/>
      <c r="F883" s="1262"/>
      <c r="G883" s="989"/>
      <c r="I883" s="491"/>
    </row>
    <row r="884" spans="1:9" ht="12.75" customHeight="1">
      <c r="A884" s="175"/>
      <c r="B884" s="175"/>
      <c r="C884" s="355"/>
      <c r="D884" s="1262"/>
      <c r="E884" s="1262"/>
      <c r="F884" s="1262"/>
      <c r="G884" s="989"/>
      <c r="I884" s="491"/>
    </row>
    <row r="885" spans="1:9" ht="12.75" customHeight="1">
      <c r="A885" s="175"/>
      <c r="B885" s="175"/>
      <c r="C885" s="355"/>
      <c r="D885" s="1262"/>
      <c r="E885" s="1262"/>
      <c r="F885" s="1262"/>
      <c r="G885" s="989"/>
      <c r="I885" s="491"/>
    </row>
    <row r="886" spans="1:9" ht="12.75" customHeight="1">
      <c r="A886" s="175"/>
      <c r="B886" s="175"/>
      <c r="C886" s="355"/>
      <c r="D886" s="1262"/>
      <c r="E886" s="1262"/>
      <c r="F886" s="1262"/>
      <c r="G886" s="989"/>
      <c r="I886" s="491"/>
    </row>
    <row r="887" spans="1:9" ht="12.75" customHeight="1">
      <c r="A887" s="175"/>
      <c r="B887" s="175"/>
      <c r="C887" s="355"/>
      <c r="D887" s="1262"/>
      <c r="E887" s="1262"/>
      <c r="F887" s="1262"/>
      <c r="G887" s="989"/>
      <c r="I887" s="491"/>
    </row>
    <row r="888" spans="1:9" ht="12.75" customHeight="1">
      <c r="A888" s="175"/>
      <c r="B888" s="175"/>
      <c r="C888" s="355"/>
      <c r="D888" s="1262"/>
      <c r="E888" s="1262"/>
      <c r="F888" s="1262"/>
      <c r="G888" s="989"/>
      <c r="I888" s="491"/>
    </row>
    <row r="889" spans="1:9" ht="12.75" customHeight="1">
      <c r="A889" s="175"/>
      <c r="B889" s="175"/>
      <c r="C889" s="355"/>
      <c r="D889" s="118"/>
      <c r="E889" s="989"/>
      <c r="F889" s="989"/>
      <c r="G889" s="989"/>
      <c r="I889" s="491"/>
    </row>
    <row r="890" spans="1:9" ht="12.75" customHeight="1">
      <c r="A890" s="175"/>
      <c r="B890" s="486" t="s">
        <v>2670</v>
      </c>
      <c r="C890" s="355"/>
      <c r="D890" s="1303" t="s">
        <v>1768</v>
      </c>
      <c r="E890" s="1303"/>
      <c r="F890" s="1303"/>
      <c r="G890" s="989"/>
      <c r="I890" s="491"/>
    </row>
    <row r="891" spans="1:9" ht="12.75" customHeight="1">
      <c r="A891" s="175"/>
      <c r="B891" s="175"/>
      <c r="C891" s="355"/>
      <c r="D891" s="1303" t="s">
        <v>1769</v>
      </c>
      <c r="E891" s="1303"/>
      <c r="F891" s="1303"/>
      <c r="G891" s="989"/>
      <c r="I891" s="491"/>
    </row>
    <row r="892" spans="1:9" ht="12.75" customHeight="1">
      <c r="A892" s="175"/>
      <c r="B892" s="175"/>
      <c r="C892" s="355"/>
      <c r="D892" s="2" t="s">
        <v>1270</v>
      </c>
      <c r="E892" s="1037" t="s">
        <v>1898</v>
      </c>
      <c r="F892" s="1041"/>
      <c r="G892" s="989"/>
      <c r="I892" s="491"/>
    </row>
    <row r="893" spans="1:9" ht="12.75" customHeight="1">
      <c r="A893" s="175"/>
      <c r="B893" s="175"/>
      <c r="C893" s="355"/>
      <c r="D893" s="118"/>
      <c r="E893" s="989"/>
      <c r="F893" s="989"/>
      <c r="G893" s="989"/>
      <c r="I893" s="491"/>
    </row>
    <row r="894" spans="1:9" ht="12.75" customHeight="1">
      <c r="A894" s="175"/>
      <c r="B894" s="486" t="s">
        <v>2670</v>
      </c>
      <c r="C894" s="355"/>
      <c r="D894" s="1262" t="s">
        <v>1770</v>
      </c>
      <c r="E894" s="1262"/>
      <c r="F894" s="1262"/>
      <c r="G894" s="989"/>
      <c r="I894" s="491"/>
    </row>
    <row r="895" spans="1:9" ht="12.75" customHeight="1">
      <c r="A895" s="175"/>
      <c r="B895" s="175"/>
      <c r="C895" s="355"/>
      <c r="D895" s="1262"/>
      <c r="E895" s="1262"/>
      <c r="F895" s="1262"/>
      <c r="G895" s="989"/>
      <c r="I895" s="491"/>
    </row>
    <row r="896" spans="1:9" ht="12.75" customHeight="1">
      <c r="A896" s="175"/>
      <c r="B896" s="175"/>
      <c r="C896" s="355"/>
      <c r="D896" s="1262"/>
      <c r="E896" s="1262"/>
      <c r="F896" s="1262"/>
      <c r="G896" s="989"/>
      <c r="I896" s="491"/>
    </row>
    <row r="897" spans="1:9" ht="12.75" customHeight="1">
      <c r="A897" s="175"/>
      <c r="B897" s="175"/>
      <c r="C897" s="355"/>
      <c r="D897" s="1262"/>
      <c r="E897" s="1262"/>
      <c r="F897" s="1262"/>
      <c r="G897" s="989"/>
      <c r="I897" s="491"/>
    </row>
    <row r="898" spans="1:9" ht="12.75" customHeight="1">
      <c r="A898" s="118"/>
      <c r="B898" s="118"/>
      <c r="C898" s="990"/>
      <c r="D898" s="989"/>
      <c r="E898" s="989"/>
      <c r="F898" s="989"/>
      <c r="G898" s="989"/>
      <c r="I898" s="491"/>
    </row>
    <row r="899" spans="1:9" ht="12.75" customHeight="1">
      <c r="A899" s="1311" t="s">
        <v>1805</v>
      </c>
      <c r="B899" s="1311"/>
      <c r="C899" s="1311"/>
      <c r="D899" s="1311"/>
      <c r="E899" s="1311"/>
      <c r="F899" s="1311"/>
      <c r="G899" s="1311"/>
      <c r="H899" s="1029"/>
      <c r="I899" s="1155"/>
    </row>
    <row r="900" spans="1:9" ht="12.75" customHeight="1">
      <c r="A900" s="57"/>
      <c r="B900" s="57"/>
      <c r="C900" s="57"/>
      <c r="D900" s="57"/>
      <c r="E900" s="57"/>
      <c r="F900" s="57"/>
      <c r="G900" s="57"/>
      <c r="I900" s="491"/>
    </row>
    <row r="901" spans="1:9" ht="12.75" customHeight="1">
      <c r="A901" s="57"/>
      <c r="B901" s="57"/>
      <c r="C901" s="57"/>
      <c r="D901" s="1327" t="s">
        <v>1811</v>
      </c>
      <c r="E901" s="1327"/>
      <c r="F901" s="1327"/>
      <c r="G901" s="57"/>
      <c r="I901" s="491"/>
    </row>
    <row r="902" spans="1:9" ht="12.75" customHeight="1">
      <c r="A902" s="57"/>
      <c r="B902" s="57"/>
      <c r="C902" s="57"/>
      <c r="D902" s="982"/>
      <c r="E902" s="982"/>
      <c r="F902" s="982"/>
      <c r="G902" s="57"/>
      <c r="I902" s="491"/>
    </row>
    <row r="903" spans="1:9" ht="12.75" customHeight="1">
      <c r="A903" s="57"/>
      <c r="B903" s="486" t="s">
        <v>2669</v>
      </c>
      <c r="C903" s="57"/>
      <c r="D903" s="985" t="s">
        <v>1812</v>
      </c>
      <c r="E903" s="982"/>
      <c r="F903" s="982"/>
      <c r="G903" s="57"/>
      <c r="I903" s="491"/>
    </row>
    <row r="904" spans="1:9" ht="12.75" customHeight="1">
      <c r="A904" s="57"/>
      <c r="B904" s="57"/>
      <c r="C904" s="57"/>
      <c r="D904" s="982"/>
      <c r="E904" s="982"/>
      <c r="F904" s="982"/>
      <c r="G904" s="57"/>
      <c r="I904" s="491"/>
    </row>
    <row r="905" spans="1:9" ht="12.75" customHeight="1">
      <c r="A905" s="355"/>
      <c r="B905" s="355"/>
      <c r="C905" s="990"/>
      <c r="D905" s="1327" t="s">
        <v>1806</v>
      </c>
      <c r="E905" s="1327"/>
      <c r="F905" s="1327"/>
      <c r="G905" s="989"/>
      <c r="I905" s="491"/>
    </row>
    <row r="906" spans="1:9" ht="12.75" customHeight="1">
      <c r="A906" s="172"/>
      <c r="B906" s="172"/>
      <c r="C906" s="172"/>
      <c r="D906" s="1302" t="s">
        <v>1776</v>
      </c>
      <c r="E906" s="1302"/>
      <c r="F906" s="1302"/>
      <c r="G906" s="989"/>
      <c r="I906" s="491"/>
    </row>
    <row r="907" spans="1:9" ht="12.75" customHeight="1">
      <c r="A907" s="990"/>
      <c r="B907" s="990"/>
      <c r="C907" s="990"/>
      <c r="D907" s="2"/>
      <c r="E907" s="989"/>
      <c r="F907" s="989"/>
      <c r="G907" s="989"/>
      <c r="I907" s="491"/>
    </row>
    <row r="908" spans="1:9" ht="12.75" customHeight="1">
      <c r="A908" s="175"/>
      <c r="B908" s="486" t="s">
        <v>2669</v>
      </c>
      <c r="C908" s="355"/>
      <c r="D908" s="1262" t="s">
        <v>1780</v>
      </c>
      <c r="E908" s="1262"/>
      <c r="F908" s="1262"/>
      <c r="G908" s="3"/>
      <c r="I908" s="491"/>
    </row>
    <row r="909" spans="1:9" ht="12.75" customHeight="1">
      <c r="A909" s="355"/>
      <c r="B909" s="355"/>
      <c r="C909" s="355"/>
      <c r="D909" s="1262"/>
      <c r="E909" s="1262"/>
      <c r="F909" s="1262"/>
      <c r="G909" s="3"/>
      <c r="I909" s="491"/>
    </row>
    <row r="910" spans="1:9" ht="12.75" customHeight="1">
      <c r="A910" s="172"/>
      <c r="B910" s="172"/>
      <c r="C910" s="172"/>
      <c r="D910" s="1262" t="s">
        <v>1779</v>
      </c>
      <c r="E910" s="1262"/>
      <c r="F910" s="1262"/>
      <c r="G910" s="989"/>
      <c r="I910" s="491"/>
    </row>
    <row r="911" spans="1:9" ht="12.75" customHeight="1">
      <c r="A911" s="172"/>
      <c r="B911" s="172"/>
      <c r="C911" s="172"/>
      <c r="D911" s="1262"/>
      <c r="E911" s="1262"/>
      <c r="F911" s="1262"/>
      <c r="G911" s="989"/>
      <c r="I911" s="491"/>
    </row>
    <row r="912" spans="1:9" ht="12.75" customHeight="1">
      <c r="A912" s="172"/>
      <c r="B912" s="172"/>
      <c r="C912" s="172"/>
      <c r="D912" s="3"/>
      <c r="E912" s="3"/>
      <c r="F912" s="989"/>
      <c r="G912" s="989"/>
      <c r="I912" s="491"/>
    </row>
    <row r="913" spans="1:9" ht="12.75" customHeight="1">
      <c r="A913" s="175"/>
      <c r="B913" s="486" t="s">
        <v>2669</v>
      </c>
      <c r="C913" s="174"/>
      <c r="D913" s="1266" t="s">
        <v>1777</v>
      </c>
      <c r="E913" s="1266"/>
      <c r="F913" s="1266"/>
      <c r="G913" s="989"/>
      <c r="I913" s="491"/>
    </row>
    <row r="914" spans="1:9" ht="12.75" customHeight="1">
      <c r="A914" s="175"/>
      <c r="B914" s="175"/>
      <c r="C914" s="174"/>
      <c r="D914" s="1266"/>
      <c r="E914" s="1266"/>
      <c r="F914" s="1266"/>
      <c r="G914" s="989"/>
      <c r="I914" s="491"/>
    </row>
    <row r="915" spans="1:9" ht="12.75" customHeight="1">
      <c r="A915" s="175"/>
      <c r="B915" s="175"/>
      <c r="C915" s="174"/>
      <c r="D915" s="1266"/>
      <c r="E915" s="1266"/>
      <c r="F915" s="1266"/>
      <c r="G915" s="989"/>
      <c r="I915" s="491"/>
    </row>
    <row r="916" spans="1:9" ht="12.75" customHeight="1">
      <c r="A916" s="175"/>
      <c r="B916" s="175"/>
      <c r="C916" s="174"/>
      <c r="D916" s="1266"/>
      <c r="E916" s="1266"/>
      <c r="F916" s="1266"/>
      <c r="G916" s="989"/>
      <c r="I916" s="491"/>
    </row>
    <row r="917" spans="1:9" ht="12.75" customHeight="1">
      <c r="A917" s="175"/>
      <c r="B917" s="175"/>
      <c r="C917" s="174"/>
      <c r="D917" s="1266"/>
      <c r="E917" s="1266"/>
      <c r="F917" s="1266"/>
      <c r="G917" s="989"/>
      <c r="I917" s="491"/>
    </row>
    <row r="918" spans="1:9" ht="12.75" customHeight="1">
      <c r="A918" s="174"/>
      <c r="B918" s="174"/>
      <c r="C918" s="174"/>
      <c r="D918" s="1266"/>
      <c r="E918" s="1266"/>
      <c r="F918" s="1266"/>
      <c r="G918" s="989"/>
      <c r="I918" s="491"/>
    </row>
    <row r="919" spans="1:9" ht="12.75" customHeight="1">
      <c r="A919" s="174"/>
      <c r="B919" s="174"/>
      <c r="C919" s="174"/>
      <c r="D919" s="1266"/>
      <c r="E919" s="1266"/>
      <c r="F919" s="1266"/>
      <c r="G919" s="989"/>
      <c r="I919" s="491"/>
    </row>
    <row r="920" spans="1:9" ht="12.75" customHeight="1">
      <c r="A920" s="174"/>
      <c r="B920" s="174"/>
      <c r="C920" s="174"/>
      <c r="D920" s="1266"/>
      <c r="E920" s="1266"/>
      <c r="F920" s="1266"/>
      <c r="G920" s="989"/>
      <c r="I920" s="491"/>
    </row>
    <row r="921" spans="1:9" ht="12.75" customHeight="1">
      <c r="A921" s="174"/>
      <c r="B921" s="174"/>
      <c r="C921" s="174"/>
      <c r="D921" s="336"/>
      <c r="E921" s="336"/>
      <c r="F921" s="336"/>
      <c r="G921" s="989"/>
      <c r="I921" s="491"/>
    </row>
    <row r="922" spans="1:9" ht="12.75" customHeight="1">
      <c r="A922" s="990"/>
      <c r="B922" s="486" t="s">
        <v>2670</v>
      </c>
      <c r="C922" s="990"/>
      <c r="D922" s="1262" t="s">
        <v>1781</v>
      </c>
      <c r="E922" s="1262"/>
      <c r="F922" s="1262"/>
      <c r="G922" s="989"/>
      <c r="I922" s="491"/>
    </row>
    <row r="923" spans="1:9" ht="12.75" customHeight="1">
      <c r="A923" s="990"/>
      <c r="B923" s="990"/>
      <c r="C923" s="990"/>
      <c r="D923" s="1262"/>
      <c r="E923" s="1262"/>
      <c r="F923" s="1262"/>
      <c r="G923" s="989"/>
      <c r="I923" s="491"/>
    </row>
    <row r="924" spans="1:9" ht="12.75" customHeight="1">
      <c r="A924" s="990"/>
      <c r="B924" s="990"/>
      <c r="C924" s="990"/>
      <c r="D924" s="989"/>
      <c r="E924" s="989"/>
      <c r="F924" s="989"/>
      <c r="G924" s="989"/>
      <c r="I924" s="491"/>
    </row>
    <row r="925" spans="1:9" ht="12.75" customHeight="1">
      <c r="A925" s="990"/>
      <c r="B925" s="486" t="s">
        <v>2670</v>
      </c>
      <c r="C925" s="990"/>
      <c r="D925" s="1290" t="s">
        <v>1782</v>
      </c>
      <c r="E925" s="1290"/>
      <c r="F925" s="1290"/>
      <c r="G925" s="989"/>
      <c r="I925" s="491"/>
    </row>
    <row r="926" spans="1:9" ht="12.75" customHeight="1">
      <c r="A926" s="990"/>
      <c r="B926" s="990"/>
      <c r="C926" s="990"/>
      <c r="D926" s="1290"/>
      <c r="E926" s="1290"/>
      <c r="F926" s="1290"/>
      <c r="G926" s="989"/>
      <c r="I926" s="491"/>
    </row>
    <row r="927" spans="1:9" ht="12.75" customHeight="1">
      <c r="A927" s="990"/>
      <c r="B927" s="990"/>
      <c r="C927" s="990"/>
      <c r="D927" s="1290"/>
      <c r="E927" s="1290"/>
      <c r="F927" s="1290"/>
      <c r="G927" s="989"/>
      <c r="I927" s="491"/>
    </row>
    <row r="928" spans="1:9" ht="12.75" customHeight="1">
      <c r="A928" s="990"/>
      <c r="B928" s="990"/>
      <c r="C928" s="990"/>
      <c r="D928" s="1290"/>
      <c r="E928" s="1290"/>
      <c r="F928" s="1290"/>
      <c r="G928" s="989"/>
      <c r="I928" s="491"/>
    </row>
    <row r="929" spans="1:9" ht="12.75" customHeight="1">
      <c r="A929" s="990"/>
      <c r="B929" s="990"/>
      <c r="C929" s="990"/>
      <c r="D929" s="118"/>
      <c r="E929" s="989"/>
      <c r="F929" s="989"/>
      <c r="G929" s="989"/>
      <c r="I929" s="491"/>
    </row>
    <row r="930" spans="1:9" ht="12.75" customHeight="1">
      <c r="A930" s="990"/>
      <c r="B930" s="486" t="s">
        <v>307</v>
      </c>
      <c r="C930" s="990"/>
      <c r="D930" s="1302" t="s">
        <v>2071</v>
      </c>
      <c r="E930" s="1302"/>
      <c r="F930" s="1302"/>
      <c r="G930" s="989"/>
      <c r="I930" s="491"/>
    </row>
    <row r="931" spans="1:9" ht="12.75" customHeight="1">
      <c r="A931" s="990"/>
      <c r="B931" s="990"/>
      <c r="C931" s="990"/>
      <c r="D931" s="118"/>
      <c r="E931" s="989"/>
      <c r="F931" s="989"/>
      <c r="G931" s="989"/>
      <c r="I931" s="491"/>
    </row>
    <row r="932" spans="1:9" ht="12.75" customHeight="1">
      <c r="A932" s="990"/>
      <c r="B932" s="486" t="s">
        <v>2670</v>
      </c>
      <c r="C932" s="990"/>
      <c r="D932" s="1302" t="s">
        <v>2072</v>
      </c>
      <c r="E932" s="1302"/>
      <c r="F932" s="1302"/>
      <c r="G932" s="989"/>
      <c r="I932" s="491"/>
    </row>
    <row r="933" spans="1:9" ht="12.75" customHeight="1">
      <c r="A933" s="174"/>
      <c r="B933" s="174"/>
      <c r="C933" s="174"/>
      <c r="D933" s="2"/>
      <c r="E933" s="3"/>
      <c r="F933" s="989"/>
      <c r="G933" s="989"/>
      <c r="I933" s="491"/>
    </row>
    <row r="934" spans="1:9" ht="12.75" customHeight="1">
      <c r="A934" s="998"/>
      <c r="B934" s="486" t="s">
        <v>2669</v>
      </c>
      <c r="C934" s="999"/>
      <c r="D934" s="1266" t="s">
        <v>1778</v>
      </c>
      <c r="E934" s="1266"/>
      <c r="F934" s="1266"/>
      <c r="G934" s="1000"/>
      <c r="I934" s="491"/>
    </row>
    <row r="935" spans="1:9" ht="12.75" customHeight="1">
      <c r="A935" s="998"/>
      <c r="B935" s="998"/>
      <c r="C935" s="999"/>
      <c r="D935" s="1266"/>
      <c r="E935" s="1266"/>
      <c r="F935" s="1266"/>
      <c r="G935" s="1000"/>
      <c r="I935" s="491"/>
    </row>
    <row r="936" spans="1:9" ht="12.75" customHeight="1">
      <c r="A936" s="998"/>
      <c r="B936" s="998"/>
      <c r="C936" s="999"/>
      <c r="D936" s="1266"/>
      <c r="E936" s="1266"/>
      <c r="F936" s="1266"/>
      <c r="G936" s="1000"/>
      <c r="I936" s="491"/>
    </row>
    <row r="937" spans="1:9" ht="12.75" customHeight="1">
      <c r="A937" s="998"/>
      <c r="B937" s="998"/>
      <c r="C937" s="999"/>
      <c r="D937" s="1266"/>
      <c r="E937" s="1266"/>
      <c r="F937" s="1266"/>
      <c r="G937" s="1000"/>
      <c r="I937" s="491"/>
    </row>
    <row r="938" spans="1:9" ht="12.75" customHeight="1">
      <c r="A938" s="998"/>
      <c r="B938" s="998"/>
      <c r="C938" s="999"/>
      <c r="D938" s="1266"/>
      <c r="E938" s="1266"/>
      <c r="F938" s="1266"/>
      <c r="G938" s="1000"/>
      <c r="I938" s="491"/>
    </row>
    <row r="939" spans="1:9" ht="12.75" customHeight="1">
      <c r="A939" s="998"/>
      <c r="B939" s="998"/>
      <c r="C939" s="999"/>
      <c r="D939" s="1266"/>
      <c r="E939" s="1266"/>
      <c r="F939" s="1266"/>
      <c r="G939" s="1000"/>
      <c r="I939" s="491"/>
    </row>
    <row r="940" spans="1:9" ht="12.75" customHeight="1">
      <c r="A940" s="998"/>
      <c r="B940" s="998"/>
      <c r="C940" s="999"/>
      <c r="D940" s="1266"/>
      <c r="E940" s="1266"/>
      <c r="F940" s="1266"/>
      <c r="G940" s="1000"/>
      <c r="I940" s="491"/>
    </row>
    <row r="941" spans="1:9" ht="12.75" customHeight="1">
      <c r="A941" s="998"/>
      <c r="B941" s="998"/>
      <c r="C941" s="999"/>
      <c r="D941" s="1266"/>
      <c r="E941" s="1266"/>
      <c r="F941" s="1266"/>
      <c r="G941" s="1000"/>
      <c r="I941" s="491"/>
    </row>
    <row r="942" spans="1:9" ht="12.75" customHeight="1">
      <c r="A942" s="998"/>
      <c r="B942" s="998"/>
      <c r="C942" s="999"/>
      <c r="D942" s="1266"/>
      <c r="E942" s="1266"/>
      <c r="F942" s="1266"/>
      <c r="G942" s="1000"/>
      <c r="I942" s="491"/>
    </row>
    <row r="943" spans="1:9" ht="12.75" customHeight="1">
      <c r="A943" s="174"/>
      <c r="B943" s="174"/>
      <c r="C943" s="174"/>
      <c r="D943" s="2"/>
      <c r="E943" s="3"/>
      <c r="F943" s="989"/>
      <c r="G943" s="989"/>
      <c r="I943" s="491"/>
    </row>
    <row r="944" spans="1:9" ht="12.75" customHeight="1">
      <c r="A944" s="175"/>
      <c r="B944" s="486" t="s">
        <v>2669</v>
      </c>
      <c r="C944" s="174"/>
      <c r="D944" s="1321" t="s">
        <v>1887</v>
      </c>
      <c r="E944" s="1321"/>
      <c r="F944" s="1321"/>
      <c r="G944" s="989"/>
      <c r="I944" s="491"/>
    </row>
    <row r="945" spans="1:9" ht="12.75" customHeight="1">
      <c r="A945" s="175"/>
      <c r="B945" s="175"/>
      <c r="C945" s="174"/>
      <c r="D945" s="1321"/>
      <c r="E945" s="1321"/>
      <c r="F945" s="1321"/>
      <c r="G945" s="989"/>
      <c r="I945" s="491"/>
    </row>
    <row r="946" spans="1:9" ht="12.75" customHeight="1">
      <c r="A946" s="175"/>
      <c r="B946" s="175"/>
      <c r="C946" s="174"/>
      <c r="D946" s="1321"/>
      <c r="E946" s="1321"/>
      <c r="F946" s="1321"/>
      <c r="G946" s="989"/>
      <c r="I946" s="491"/>
    </row>
    <row r="947" spans="1:9" ht="12.75" customHeight="1">
      <c r="A947" s="175"/>
      <c r="B947" s="175"/>
      <c r="C947" s="174"/>
      <c r="D947" s="1321"/>
      <c r="E947" s="1321"/>
      <c r="F947" s="1321"/>
      <c r="G947" s="989"/>
      <c r="I947" s="491"/>
    </row>
    <row r="948" spans="1:9" ht="12.75" customHeight="1">
      <c r="A948" s="175"/>
      <c r="B948" s="175"/>
      <c r="C948" s="174"/>
      <c r="D948" s="1321"/>
      <c r="E948" s="1321"/>
      <c r="F948" s="1321"/>
      <c r="G948" s="989"/>
      <c r="I948" s="491"/>
    </row>
    <row r="949" spans="1:9" ht="12.75" customHeight="1">
      <c r="A949" s="175"/>
      <c r="B949" s="175"/>
      <c r="C949" s="174"/>
      <c r="D949" s="1321"/>
      <c r="E949" s="1321"/>
      <c r="F949" s="1321"/>
      <c r="G949" s="989"/>
      <c r="I949" s="491"/>
    </row>
    <row r="950" spans="1:9" ht="12.75" customHeight="1">
      <c r="A950" s="175"/>
      <c r="B950" s="175"/>
      <c r="C950" s="174"/>
      <c r="D950" s="1321"/>
      <c r="E950" s="1321"/>
      <c r="F950" s="1321"/>
      <c r="G950" s="989"/>
      <c r="I950" s="491"/>
    </row>
    <row r="951" spans="1:9" ht="12.75" customHeight="1">
      <c r="A951" s="175"/>
      <c r="B951" s="175"/>
      <c r="C951" s="174"/>
      <c r="D951" s="1027"/>
      <c r="E951" s="1027"/>
      <c r="F951" s="1027"/>
      <c r="G951" s="989"/>
      <c r="I951" s="491"/>
    </row>
    <row r="952" spans="1:9" ht="12.75" customHeight="1">
      <c r="A952" s="175"/>
      <c r="B952" s="486" t="s">
        <v>2669</v>
      </c>
      <c r="C952" s="174"/>
      <c r="D952" s="1265" t="s">
        <v>2139</v>
      </c>
      <c r="E952" s="1265"/>
      <c r="F952" s="1265"/>
      <c r="G952" s="989"/>
      <c r="I952" s="491"/>
    </row>
    <row r="953" spans="1:9" ht="12.75" customHeight="1">
      <c r="A953" s="175"/>
      <c r="B953" s="175"/>
      <c r="C953" s="174"/>
      <c r="D953" s="1265"/>
      <c r="E953" s="1265"/>
      <c r="F953" s="1265"/>
      <c r="G953" s="989"/>
      <c r="I953" s="491"/>
    </row>
    <row r="954" spans="1:9" ht="12.75" customHeight="1">
      <c r="A954" s="175"/>
      <c r="B954" s="175"/>
      <c r="C954" s="174"/>
      <c r="D954" s="1265"/>
      <c r="E954" s="1265"/>
      <c r="F954" s="1265"/>
      <c r="G954" s="989"/>
      <c r="I954" s="491"/>
    </row>
    <row r="955" spans="1:9" ht="12.75" customHeight="1">
      <c r="A955" s="175"/>
      <c r="B955" s="175"/>
      <c r="C955" s="174"/>
      <c r="D955" s="1265"/>
      <c r="E955" s="1265"/>
      <c r="F955" s="1265"/>
      <c r="G955" s="989"/>
      <c r="I955" s="491"/>
    </row>
    <row r="956" spans="1:9" ht="12.75" customHeight="1">
      <c r="A956" s="175"/>
      <c r="B956" s="175"/>
      <c r="C956" s="174"/>
      <c r="D956" s="1265"/>
      <c r="E956" s="1265"/>
      <c r="F956" s="1265"/>
      <c r="G956" s="989"/>
      <c r="I956" s="491"/>
    </row>
    <row r="957" spans="1:9" ht="12.75" customHeight="1">
      <c r="A957" s="175"/>
      <c r="B957" s="175"/>
      <c r="C957" s="174"/>
      <c r="D957" s="1265"/>
      <c r="E957" s="1265"/>
      <c r="F957" s="1265"/>
      <c r="G957" s="989"/>
      <c r="I957" s="491"/>
    </row>
    <row r="958" spans="1:9" ht="12.75" customHeight="1">
      <c r="A958" s="175"/>
      <c r="B958" s="175"/>
      <c r="C958" s="174"/>
      <c r="D958" s="1027"/>
      <c r="E958" s="1027"/>
      <c r="F958" s="1027"/>
      <c r="G958" s="989"/>
      <c r="I958" s="491"/>
    </row>
    <row r="959" spans="1:9" ht="12.75" customHeight="1">
      <c r="A959" s="990"/>
      <c r="B959" s="486" t="s">
        <v>2670</v>
      </c>
      <c r="C959" s="990"/>
      <c r="D959" s="1290" t="s">
        <v>1783</v>
      </c>
      <c r="E959" s="1290"/>
      <c r="F959" s="1290"/>
      <c r="G959" s="989"/>
      <c r="I959" s="491"/>
    </row>
    <row r="960" spans="1:9" ht="12.75" customHeight="1">
      <c r="A960" s="990"/>
      <c r="B960" s="990"/>
      <c r="C960" s="990"/>
      <c r="D960" s="1290"/>
      <c r="E960" s="1290"/>
      <c r="F960" s="1290"/>
      <c r="G960" s="989"/>
      <c r="I960" s="491"/>
    </row>
    <row r="961" spans="1:9" ht="12.75" customHeight="1">
      <c r="A961" s="990"/>
      <c r="B961" s="990"/>
      <c r="C961" s="990"/>
      <c r="D961" s="1290"/>
      <c r="E961" s="1290"/>
      <c r="F961" s="1290"/>
      <c r="G961" s="989"/>
      <c r="I961" s="491"/>
    </row>
    <row r="962" spans="1:9" ht="12.75" customHeight="1">
      <c r="A962" s="175"/>
      <c r="B962" s="175"/>
      <c r="C962" s="174"/>
      <c r="D962" s="1027"/>
      <c r="E962" s="1027"/>
      <c r="F962" s="1027"/>
      <c r="G962" s="989"/>
      <c r="I962" s="491"/>
    </row>
    <row r="963" spans="1:9" ht="12.75" customHeight="1">
      <c r="A963" s="175"/>
      <c r="B963" s="175"/>
      <c r="C963" s="174"/>
      <c r="D963" s="845"/>
      <c r="E963" s="3"/>
      <c r="F963" s="989"/>
      <c r="G963" s="989"/>
      <c r="I963" s="491"/>
    </row>
    <row r="964" spans="1:9" ht="12.75" customHeight="1">
      <c r="A964" s="175"/>
      <c r="B964" s="486" t="s">
        <v>2669</v>
      </c>
      <c r="C964" s="174"/>
      <c r="D964" s="1266" t="s">
        <v>1886</v>
      </c>
      <c r="E964" s="1266"/>
      <c r="F964" s="1266"/>
      <c r="G964" s="989"/>
      <c r="I964" s="491"/>
    </row>
    <row r="965" spans="1:9" ht="12.75" customHeight="1">
      <c r="A965" s="175"/>
      <c r="B965" s="175"/>
      <c r="C965" s="174"/>
      <c r="D965" s="1266"/>
      <c r="E965" s="1266"/>
      <c r="F965" s="1266"/>
      <c r="G965" s="989"/>
      <c r="I965" s="491"/>
    </row>
    <row r="966" spans="1:9" ht="12.75" customHeight="1">
      <c r="A966" s="175"/>
      <c r="B966" s="175"/>
      <c r="C966" s="174"/>
      <c r="D966" s="1266"/>
      <c r="E966" s="1266"/>
      <c r="F966" s="1266"/>
      <c r="G966" s="989"/>
      <c r="I966" s="491"/>
    </row>
    <row r="967" spans="1:9" ht="12.75" customHeight="1">
      <c r="A967" s="175"/>
      <c r="B967" s="175"/>
      <c r="C967" s="174"/>
      <c r="D967" s="1266"/>
      <c r="E967" s="1266"/>
      <c r="F967" s="1266"/>
      <c r="G967" s="989"/>
      <c r="I967" s="491"/>
    </row>
    <row r="968" spans="1:9" ht="12.75" customHeight="1">
      <c r="A968" s="990"/>
      <c r="B968" s="990"/>
      <c r="C968" s="990"/>
      <c r="D968" s="981"/>
      <c r="E968" s="981"/>
      <c r="F968" s="981"/>
      <c r="G968" s="981"/>
      <c r="I968" s="491"/>
    </row>
    <row r="969" spans="1:9" ht="12.75" customHeight="1">
      <c r="A969" s="355"/>
      <c r="B969" s="355"/>
      <c r="C969" s="355"/>
      <c r="D969" s="1324" t="s">
        <v>1784</v>
      </c>
      <c r="E969" s="1324"/>
      <c r="F969" s="1324"/>
      <c r="G969" s="3"/>
      <c r="I969" s="491"/>
    </row>
    <row r="970" spans="1:9" ht="12.75" customHeight="1">
      <c r="A970" s="175"/>
      <c r="B970" s="486" t="s">
        <v>2669</v>
      </c>
      <c r="C970" s="355"/>
      <c r="D970" s="1302" t="s">
        <v>1807</v>
      </c>
      <c r="E970" s="1302"/>
      <c r="F970" s="1302"/>
      <c r="G970" s="3"/>
      <c r="I970" s="491"/>
    </row>
    <row r="971" spans="1:9" ht="12.75" customHeight="1">
      <c r="A971" s="355"/>
      <c r="B971" s="355"/>
      <c r="C971" s="355"/>
      <c r="D971" s="3"/>
      <c r="E971" s="3"/>
      <c r="F971" s="3"/>
      <c r="G971" s="3"/>
      <c r="I971" s="491"/>
    </row>
    <row r="972" spans="1:9" ht="12.75" customHeight="1">
      <c r="A972" s="355"/>
      <c r="B972" s="355"/>
      <c r="C972" s="355"/>
      <c r="D972" s="1324" t="s">
        <v>1785</v>
      </c>
      <c r="E972" s="1324"/>
      <c r="F972" s="1324"/>
      <c r="G972"/>
      <c r="I972" s="491"/>
    </row>
    <row r="973" spans="1:9" ht="12.75" customHeight="1">
      <c r="A973" s="175"/>
      <c r="B973" s="486" t="s">
        <v>2669</v>
      </c>
      <c r="C973" s="355"/>
      <c r="D973" s="1262" t="s">
        <v>2073</v>
      </c>
      <c r="E973" s="1262"/>
      <c r="F973" s="1262"/>
      <c r="G973"/>
      <c r="I973" s="491"/>
    </row>
    <row r="974" spans="1:9" ht="12.75" customHeight="1">
      <c r="A974" s="175"/>
      <c r="B974" s="175"/>
      <c r="C974" s="355"/>
      <c r="D974" s="1262"/>
      <c r="E974" s="1262"/>
      <c r="F974" s="1262"/>
      <c r="G974"/>
      <c r="I974" s="491"/>
    </row>
    <row r="975" spans="1:9" ht="12.75" customHeight="1">
      <c r="A975" s="175"/>
      <c r="B975" s="175"/>
      <c r="C975" s="355"/>
      <c r="D975" s="1262"/>
      <c r="E975" s="1262"/>
      <c r="F975" s="1262"/>
      <c r="G975"/>
      <c r="I975" s="491"/>
    </row>
    <row r="976" spans="1:9" ht="12.75" customHeight="1">
      <c r="A976" s="175"/>
      <c r="B976" s="175"/>
      <c r="C976" s="355"/>
      <c r="D976" s="1262"/>
      <c r="E976" s="1262"/>
      <c r="F976" s="1262"/>
      <c r="G976"/>
      <c r="I976" s="491"/>
    </row>
    <row r="977" spans="1:9" ht="12.75" customHeight="1">
      <c r="A977" s="175"/>
      <c r="B977" s="175"/>
      <c r="C977" s="355"/>
      <c r="D977" s="1262"/>
      <c r="E977" s="1262"/>
      <c r="F977" s="1262"/>
      <c r="G977"/>
      <c r="I977" s="491"/>
    </row>
    <row r="978" spans="1:9" ht="12.75" customHeight="1">
      <c r="A978" s="175"/>
      <c r="B978" s="175"/>
      <c r="C978" s="355"/>
      <c r="D978" s="1262"/>
      <c r="E978" s="1262"/>
      <c r="F978" s="1262"/>
      <c r="G978"/>
      <c r="I978" s="491"/>
    </row>
    <row r="979" spans="1:9" ht="12.75" customHeight="1">
      <c r="A979" s="175"/>
      <c r="B979" s="175"/>
      <c r="C979" s="355"/>
      <c r="D979" s="1262"/>
      <c r="E979" s="1262"/>
      <c r="F979" s="1262"/>
      <c r="G979"/>
      <c r="I979" s="491"/>
    </row>
    <row r="980" spans="1:9" ht="12.75" customHeight="1">
      <c r="A980" s="175"/>
      <c r="B980" s="175"/>
      <c r="C980" s="355"/>
      <c r="D980" s="1262"/>
      <c r="E980" s="1262"/>
      <c r="F980" s="1262"/>
      <c r="G980"/>
      <c r="I980" s="491"/>
    </row>
    <row r="981" spans="1:9" ht="12.75" customHeight="1">
      <c r="A981" s="175"/>
      <c r="B981" s="175"/>
      <c r="C981" s="355"/>
      <c r="D981" s="1262"/>
      <c r="E981" s="1262"/>
      <c r="F981" s="1262"/>
      <c r="G981"/>
      <c r="I981" s="491"/>
    </row>
    <row r="982" spans="1:9" ht="12.75" customHeight="1">
      <c r="A982" s="175"/>
      <c r="B982" s="175"/>
      <c r="C982" s="355"/>
      <c r="D982" s="1262"/>
      <c r="E982" s="1262"/>
      <c r="F982" s="1262"/>
      <c r="G982"/>
      <c r="I982" s="491"/>
    </row>
    <row r="983" spans="1:9" ht="12.75" customHeight="1">
      <c r="A983" s="175"/>
      <c r="B983" s="175"/>
      <c r="C983" s="355"/>
      <c r="D983" s="1262"/>
      <c r="E983" s="1262"/>
      <c r="F983" s="1262"/>
      <c r="G983"/>
      <c r="I983" s="491"/>
    </row>
    <row r="984" spans="1:9" ht="12.75" customHeight="1">
      <c r="A984" s="175"/>
      <c r="B984" s="175"/>
      <c r="C984" s="355"/>
      <c r="D984" s="1262"/>
      <c r="E984" s="1262"/>
      <c r="F984" s="1262"/>
      <c r="G984"/>
      <c r="I984" s="491"/>
    </row>
    <row r="985" spans="1:9" ht="12.75" customHeight="1">
      <c r="A985" s="175"/>
      <c r="B985" s="175"/>
      <c r="C985" s="355"/>
      <c r="D985" s="1262"/>
      <c r="E985" s="1262"/>
      <c r="F985" s="1262"/>
      <c r="G985"/>
      <c r="I985" s="491"/>
    </row>
    <row r="986" spans="1:9" ht="12.75" customHeight="1">
      <c r="A986" s="175"/>
      <c r="B986" s="175"/>
      <c r="C986" s="355"/>
      <c r="D986" s="1262"/>
      <c r="E986" s="1262"/>
      <c r="F986" s="1262"/>
      <c r="G986"/>
      <c r="I986" s="491"/>
    </row>
    <row r="987" spans="1:9" ht="12.75" customHeight="1">
      <c r="A987" s="175"/>
      <c r="B987" s="175"/>
      <c r="C987" s="355"/>
      <c r="D987" s="1262"/>
      <c r="E987" s="1262"/>
      <c r="F987" s="1262"/>
      <c r="G987" s="3"/>
      <c r="I987" s="491"/>
    </row>
    <row r="988" spans="1:9" ht="12.75" customHeight="1">
      <c r="A988" s="355"/>
      <c r="B988" s="355"/>
      <c r="C988" s="355"/>
      <c r="D988" s="3"/>
      <c r="E988" s="3"/>
      <c r="F988" s="3"/>
      <c r="G988" s="3"/>
      <c r="I988" s="491"/>
    </row>
    <row r="989" spans="1:9" ht="12.75" customHeight="1">
      <c r="A989" s="1311" t="s">
        <v>1786</v>
      </c>
      <c r="B989" s="1311"/>
      <c r="C989" s="1311"/>
      <c r="D989" s="1311"/>
      <c r="E989" s="1311"/>
      <c r="F989" s="1311"/>
      <c r="G989" s="1311"/>
      <c r="H989" s="1029"/>
      <c r="I989" s="1155"/>
    </row>
    <row r="990" spans="1:9" ht="12.75" customHeight="1">
      <c r="A990" s="118"/>
      <c r="B990" s="118"/>
      <c r="C990" s="355"/>
      <c r="D990" s="3"/>
      <c r="E990" s="3"/>
      <c r="F990" s="3"/>
      <c r="G990" s="3"/>
      <c r="I990" s="491"/>
    </row>
    <row r="991" spans="1:9" ht="12.75" customHeight="1">
      <c r="A991" s="355"/>
      <c r="B991" s="355"/>
      <c r="C991" s="990"/>
      <c r="D991" s="1324" t="s">
        <v>1808</v>
      </c>
      <c r="E991" s="1324"/>
      <c r="F991" s="1324"/>
      <c r="G991" s="3"/>
      <c r="I991" s="491"/>
    </row>
    <row r="992" spans="1:9" ht="12.75" customHeight="1">
      <c r="A992" s="172"/>
      <c r="B992" s="172"/>
      <c r="C992" s="172"/>
      <c r="D992" s="1302" t="s">
        <v>1787</v>
      </c>
      <c r="E992" s="1302"/>
      <c r="F992" s="1302"/>
      <c r="G992" s="3"/>
      <c r="I992" s="491"/>
    </row>
    <row r="993" spans="1:9" ht="12.75" customHeight="1">
      <c r="A993" s="172"/>
      <c r="B993" s="172"/>
      <c r="C993" s="172"/>
      <c r="D993" s="3"/>
      <c r="E993" s="3"/>
      <c r="F993" s="989"/>
      <c r="G993"/>
      <c r="I993" s="491"/>
    </row>
    <row r="994" spans="1:9" ht="12.75" customHeight="1">
      <c r="A994" s="355"/>
      <c r="B994" s="486" t="s">
        <v>2669</v>
      </c>
      <c r="C994" s="355"/>
      <c r="D994" s="1326" t="s">
        <v>1916</v>
      </c>
      <c r="E994" s="1326"/>
      <c r="F994" s="1326"/>
      <c r="G994"/>
      <c r="I994" s="491"/>
    </row>
    <row r="995" spans="1:9" ht="12.75" customHeight="1">
      <c r="A995" s="355"/>
      <c r="B995" s="355"/>
      <c r="C995" s="355"/>
      <c r="D995" s="1326"/>
      <c r="E995" s="1326"/>
      <c r="F995" s="1326"/>
      <c r="G995"/>
      <c r="I995" s="491"/>
    </row>
    <row r="996" spans="1:9" ht="12.75" customHeight="1">
      <c r="A996" s="355"/>
      <c r="B996" s="355"/>
      <c r="C996" s="355"/>
      <c r="D996" s="1039"/>
      <c r="E996" s="1037" t="s">
        <v>1917</v>
      </c>
      <c r="F996" s="1039"/>
      <c r="G996"/>
      <c r="I996" s="491"/>
    </row>
    <row r="997" spans="1:9" ht="12.75" customHeight="1">
      <c r="A997" s="355"/>
      <c r="B997" s="355"/>
      <c r="C997" s="355"/>
      <c r="D997" s="1268" t="s">
        <v>1915</v>
      </c>
      <c r="E997" s="1268"/>
      <c r="F997" s="1268"/>
      <c r="G997"/>
      <c r="I997" s="491"/>
    </row>
    <row r="998" spans="1:9" ht="12.75" customHeight="1">
      <c r="A998" s="355"/>
      <c r="B998" s="355"/>
      <c r="C998" s="355"/>
      <c r="D998" s="1268"/>
      <c r="E998" s="1268"/>
      <c r="F998" s="1268"/>
      <c r="G998"/>
      <c r="I998" s="491"/>
    </row>
    <row r="999" spans="1:9" ht="12.75" customHeight="1">
      <c r="A999" s="174"/>
      <c r="B999" s="174"/>
      <c r="C999" s="174"/>
      <c r="D999" s="1268"/>
      <c r="E999" s="1268"/>
      <c r="F999" s="1268"/>
      <c r="G999"/>
      <c r="I999" s="491"/>
    </row>
    <row r="1000" spans="1:9" ht="12.75" customHeight="1">
      <c r="A1000" s="174"/>
      <c r="B1000" s="174"/>
      <c r="C1000" s="174"/>
      <c r="D1000" s="1268"/>
      <c r="E1000" s="1268"/>
      <c r="F1000" s="1268"/>
      <c r="G1000"/>
      <c r="I1000" s="491"/>
    </row>
    <row r="1001" spans="1:9" ht="12.75" customHeight="1">
      <c r="A1001" s="174"/>
      <c r="B1001" s="174"/>
      <c r="C1001" s="174"/>
      <c r="D1001" s="336"/>
      <c r="E1001" s="336"/>
      <c r="F1001" s="336"/>
      <c r="G1001"/>
      <c r="I1001" s="491"/>
    </row>
    <row r="1002" spans="1:9" ht="12.75" customHeight="1">
      <c r="A1002" s="174"/>
      <c r="B1002" s="486" t="s">
        <v>2670</v>
      </c>
      <c r="C1002" s="174"/>
      <c r="D1002" s="1262" t="s">
        <v>1788</v>
      </c>
      <c r="E1002" s="1262"/>
      <c r="F1002" s="1262"/>
      <c r="G1002"/>
      <c r="I1002" s="491"/>
    </row>
    <row r="1003" spans="1:9" ht="12.75" customHeight="1">
      <c r="A1003" s="174"/>
      <c r="B1003" s="174"/>
      <c r="C1003" s="174"/>
      <c r="D1003" s="1262"/>
      <c r="E1003" s="1262"/>
      <c r="F1003" s="1262"/>
      <c r="G1003"/>
      <c r="I1003" s="491"/>
    </row>
    <row r="1004" spans="1:9" ht="12.75" customHeight="1">
      <c r="A1004" s="174"/>
      <c r="B1004" s="174"/>
      <c r="C1004" s="174"/>
      <c r="D1004" s="1262"/>
      <c r="E1004" s="1262"/>
      <c r="F1004" s="1262"/>
      <c r="G1004"/>
      <c r="I1004" s="491"/>
    </row>
    <row r="1005" spans="1:9" ht="12.75" customHeight="1">
      <c r="A1005" s="174"/>
      <c r="B1005" s="174"/>
      <c r="C1005" s="174"/>
      <c r="D1005" s="1262"/>
      <c r="E1005" s="1262"/>
      <c r="F1005" s="1262"/>
      <c r="G1005"/>
      <c r="I1005" s="491"/>
    </row>
    <row r="1006" spans="1:9" ht="12.75" customHeight="1">
      <c r="A1006" s="174"/>
      <c r="B1006" s="174"/>
      <c r="C1006" s="174"/>
      <c r="D1006" s="442"/>
      <c r="E1006" s="442"/>
      <c r="F1006" s="442"/>
      <c r="G1006"/>
      <c r="I1006" s="491"/>
    </row>
    <row r="1007" spans="1:9" ht="12.75" customHeight="1">
      <c r="A1007" s="174"/>
      <c r="B1007" s="486" t="s">
        <v>2670</v>
      </c>
      <c r="C1007" s="174"/>
      <c r="D1007" s="1262" t="s">
        <v>2233</v>
      </c>
      <c r="E1007" s="1262"/>
      <c r="F1007" s="1262"/>
      <c r="G1007"/>
      <c r="I1007" s="491"/>
    </row>
    <row r="1008" spans="1:9" ht="12.75" customHeight="1">
      <c r="A1008" s="174"/>
      <c r="B1008" s="174"/>
      <c r="C1008" s="174"/>
      <c r="D1008" s="1262"/>
      <c r="E1008" s="1262"/>
      <c r="F1008" s="1262"/>
      <c r="G1008"/>
      <c r="I1008" s="491"/>
    </row>
    <row r="1009" spans="1:9" ht="12.75" customHeight="1">
      <c r="A1009" s="174"/>
      <c r="B1009" s="174"/>
      <c r="C1009" s="174"/>
      <c r="D1009" s="442"/>
      <c r="E1009" s="442"/>
      <c r="F1009" s="442"/>
      <c r="G1009"/>
      <c r="I1009" s="491"/>
    </row>
    <row r="1010" spans="1:9" ht="12.75" customHeight="1">
      <c r="A1010" s="175"/>
      <c r="B1010" s="486" t="s">
        <v>2669</v>
      </c>
      <c r="C1010" s="355"/>
      <c r="D1010" s="1302" t="s">
        <v>1789</v>
      </c>
      <c r="E1010" s="1302"/>
      <c r="F1010" s="1302"/>
      <c r="G1010"/>
      <c r="I1010" s="491"/>
    </row>
    <row r="1011" spans="1:9" ht="12.75" customHeight="1">
      <c r="A1011" s="355"/>
      <c r="B1011" s="355"/>
      <c r="C1011" s="355"/>
      <c r="D1011" s="3"/>
      <c r="E1011" s="3"/>
      <c r="F1011" s="3"/>
      <c r="G1011"/>
      <c r="I1011" s="491"/>
    </row>
    <row r="1012" spans="1:9" ht="12.75" customHeight="1">
      <c r="A1012" s="175"/>
      <c r="B1012" s="486" t="s">
        <v>2669</v>
      </c>
      <c r="C1012" s="355"/>
      <c r="D1012" s="1302" t="s">
        <v>1790</v>
      </c>
      <c r="E1012" s="1302"/>
      <c r="F1012" s="1302"/>
      <c r="G1012"/>
      <c r="I1012" s="491"/>
    </row>
    <row r="1013" spans="1:9" ht="12.75" customHeight="1">
      <c r="A1013" s="355"/>
      <c r="B1013" s="355"/>
      <c r="C1013" s="355"/>
      <c r="D1013" s="118"/>
      <c r="E1013" s="3"/>
      <c r="F1013" s="3"/>
      <c r="G1013"/>
      <c r="I1013" s="491"/>
    </row>
    <row r="1014" spans="1:9" ht="12.75" customHeight="1">
      <c r="A1014" s="175"/>
      <c r="B1014" s="486" t="s">
        <v>2669</v>
      </c>
      <c r="C1014" s="355"/>
      <c r="D1014" s="1302" t="s">
        <v>1791</v>
      </c>
      <c r="E1014" s="1302"/>
      <c r="F1014" s="1302"/>
      <c r="G1014"/>
      <c r="I1014" s="491"/>
    </row>
    <row r="1015" spans="1:9" ht="12.75" customHeight="1">
      <c r="A1015" s="355"/>
      <c r="B1015" s="355"/>
      <c r="C1015" s="355"/>
      <c r="D1015" s="118"/>
      <c r="E1015" s="3"/>
      <c r="F1015" s="3"/>
      <c r="G1015"/>
      <c r="I1015" s="491"/>
    </row>
    <row r="1016" spans="1:9" ht="12.75" customHeight="1">
      <c r="A1016" s="175"/>
      <c r="B1016" s="486" t="s">
        <v>2669</v>
      </c>
      <c r="C1016" s="355"/>
      <c r="D1016" s="1262" t="s">
        <v>1792</v>
      </c>
      <c r="E1016" s="1262"/>
      <c r="F1016" s="1262"/>
      <c r="G1016"/>
      <c r="I1016" s="491"/>
    </row>
    <row r="1017" spans="1:9" ht="12.75" customHeight="1">
      <c r="A1017" s="175"/>
      <c r="B1017" s="175"/>
      <c r="C1017" s="355"/>
      <c r="D1017" s="1262"/>
      <c r="E1017" s="1262"/>
      <c r="F1017" s="1262"/>
      <c r="G1017"/>
      <c r="I1017" s="491"/>
    </row>
    <row r="1018" spans="1:9" ht="12.75" customHeight="1">
      <c r="A1018" s="175"/>
      <c r="B1018" s="175"/>
      <c r="C1018" s="355"/>
      <c r="D1018" s="118"/>
      <c r="E1018" s="3"/>
      <c r="F1018" s="3"/>
      <c r="G1018" s="3"/>
      <c r="I1018" s="491"/>
    </row>
    <row r="1019" spans="1:9" ht="12.75" customHeight="1">
      <c r="A1019" s="255"/>
      <c r="B1019" s="486" t="s">
        <v>2670</v>
      </c>
      <c r="C1019" s="1001"/>
      <c r="D1019" s="1318" t="s">
        <v>1793</v>
      </c>
      <c r="E1019" s="1318"/>
      <c r="F1019" s="1318"/>
      <c r="G1019" s="1002"/>
      <c r="I1019" s="491"/>
    </row>
    <row r="1020" spans="1:9" ht="12.75" customHeight="1">
      <c r="A1020" s="1001"/>
      <c r="B1020" s="1001"/>
      <c r="C1020" s="1001"/>
      <c r="D1020" s="1318"/>
      <c r="E1020" s="1318"/>
      <c r="F1020" s="1318"/>
      <c r="G1020" s="1002"/>
      <c r="I1020" s="491"/>
    </row>
    <row r="1021" spans="1:9" ht="12.75" customHeight="1">
      <c r="A1021" s="1001"/>
      <c r="B1021" s="1001"/>
      <c r="C1021" s="1001"/>
      <c r="D1021" s="985"/>
      <c r="E1021" s="1002"/>
      <c r="F1021" s="1002"/>
      <c r="G1021" s="1002"/>
      <c r="I1021" s="491"/>
    </row>
    <row r="1022" spans="1:9" ht="12.75" customHeight="1">
      <c r="A1022" s="255"/>
      <c r="B1022" s="486" t="s">
        <v>2670</v>
      </c>
      <c r="C1022" s="1001"/>
      <c r="D1022" s="1325" t="s">
        <v>1794</v>
      </c>
      <c r="E1022" s="1325"/>
      <c r="F1022" s="1325"/>
      <c r="G1022" s="1002"/>
      <c r="I1022" s="491"/>
    </row>
    <row r="1023" spans="1:9" ht="12.75" customHeight="1">
      <c r="A1023" s="1001"/>
      <c r="B1023" s="1001"/>
      <c r="C1023" s="1001"/>
      <c r="D1023" s="985"/>
      <c r="E1023" s="1002"/>
      <c r="F1023" s="1002"/>
      <c r="G1023" s="1002"/>
      <c r="I1023" s="491"/>
    </row>
    <row r="1024" spans="1:9" ht="12.75" customHeight="1">
      <c r="A1024" s="175"/>
      <c r="B1024" s="486" t="s">
        <v>2670</v>
      </c>
      <c r="C1024" s="355"/>
      <c r="D1024" s="1302" t="s">
        <v>1795</v>
      </c>
      <c r="E1024" s="1302"/>
      <c r="F1024" s="1302"/>
      <c r="G1024" s="3"/>
      <c r="I1024" s="491"/>
    </row>
    <row r="1025" spans="1:9" ht="12.75" customHeight="1">
      <c r="A1025" s="175"/>
      <c r="B1025" s="175"/>
      <c r="C1025" s="355"/>
      <c r="D1025" s="118"/>
      <c r="E1025" s="3"/>
      <c r="F1025" s="3"/>
      <c r="G1025" s="3"/>
      <c r="I1025" s="491"/>
    </row>
    <row r="1026" spans="1:9" ht="12.75" customHeight="1">
      <c r="A1026" s="175"/>
      <c r="B1026" s="486" t="s">
        <v>2670</v>
      </c>
      <c r="C1026" s="355"/>
      <c r="D1026" s="1262" t="s">
        <v>1796</v>
      </c>
      <c r="E1026" s="1262"/>
      <c r="F1026" s="1262"/>
      <c r="G1026" s="3"/>
      <c r="I1026" s="491"/>
    </row>
    <row r="1027" spans="1:9" ht="12.75" customHeight="1">
      <c r="A1027" s="175"/>
      <c r="B1027" s="175"/>
      <c r="C1027" s="355"/>
      <c r="D1027" s="1262"/>
      <c r="E1027" s="1262"/>
      <c r="F1027" s="1262"/>
      <c r="G1027" s="3"/>
      <c r="I1027" s="491"/>
    </row>
    <row r="1028" spans="1:9" ht="12.75" customHeight="1">
      <c r="A1028" s="355"/>
      <c r="B1028" s="355"/>
      <c r="C1028" s="355"/>
      <c r="D1028" s="3"/>
      <c r="E1028" s="3"/>
      <c r="F1028" s="3"/>
      <c r="G1028" s="3"/>
      <c r="I1028" s="491"/>
    </row>
    <row r="1029" spans="1:9" ht="12.75" customHeight="1">
      <c r="A1029" s="1311" t="s">
        <v>1797</v>
      </c>
      <c r="B1029" s="1311"/>
      <c r="C1029" s="1311"/>
      <c r="D1029" s="1311"/>
      <c r="E1029" s="1311"/>
      <c r="F1029" s="1311"/>
      <c r="G1029" s="1311"/>
      <c r="H1029" s="1029"/>
      <c r="I1029" s="1155"/>
    </row>
    <row r="1030" spans="1:9" ht="12.75" customHeight="1">
      <c r="A1030" s="355"/>
      <c r="B1030" s="355"/>
      <c r="C1030" s="355"/>
      <c r="D1030" s="3"/>
      <c r="E1030" s="3"/>
      <c r="F1030" s="3"/>
      <c r="G1030" s="3"/>
      <c r="I1030" s="491"/>
    </row>
    <row r="1031" spans="1:9" ht="12.75" customHeight="1">
      <c r="A1031" s="355"/>
      <c r="B1031" s="355"/>
      <c r="C1031" s="355"/>
      <c r="D1031" s="1327" t="s">
        <v>1798</v>
      </c>
      <c r="E1031" s="1327"/>
      <c r="F1031" s="1327"/>
      <c r="G1031" s="3"/>
      <c r="I1031" s="491"/>
    </row>
    <row r="1032" spans="1:9" ht="12.75" customHeight="1">
      <c r="A1032" s="355"/>
      <c r="B1032" s="355"/>
      <c r="C1032" s="355"/>
      <c r="D1032" s="1325" t="s">
        <v>1799</v>
      </c>
      <c r="E1032" s="1325"/>
      <c r="F1032" s="1325"/>
      <c r="G1032" s="3"/>
      <c r="I1032" s="491"/>
    </row>
    <row r="1033" spans="1:9" ht="12.75" customHeight="1">
      <c r="A1033" s="172"/>
      <c r="B1033" s="172"/>
      <c r="C1033" s="172"/>
      <c r="D1033" s="3"/>
      <c r="E1033" s="3"/>
      <c r="F1033" s="3"/>
      <c r="G1033" s="3"/>
      <c r="I1033" s="491"/>
    </row>
    <row r="1034" spans="1:9" ht="12.75" customHeight="1">
      <c r="A1034" s="175"/>
      <c r="B1034" s="175"/>
      <c r="C1034" s="174"/>
      <c r="D1034" s="1327" t="s">
        <v>1813</v>
      </c>
      <c r="E1034" s="1327"/>
      <c r="F1034" s="1327"/>
      <c r="G1034" s="3"/>
      <c r="I1034" s="491"/>
    </row>
    <row r="1035" spans="1:9" ht="12.75" customHeight="1">
      <c r="A1035" s="355"/>
      <c r="B1035" s="486" t="s">
        <v>2669</v>
      </c>
      <c r="C1035" s="355"/>
      <c r="D1035" s="1325" t="s">
        <v>1271</v>
      </c>
      <c r="E1035" s="1325"/>
      <c r="F1035" s="1325"/>
      <c r="G1035" s="3"/>
      <c r="I1035" s="491"/>
    </row>
    <row r="1036" spans="1:9" ht="12.75" customHeight="1">
      <c r="A1036" s="355"/>
      <c r="B1036" s="175"/>
      <c r="C1036" s="355"/>
      <c r="D1036" s="1325" t="s">
        <v>1800</v>
      </c>
      <c r="E1036" s="1325"/>
      <c r="F1036" s="1325"/>
      <c r="G1036" s="3"/>
      <c r="I1036" s="491"/>
    </row>
    <row r="1037" spans="1:9" ht="12.75" customHeight="1">
      <c r="A1037" s="355"/>
      <c r="B1037" s="355"/>
      <c r="C1037" s="355"/>
      <c r="D1037" s="1325"/>
      <c r="E1037" s="1325"/>
      <c r="F1037" s="1325"/>
      <c r="G1037" s="3"/>
      <c r="I1037" s="491"/>
    </row>
    <row r="1038" spans="1:9" ht="12.75" customHeight="1">
      <c r="A1038" s="1311" t="s">
        <v>1809</v>
      </c>
      <c r="B1038" s="1311"/>
      <c r="C1038" s="1311"/>
      <c r="D1038" s="1311"/>
      <c r="E1038" s="1311"/>
      <c r="F1038" s="1311"/>
      <c r="G1038" s="1311"/>
      <c r="H1038" s="1029"/>
      <c r="I1038" s="1155"/>
    </row>
    <row r="1039" spans="1:9" ht="12.75" customHeight="1">
      <c r="A1039" s="118"/>
      <c r="B1039" s="118"/>
      <c r="C1039" s="355"/>
      <c r="D1039" s="3"/>
      <c r="E1039" s="3"/>
      <c r="F1039" s="3"/>
      <c r="G1039" s="3"/>
      <c r="I1039" s="491"/>
    </row>
    <row r="1040" spans="1:9" ht="12.75" hidden="1" customHeight="1">
      <c r="A1040" s="118"/>
      <c r="B1040" s="403"/>
      <c r="D1040" s="1332" t="s">
        <v>1272</v>
      </c>
      <c r="E1040" s="1332"/>
      <c r="F1040" s="1332"/>
      <c r="G1040" s="3"/>
      <c r="I1040" s="491"/>
    </row>
    <row r="1041" spans="1:9" ht="12.75" hidden="1" customHeight="1">
      <c r="A1041" s="118"/>
      <c r="B1041" s="486" t="s">
        <v>307</v>
      </c>
      <c r="D1041" s="1294" t="s">
        <v>1271</v>
      </c>
      <c r="E1041" s="1294"/>
      <c r="F1041" s="1294"/>
      <c r="G1041" s="3"/>
      <c r="I1041" s="491"/>
    </row>
    <row r="1042" spans="1:9" ht="12.75" hidden="1" customHeight="1">
      <c r="A1042" s="118"/>
      <c r="B1042" s="403"/>
      <c r="D1042" s="1294" t="s">
        <v>1810</v>
      </c>
      <c r="E1042" s="1294"/>
      <c r="F1042" s="1294"/>
      <c r="G1042" s="3"/>
      <c r="I1042" s="491"/>
    </row>
    <row r="1043" spans="1:9" ht="12.75" hidden="1" customHeight="1">
      <c r="A1043" s="118"/>
      <c r="B1043" s="403"/>
      <c r="D1043" s="445"/>
      <c r="E1043" s="445"/>
      <c r="F1043" s="445"/>
      <c r="G1043" s="3"/>
      <c r="I1043" s="491"/>
    </row>
    <row r="1044" spans="1:9" ht="12.75" customHeight="1">
      <c r="A1044" s="118"/>
      <c r="B1044" s="118"/>
      <c r="C1044" s="355"/>
      <c r="D1044" s="1333" t="s">
        <v>1066</v>
      </c>
      <c r="E1044" s="1333"/>
      <c r="F1044" s="1333"/>
      <c r="G1044" s="3"/>
      <c r="I1044" s="491"/>
    </row>
    <row r="1045" spans="1:9" ht="12.75" customHeight="1">
      <c r="A1045" s="320"/>
      <c r="B1045" s="320"/>
      <c r="C1045" s="320"/>
      <c r="D1045" s="1303" t="s">
        <v>2251</v>
      </c>
      <c r="E1045" s="1303"/>
      <c r="F1045" s="1303"/>
      <c r="G1045" s="98"/>
      <c r="I1045" s="491"/>
    </row>
    <row r="1046" spans="1:9" ht="12.75" customHeight="1">
      <c r="A1046" s="175"/>
      <c r="B1046" s="486" t="s">
        <v>2670</v>
      </c>
      <c r="C1046" s="355"/>
      <c r="D1046" s="1303" t="s">
        <v>985</v>
      </c>
      <c r="E1046" s="1303"/>
      <c r="F1046" s="1303"/>
      <c r="G1046" s="3"/>
      <c r="I1046" s="491"/>
    </row>
    <row r="1047" spans="1:9" ht="12.75" customHeight="1">
      <c r="A1047" s="355"/>
      <c r="B1047" s="355"/>
      <c r="C1047" s="355"/>
      <c r="D1047" s="1037" t="s">
        <v>1918</v>
      </c>
      <c r="E1047" s="96"/>
      <c r="F1047" s="96"/>
      <c r="G1047" s="3"/>
      <c r="I1047" s="491"/>
    </row>
    <row r="1048" spans="1:9">
      <c r="A1048" s="403"/>
      <c r="B1048" s="403"/>
      <c r="C1048" s="403"/>
      <c r="I1048" s="491"/>
    </row>
    <row r="1049" spans="1:9">
      <c r="A1049" s="1311" t="s">
        <v>1830</v>
      </c>
      <c r="B1049" s="1311"/>
      <c r="C1049" s="1311"/>
      <c r="D1049" s="1311"/>
      <c r="E1049" s="1311"/>
      <c r="F1049" s="1311"/>
      <c r="G1049" s="1311"/>
      <c r="H1049" s="1029"/>
      <c r="I1049" s="1155"/>
    </row>
    <row r="1050" spans="1:9">
      <c r="A1050" s="403"/>
      <c r="B1050" s="403"/>
      <c r="C1050" s="403"/>
      <c r="I1050" s="491"/>
    </row>
    <row r="1051" spans="1:9">
      <c r="A1051" s="403"/>
      <c r="B1051" s="403"/>
      <c r="C1051" s="403"/>
      <c r="D1051" s="405" t="s">
        <v>1816</v>
      </c>
      <c r="I1051" s="491"/>
    </row>
    <row r="1052" spans="1:9">
      <c r="A1052" s="403"/>
      <c r="B1052" s="403"/>
      <c r="C1052" s="403"/>
      <c r="D1052" s="403" t="s">
        <v>1815</v>
      </c>
      <c r="I1052" s="491"/>
    </row>
    <row r="1053" spans="1:9">
      <c r="A1053" s="403"/>
      <c r="B1053" s="403"/>
      <c r="C1053" s="403"/>
      <c r="D1053" s="405"/>
      <c r="I1053" s="491"/>
    </row>
    <row r="1054" spans="1:9">
      <c r="A1054" s="403"/>
      <c r="B1054" s="486" t="s">
        <v>2669</v>
      </c>
      <c r="C1054" s="403"/>
      <c r="D1054" s="1329" t="s">
        <v>1814</v>
      </c>
      <c r="E1054" s="1329"/>
      <c r="F1054" s="1329"/>
      <c r="I1054" s="491"/>
    </row>
    <row r="1055" spans="1:9">
      <c r="A1055" s="403"/>
      <c r="B1055" s="403"/>
      <c r="C1055" s="403"/>
      <c r="D1055" s="1329"/>
      <c r="E1055" s="1329"/>
      <c r="F1055" s="1329"/>
      <c r="I1055" s="491"/>
    </row>
    <row r="1056" spans="1:9">
      <c r="A1056" s="403"/>
      <c r="B1056" s="403"/>
      <c r="C1056" s="403"/>
      <c r="D1056" s="1329"/>
      <c r="E1056" s="1329"/>
      <c r="F1056" s="1329"/>
      <c r="I1056" s="491"/>
    </row>
    <row r="1057" spans="1:9">
      <c r="A1057" s="403"/>
      <c r="B1057" s="403"/>
      <c r="C1057" s="403"/>
      <c r="D1057" s="1329"/>
      <c r="E1057" s="1329"/>
      <c r="F1057" s="1329"/>
      <c r="I1057" s="491"/>
    </row>
    <row r="1058" spans="1:9">
      <c r="A1058" s="403"/>
      <c r="B1058" s="403"/>
      <c r="C1058" s="403"/>
      <c r="I1058" s="491"/>
    </row>
    <row r="1059" spans="1:9">
      <c r="A1059" s="403"/>
      <c r="B1059" s="403"/>
      <c r="C1059" s="403"/>
      <c r="D1059" s="405" t="s">
        <v>1313</v>
      </c>
      <c r="I1059" s="491"/>
    </row>
    <row r="1060" spans="1:9">
      <c r="A1060" s="403"/>
      <c r="B1060" s="403"/>
      <c r="C1060" s="403"/>
      <c r="D1060" s="403" t="s">
        <v>1817</v>
      </c>
      <c r="I1060" s="491"/>
    </row>
    <row r="1061" spans="1:9">
      <c r="A1061" s="403"/>
      <c r="B1061" s="403"/>
      <c r="C1061" s="403"/>
      <c r="I1061" s="491"/>
    </row>
    <row r="1062" spans="1:9">
      <c r="A1062" s="403"/>
      <c r="B1062" s="486" t="s">
        <v>2669</v>
      </c>
      <c r="C1062" s="403"/>
      <c r="D1062" s="403" t="s">
        <v>1812</v>
      </c>
      <c r="I1062" s="491"/>
    </row>
    <row r="1063" spans="1:9">
      <c r="A1063" s="403"/>
      <c r="B1063" s="403"/>
      <c r="C1063" s="403"/>
      <c r="I1063" s="491"/>
    </row>
    <row r="1064" spans="1:9">
      <c r="A1064" s="403"/>
      <c r="B1064" s="486" t="s">
        <v>2670</v>
      </c>
      <c r="C1064" s="403"/>
      <c r="D1064" s="1329" t="s">
        <v>1818</v>
      </c>
      <c r="E1064" s="1329"/>
      <c r="F1064" s="1329"/>
      <c r="I1064" s="491"/>
    </row>
    <row r="1065" spans="1:9">
      <c r="A1065" s="403"/>
      <c r="B1065" s="403"/>
      <c r="C1065" s="403"/>
      <c r="D1065" s="1329"/>
      <c r="E1065" s="1329"/>
      <c r="F1065" s="1329"/>
      <c r="I1065" s="491"/>
    </row>
    <row r="1066" spans="1:9">
      <c r="A1066" s="403"/>
      <c r="B1066" s="403"/>
      <c r="C1066" s="403"/>
      <c r="D1066" s="1329"/>
      <c r="E1066" s="1329"/>
      <c r="F1066" s="1329"/>
      <c r="I1066" s="491"/>
    </row>
    <row r="1067" spans="1:9">
      <c r="A1067" s="403"/>
      <c r="B1067" s="403"/>
      <c r="C1067" s="403"/>
      <c r="D1067" s="1329"/>
      <c r="E1067" s="1329"/>
      <c r="F1067" s="1329"/>
      <c r="I1067" s="491"/>
    </row>
    <row r="1068" spans="1:9">
      <c r="A1068" s="403"/>
      <c r="B1068" s="403"/>
      <c r="C1068" s="403"/>
      <c r="D1068" s="1329"/>
      <c r="E1068" s="1329"/>
      <c r="F1068" s="1329"/>
      <c r="I1068" s="491"/>
    </row>
    <row r="1069" spans="1:9">
      <c r="A1069" s="403"/>
      <c r="B1069" s="403"/>
      <c r="C1069" s="403"/>
      <c r="I1069" s="491"/>
    </row>
    <row r="1070" spans="1:9">
      <c r="A1070" s="1311" t="s">
        <v>1819</v>
      </c>
      <c r="B1070" s="1311"/>
      <c r="C1070" s="1311"/>
      <c r="D1070" s="1311"/>
      <c r="E1070" s="1311"/>
      <c r="F1070" s="1311"/>
      <c r="G1070" s="1311"/>
      <c r="H1070" s="1029"/>
      <c r="I1070" s="1155"/>
    </row>
    <row r="1071" spans="1:9">
      <c r="A1071" s="403"/>
      <c r="B1071" s="403"/>
      <c r="C1071" s="403"/>
      <c r="I1071" s="491"/>
    </row>
    <row r="1072" spans="1:9">
      <c r="A1072" s="403"/>
      <c r="B1072" s="403"/>
      <c r="C1072" s="403"/>
      <c r="I1072" s="491"/>
    </row>
    <row r="1073" spans="1:9">
      <c r="A1073" s="403"/>
      <c r="B1073" s="486" t="s">
        <v>2669</v>
      </c>
      <c r="C1073" s="403"/>
      <c r="D1073" s="528" t="s">
        <v>1822</v>
      </c>
      <c r="I1073" s="491"/>
    </row>
    <row r="1074" spans="1:9">
      <c r="A1074" s="403"/>
      <c r="B1074" s="403"/>
      <c r="C1074" s="403"/>
      <c r="D1074" s="528" t="s">
        <v>1824</v>
      </c>
      <c r="I1074" s="491"/>
    </row>
    <row r="1075" spans="1:9">
      <c r="A1075" s="403"/>
      <c r="B1075" s="403"/>
      <c r="C1075" s="403"/>
      <c r="D1075" s="528"/>
      <c r="I1075" s="491"/>
    </row>
    <row r="1076" spans="1:9">
      <c r="A1076" s="403"/>
      <c r="B1076" s="486" t="s">
        <v>2669</v>
      </c>
      <c r="C1076" s="403"/>
      <c r="D1076" s="528" t="s">
        <v>1825</v>
      </c>
      <c r="I1076" s="491"/>
    </row>
    <row r="1077" spans="1:9">
      <c r="A1077" s="403"/>
      <c r="B1077" s="403"/>
      <c r="C1077" s="403"/>
      <c r="D1077" s="528" t="s">
        <v>1823</v>
      </c>
      <c r="I1077" s="491"/>
    </row>
    <row r="1078" spans="1:9">
      <c r="A1078" s="403"/>
      <c r="B1078" s="403"/>
      <c r="C1078" s="403"/>
      <c r="D1078" s="528"/>
      <c r="I1078" s="491"/>
    </row>
    <row r="1079" spans="1:9">
      <c r="A1079" s="403"/>
      <c r="B1079" s="486" t="s">
        <v>2670</v>
      </c>
      <c r="C1079" s="403"/>
      <c r="D1079" s="119" t="s">
        <v>1828</v>
      </c>
      <c r="I1079" s="491"/>
    </row>
    <row r="1080" spans="1:9">
      <c r="A1080" s="403"/>
      <c r="B1080" s="403"/>
      <c r="C1080" s="403"/>
      <c r="D1080" s="1262" t="s">
        <v>1829</v>
      </c>
      <c r="E1080" s="1262"/>
      <c r="F1080" s="1262"/>
      <c r="I1080" s="491"/>
    </row>
    <row r="1081" spans="1:9">
      <c r="A1081" s="403"/>
      <c r="B1081" s="403"/>
      <c r="C1081" s="403"/>
      <c r="D1081" s="1262"/>
      <c r="E1081" s="1262"/>
      <c r="F1081" s="1262"/>
      <c r="I1081" s="491"/>
    </row>
    <row r="1082" spans="1:9">
      <c r="A1082" s="403"/>
      <c r="B1082" s="403"/>
      <c r="C1082" s="403"/>
      <c r="D1082" s="1262"/>
      <c r="E1082" s="1262"/>
      <c r="F1082" s="1262"/>
      <c r="I1082" s="491"/>
    </row>
    <row r="1083" spans="1:9">
      <c r="A1083" s="403"/>
      <c r="B1083" s="403"/>
      <c r="C1083" s="403"/>
      <c r="D1083" s="1262"/>
      <c r="E1083" s="1262"/>
      <c r="F1083" s="1262"/>
      <c r="I1083" s="491"/>
    </row>
    <row r="1084" spans="1:9">
      <c r="A1084" s="403"/>
      <c r="B1084" s="403"/>
      <c r="C1084" s="403"/>
      <c r="D1084" s="119" t="s">
        <v>1827</v>
      </c>
      <c r="I1084" s="491"/>
    </row>
    <row r="1085" spans="1:9">
      <c r="A1085" s="403"/>
      <c r="B1085" s="403"/>
      <c r="C1085" s="403"/>
      <c r="D1085" s="119"/>
      <c r="I1085" s="491"/>
    </row>
    <row r="1086" spans="1:9">
      <c r="A1086" s="403"/>
      <c r="B1086" s="403"/>
      <c r="C1086" s="403"/>
      <c r="D1086" s="528" t="s">
        <v>1820</v>
      </c>
      <c r="I1086" s="491"/>
    </row>
    <row r="1087" spans="1:9">
      <c r="A1087" s="403"/>
      <c r="B1087" s="486" t="s">
        <v>2670</v>
      </c>
      <c r="C1087" s="403"/>
      <c r="D1087" s="1328" t="s">
        <v>1821</v>
      </c>
      <c r="E1087" s="1328"/>
      <c r="F1087" s="1328"/>
      <c r="I1087" s="491"/>
    </row>
    <row r="1088" spans="1:9">
      <c r="A1088" s="403"/>
      <c r="B1088" s="403"/>
      <c r="C1088" s="403"/>
      <c r="D1088" s="1328"/>
      <c r="E1088" s="1328"/>
      <c r="F1088" s="1328"/>
      <c r="I1088" s="491"/>
    </row>
    <row r="1089" spans="1:9">
      <c r="A1089" s="403"/>
      <c r="B1089" s="403"/>
      <c r="C1089" s="403"/>
      <c r="D1089" s="1328"/>
      <c r="E1089" s="1328"/>
      <c r="F1089" s="1328"/>
      <c r="I1089" s="491"/>
    </row>
    <row r="1090" spans="1:9">
      <c r="A1090" s="403"/>
      <c r="B1090" s="403"/>
      <c r="C1090" s="403"/>
      <c r="D1090" s="1328"/>
      <c r="E1090" s="1328"/>
      <c r="F1090" s="1328"/>
      <c r="I1090" s="491"/>
    </row>
    <row r="1091" spans="1:9">
      <c r="A1091" s="403"/>
      <c r="B1091" s="403"/>
      <c r="C1091" s="403"/>
      <c r="D1091" s="1328"/>
      <c r="E1091" s="1328"/>
      <c r="F1091" s="1328"/>
      <c r="I1091" s="491"/>
    </row>
    <row r="1092" spans="1:9">
      <c r="A1092" s="403"/>
      <c r="B1092" s="403"/>
      <c r="C1092" s="403"/>
      <c r="D1092" s="528" t="s">
        <v>1826</v>
      </c>
      <c r="I1092" s="491"/>
    </row>
    <row r="1093" spans="1:9">
      <c r="A1093" s="403"/>
      <c r="B1093" s="403"/>
      <c r="C1093" s="403"/>
      <c r="I1093" s="491"/>
    </row>
    <row r="1094" spans="1:9">
      <c r="A1094" s="403"/>
      <c r="B1094" s="486" t="s">
        <v>2670</v>
      </c>
      <c r="C1094" s="403"/>
      <c r="D1094" s="1278" t="s">
        <v>2284</v>
      </c>
      <c r="E1094" s="1278"/>
      <c r="F1094" s="1278"/>
      <c r="I1094" s="491"/>
    </row>
    <row r="1095" spans="1:9">
      <c r="A1095" s="403"/>
      <c r="B1095" s="403"/>
      <c r="C1095" s="403"/>
      <c r="D1095" s="1278"/>
      <c r="E1095" s="1278"/>
      <c r="F1095" s="1278"/>
      <c r="I1095" s="491"/>
    </row>
    <row r="1096" spans="1:9">
      <c r="A1096" s="403"/>
      <c r="B1096" s="403"/>
      <c r="C1096" s="403"/>
      <c r="D1096" s="1278"/>
      <c r="E1096" s="1278"/>
      <c r="F1096" s="1278"/>
      <c r="I1096" s="491"/>
    </row>
    <row r="1097" spans="1:9">
      <c r="A1097" s="403"/>
      <c r="B1097" s="403"/>
      <c r="C1097" s="403"/>
      <c r="I1097" s="491"/>
    </row>
    <row r="1098" spans="1:9">
      <c r="A1098" s="1311" t="s">
        <v>1831</v>
      </c>
      <c r="B1098" s="1311"/>
      <c r="C1098" s="1311"/>
      <c r="D1098" s="1311"/>
      <c r="E1098" s="1311"/>
      <c r="F1098" s="1311"/>
      <c r="G1098" s="1311"/>
      <c r="H1098" s="1029"/>
      <c r="I1098" s="1155"/>
    </row>
    <row r="1099" spans="1:9">
      <c r="A1099" s="403"/>
      <c r="B1099" s="403"/>
      <c r="C1099" s="403"/>
      <c r="I1099" s="491"/>
    </row>
    <row r="1100" spans="1:9">
      <c r="A1100" s="403"/>
      <c r="B1100" s="403"/>
      <c r="C1100" s="403"/>
      <c r="I1100" s="491"/>
    </row>
    <row r="1101" spans="1:9" ht="12.75" customHeight="1">
      <c r="A1101" s="403"/>
      <c r="B1101" s="486" t="s">
        <v>2670</v>
      </c>
      <c r="C1101" s="403"/>
      <c r="D1101" s="1330" t="s">
        <v>1930</v>
      </c>
      <c r="E1101" s="1330"/>
      <c r="F1101" s="1330"/>
      <c r="I1101" s="491"/>
    </row>
    <row r="1102" spans="1:9">
      <c r="A1102" s="403"/>
      <c r="B1102" s="403"/>
      <c r="C1102" s="403"/>
      <c r="D1102" s="1330"/>
      <c r="E1102" s="1330"/>
      <c r="F1102" s="1330"/>
      <c r="I1102" s="491"/>
    </row>
    <row r="1103" spans="1:9">
      <c r="A1103" s="403"/>
      <c r="B1103" s="403"/>
      <c r="C1103" s="403"/>
      <c r="D1103" s="1331" t="s">
        <v>2145</v>
      </c>
      <c r="E1103" s="1262"/>
      <c r="F1103" s="1262"/>
      <c r="I1103" s="491"/>
    </row>
    <row r="1104" spans="1:9">
      <c r="A1104" s="403"/>
      <c r="B1104" s="403"/>
      <c r="C1104" s="403"/>
      <c r="D1104" s="528"/>
      <c r="I1104" s="491"/>
    </row>
    <row r="1105" spans="1:9">
      <c r="A1105" s="403"/>
      <c r="B1105" s="486" t="s">
        <v>2670</v>
      </c>
      <c r="C1105" s="403"/>
      <c r="D1105" s="1328" t="s">
        <v>1832</v>
      </c>
      <c r="E1105" s="1328"/>
      <c r="F1105" s="1328"/>
      <c r="I1105" s="491"/>
    </row>
    <row r="1106" spans="1:9">
      <c r="A1106" s="403"/>
      <c r="B1106" s="403"/>
      <c r="C1106" s="403"/>
      <c r="D1106" s="1328"/>
      <c r="E1106" s="1328"/>
      <c r="F1106" s="1328"/>
      <c r="I1106" s="491"/>
    </row>
    <row r="1107" spans="1:9">
      <c r="A1107" s="403"/>
      <c r="B1107" s="403"/>
      <c r="C1107" s="403"/>
      <c r="D1107" s="528"/>
      <c r="I1107" s="491"/>
    </row>
    <row r="1108" spans="1:9">
      <c r="A1108" s="403"/>
      <c r="B1108" s="486" t="s">
        <v>2671</v>
      </c>
      <c r="C1108" s="403"/>
      <c r="D1108" s="1328" t="s">
        <v>1888</v>
      </c>
      <c r="E1108" s="1328"/>
      <c r="F1108" s="1328"/>
      <c r="I1108" s="491"/>
    </row>
    <row r="1109" spans="1:9">
      <c r="A1109" s="403"/>
      <c r="B1109" s="403"/>
      <c r="C1109" s="403"/>
      <c r="D1109" s="1328"/>
      <c r="E1109" s="1328"/>
      <c r="F1109" s="1328"/>
      <c r="I1109" s="491"/>
    </row>
    <row r="1110" spans="1:9">
      <c r="A1110" s="403"/>
      <c r="B1110" s="403"/>
      <c r="C1110" s="403"/>
      <c r="D1110" s="1328"/>
      <c r="E1110" s="1328"/>
      <c r="F1110" s="1328"/>
      <c r="I1110" s="491"/>
    </row>
    <row r="1111" spans="1:9">
      <c r="A1111" s="403"/>
      <c r="B1111" s="403"/>
      <c r="C1111" s="403"/>
      <c r="D1111" s="1328"/>
      <c r="E1111" s="1328"/>
      <c r="F1111" s="1328"/>
      <c r="I1111" s="491"/>
    </row>
    <row r="1112" spans="1:9">
      <c r="A1112" s="403"/>
      <c r="B1112" s="403"/>
      <c r="C1112" s="403"/>
      <c r="D1112" s="1328"/>
      <c r="E1112" s="1328"/>
      <c r="F1112" s="1328"/>
      <c r="I1112" s="491"/>
    </row>
    <row r="1113" spans="1:9">
      <c r="A1113" s="403"/>
      <c r="B1113" s="403"/>
      <c r="C1113" s="403"/>
      <c r="D1113" s="1328"/>
      <c r="E1113" s="1328"/>
      <c r="F1113" s="1328"/>
      <c r="I1113" s="491"/>
    </row>
    <row r="1114" spans="1:9">
      <c r="A1114" s="403"/>
      <c r="B1114" s="403"/>
      <c r="C1114" s="403"/>
      <c r="D1114" s="528"/>
      <c r="I1114" s="481"/>
    </row>
    <row r="1115" spans="1:9">
      <c r="A1115" s="403"/>
      <c r="B1115" s="486" t="s">
        <v>2670</v>
      </c>
      <c r="C1115" s="403"/>
      <c r="D1115" s="1328" t="s">
        <v>1833</v>
      </c>
      <c r="E1115" s="1328"/>
      <c r="F1115" s="1328"/>
      <c r="I1115" s="491"/>
    </row>
    <row r="1116" spans="1:9">
      <c r="A1116" s="403"/>
      <c r="B1116" s="403"/>
      <c r="C1116" s="403"/>
      <c r="D1116" s="1328"/>
      <c r="E1116" s="1328"/>
      <c r="F1116" s="1328"/>
      <c r="I1116" s="491"/>
    </row>
    <row r="1117" spans="1:9">
      <c r="A1117" s="403"/>
      <c r="B1117" s="403"/>
      <c r="C1117" s="403"/>
      <c r="D1117" s="1328"/>
      <c r="E1117" s="1328"/>
      <c r="F1117" s="1328"/>
      <c r="I1117" s="491"/>
    </row>
    <row r="1118" spans="1:9">
      <c r="A1118" s="403"/>
      <c r="B1118" s="403"/>
      <c r="C1118" s="403"/>
      <c r="D1118" s="528"/>
      <c r="I1118" s="491"/>
    </row>
    <row r="1119" spans="1:9">
      <c r="A1119" s="403"/>
      <c r="B1119" s="486" t="s">
        <v>2670</v>
      </c>
      <c r="C1119" s="403"/>
      <c r="D1119" s="1268" t="s">
        <v>1889</v>
      </c>
      <c r="E1119" s="1268"/>
      <c r="F1119" s="1268"/>
      <c r="I1119" s="491"/>
    </row>
    <row r="1120" spans="1:9">
      <c r="A1120" s="403"/>
      <c r="B1120" s="403"/>
      <c r="C1120" s="403"/>
      <c r="D1120" s="1268"/>
      <c r="E1120" s="1268"/>
      <c r="F1120" s="1268"/>
      <c r="I1120" s="491"/>
    </row>
    <row r="1121" spans="1:9">
      <c r="A1121" s="403"/>
      <c r="B1121" s="403"/>
      <c r="C1121" s="403"/>
      <c r="D1121" s="1268"/>
      <c r="E1121" s="1268"/>
      <c r="F1121" s="1268"/>
      <c r="I1121" s="491"/>
    </row>
    <row r="1122" spans="1:9">
      <c r="A1122" s="403"/>
      <c r="B1122" s="403"/>
      <c r="C1122" s="403"/>
      <c r="D1122" s="981"/>
      <c r="E1122" s="981"/>
      <c r="F1122" s="981"/>
      <c r="I1122" s="491"/>
    </row>
    <row r="1123" spans="1:9" ht="15.75" customHeight="1">
      <c r="A1123" s="403"/>
      <c r="B1123" s="486" t="s">
        <v>2670</v>
      </c>
      <c r="C1123" s="403"/>
      <c r="D1123" s="1262" t="s">
        <v>1890</v>
      </c>
      <c r="E1123" s="1262"/>
      <c r="F1123" s="1262"/>
      <c r="I1123" s="491"/>
    </row>
    <row r="1124" spans="1:9">
      <c r="A1124" s="403"/>
      <c r="B1124" s="403"/>
      <c r="C1124" s="403"/>
      <c r="D1124" s="1262"/>
      <c r="E1124" s="1262"/>
      <c r="F1124" s="1262"/>
      <c r="I1124" s="491"/>
    </row>
    <row r="1125" spans="1:9">
      <c r="A1125" s="403"/>
      <c r="B1125" s="403"/>
      <c r="C1125" s="403"/>
      <c r="D1125" s="1262"/>
      <c r="E1125" s="1262"/>
      <c r="F1125" s="1262"/>
      <c r="I1125" s="491"/>
    </row>
    <row r="1126" spans="1:9">
      <c r="A1126" s="403"/>
      <c r="B1126" s="403"/>
      <c r="C1126" s="403"/>
      <c r="D1126" s="1262"/>
      <c r="E1126" s="1262"/>
      <c r="F1126" s="1262"/>
      <c r="I1126" s="491"/>
    </row>
    <row r="1127" spans="1:9">
      <c r="A1127" s="403"/>
      <c r="B1127" s="403"/>
      <c r="C1127" s="403"/>
      <c r="D1127" s="981"/>
      <c r="E1127" s="981"/>
      <c r="F1127" s="981"/>
      <c r="I1127" s="491"/>
    </row>
    <row r="1128" spans="1:9">
      <c r="A1128" s="403"/>
      <c r="B1128" s="403"/>
      <c r="C1128" s="403"/>
      <c r="I1128" s="1161"/>
    </row>
    <row r="1129" spans="1:9">
      <c r="A1129" s="403"/>
      <c r="B1129" s="403"/>
      <c r="C1129" s="403"/>
      <c r="I1129" s="491"/>
    </row>
    <row r="1130" spans="1:9">
      <c r="A1130" s="403"/>
      <c r="B1130" s="403"/>
      <c r="C1130" s="403"/>
      <c r="I1130" s="491"/>
    </row>
    <row r="1131" spans="1:9">
      <c r="A1131" s="403"/>
      <c r="B1131" s="403"/>
      <c r="C1131" s="403"/>
    </row>
    <row r="1132" spans="1:9">
      <c r="A1132" s="403"/>
      <c r="B1132" s="403"/>
      <c r="C1132" s="403"/>
    </row>
    <row r="1133" spans="1:9">
      <c r="A1133" s="403"/>
      <c r="B1133" s="403"/>
      <c r="C1133" s="403"/>
    </row>
    <row r="1134" spans="1:9">
      <c r="A1134" s="403"/>
      <c r="B1134" s="403"/>
      <c r="C1134" s="403"/>
    </row>
    <row r="1135" spans="1:9">
      <c r="A1135" s="403"/>
      <c r="B1135" s="403"/>
      <c r="C1135" s="403"/>
    </row>
    <row r="1136" spans="1:9">
      <c r="A1136" s="403"/>
      <c r="B1136" s="403"/>
      <c r="C1136" s="403"/>
    </row>
    <row r="1137" spans="1:3">
      <c r="A1137" s="403"/>
      <c r="B1137" s="403"/>
      <c r="C1137" s="403"/>
    </row>
    <row r="1138" spans="1:3">
      <c r="A1138" s="403"/>
      <c r="B1138" s="403"/>
      <c r="C1138" s="403"/>
    </row>
    <row r="1139" spans="1:3">
      <c r="A1139" s="403"/>
      <c r="B1139" s="403"/>
      <c r="C1139" s="403"/>
    </row>
    <row r="1140" spans="1:3">
      <c r="A1140" s="403"/>
      <c r="B1140" s="403"/>
      <c r="C1140" s="403"/>
    </row>
    <row r="1141" spans="1:3">
      <c r="A1141" s="403"/>
      <c r="B1141" s="403"/>
      <c r="C1141" s="403"/>
    </row>
    <row r="1142" spans="1:3">
      <c r="A1142" s="403"/>
      <c r="B1142" s="403"/>
      <c r="C1142" s="403"/>
    </row>
    <row r="1143" spans="1:3">
      <c r="A1143" s="403"/>
      <c r="B1143" s="403"/>
      <c r="C1143" s="403"/>
    </row>
    <row r="1144" spans="1:3">
      <c r="A1144" s="403"/>
      <c r="B1144" s="403"/>
      <c r="C1144" s="403"/>
    </row>
    <row r="1145" spans="1:3">
      <c r="A1145" s="403"/>
      <c r="B1145" s="403"/>
      <c r="C1145" s="403"/>
    </row>
    <row r="1146" spans="1:3"/>
    <row r="1147" spans="1:3"/>
    <row r="1148" spans="1:3"/>
    <row r="1149" spans="1:3"/>
    <row r="1150" spans="1:3"/>
    <row r="1151" spans="1:3"/>
    <row r="1152" spans="1:3"/>
    <row r="1153" spans="1:3">
      <c r="A1153" s="403"/>
      <c r="B1153" s="403"/>
      <c r="C1153" s="403"/>
    </row>
    <row r="1154" spans="1:3">
      <c r="A1154" s="403"/>
      <c r="B1154" s="403"/>
      <c r="C1154" s="403"/>
    </row>
    <row r="1155" spans="1:3">
      <c r="A1155" s="403"/>
      <c r="B1155" s="403"/>
      <c r="C1155" s="403"/>
    </row>
    <row r="1156" spans="1:3">
      <c r="A1156" s="403"/>
      <c r="B1156" s="403"/>
      <c r="C1156" s="403"/>
    </row>
    <row r="1157" spans="1:3">
      <c r="A1157" s="403"/>
      <c r="B1157" s="403"/>
      <c r="C1157" s="403"/>
    </row>
    <row r="1158" spans="1:3">
      <c r="A1158" s="403"/>
      <c r="B1158" s="403"/>
      <c r="C1158" s="403"/>
    </row>
    <row r="1159" spans="1:3">
      <c r="A1159" s="403"/>
      <c r="B1159" s="403"/>
      <c r="C1159" s="403"/>
    </row>
    <row r="1160" spans="1:3">
      <c r="A1160" s="403"/>
      <c r="B1160" s="403"/>
      <c r="C1160" s="403"/>
    </row>
    <row r="1161" spans="1:3">
      <c r="A1161" s="403"/>
      <c r="B1161" s="403"/>
      <c r="C1161" s="403"/>
    </row>
    <row r="1162" spans="1:3">
      <c r="A1162" s="403"/>
      <c r="B1162" s="403"/>
      <c r="C1162" s="403"/>
    </row>
    <row r="1163" spans="1:3">
      <c r="A1163" s="403"/>
      <c r="B1163" s="403"/>
      <c r="C1163" s="403"/>
    </row>
    <row r="1164" spans="1:3">
      <c r="A1164" s="403"/>
      <c r="B1164" s="403"/>
      <c r="C1164" s="403"/>
    </row>
    <row r="1165" spans="1:3">
      <c r="A1165" s="403"/>
      <c r="B1165" s="403"/>
      <c r="C1165" s="403"/>
    </row>
    <row r="1166" spans="1:3">
      <c r="A1166" s="403"/>
      <c r="B1166" s="403"/>
      <c r="C1166" s="403"/>
    </row>
    <row r="1167" spans="1:3">
      <c r="A1167" s="403"/>
      <c r="B1167" s="403"/>
      <c r="C1167" s="403"/>
    </row>
    <row r="1168" spans="1:3">
      <c r="A1168" s="403"/>
      <c r="B1168" s="403"/>
      <c r="C1168" s="403"/>
    </row>
    <row r="1169" spans="1:3">
      <c r="A1169" s="403"/>
      <c r="B1169" s="403"/>
      <c r="C1169" s="403"/>
    </row>
    <row r="1170" spans="1:3">
      <c r="A1170" s="403"/>
      <c r="B1170" s="403"/>
      <c r="C1170" s="403"/>
    </row>
    <row r="1171" spans="1:3">
      <c r="A1171" s="403"/>
      <c r="B1171" s="403"/>
      <c r="C1171" s="403"/>
    </row>
    <row r="1172" spans="1:3">
      <c r="A1172" s="403"/>
      <c r="B1172" s="403"/>
      <c r="C1172" s="403"/>
    </row>
    <row r="1173" spans="1:3">
      <c r="A1173" s="403"/>
      <c r="B1173" s="403"/>
      <c r="C1173" s="403"/>
    </row>
    <row r="1174" spans="1:3">
      <c r="A1174" s="403"/>
      <c r="B1174" s="403"/>
      <c r="C1174" s="403"/>
    </row>
    <row r="1175" spans="1:3">
      <c r="A1175" s="403"/>
      <c r="B1175" s="403"/>
      <c r="C1175" s="403"/>
    </row>
    <row r="1176" spans="1:3">
      <c r="A1176" s="403"/>
      <c r="B1176" s="403"/>
      <c r="C1176" s="403"/>
    </row>
    <row r="1177" spans="1:3">
      <c r="A1177" s="403"/>
      <c r="B1177" s="403"/>
      <c r="C1177" s="403"/>
    </row>
    <row r="1178" spans="1:3">
      <c r="A1178" s="403"/>
      <c r="B1178" s="403"/>
      <c r="C1178" s="403"/>
    </row>
    <row r="1179" spans="1:3">
      <c r="A1179" s="403"/>
      <c r="B1179" s="403"/>
      <c r="C1179" s="403"/>
    </row>
    <row r="1180" spans="1:3">
      <c r="A1180" s="403"/>
      <c r="B1180" s="403"/>
      <c r="C1180" s="403"/>
    </row>
    <row r="1181" spans="1:3">
      <c r="A1181" s="403"/>
      <c r="B1181" s="403"/>
      <c r="C1181" s="403"/>
    </row>
    <row r="1182" spans="1:3">
      <c r="A1182" s="403"/>
      <c r="B1182" s="403"/>
      <c r="C1182" s="403"/>
    </row>
    <row r="1183" spans="1:3">
      <c r="A1183" s="403"/>
      <c r="B1183" s="403"/>
      <c r="C1183" s="403"/>
    </row>
    <row r="1184" spans="1:3">
      <c r="A1184" s="403"/>
      <c r="B1184" s="403"/>
      <c r="C1184" s="403"/>
    </row>
    <row r="1185" spans="1:3">
      <c r="A1185" s="403"/>
      <c r="B1185" s="403"/>
      <c r="C1185" s="403"/>
    </row>
    <row r="1186" spans="1:3">
      <c r="A1186" s="403"/>
      <c r="B1186" s="403"/>
      <c r="C1186" s="403"/>
    </row>
    <row r="1187" spans="1:3">
      <c r="A1187" s="403"/>
      <c r="B1187" s="403"/>
      <c r="C1187" s="403"/>
    </row>
    <row r="1188" spans="1:3">
      <c r="A1188" s="403"/>
      <c r="B1188" s="403"/>
      <c r="C1188" s="403"/>
    </row>
    <row r="1189" spans="1:3">
      <c r="A1189" s="403"/>
      <c r="B1189" s="403"/>
      <c r="C1189" s="403"/>
    </row>
    <row r="1190" spans="1:3">
      <c r="A1190" s="403"/>
      <c r="B1190" s="403"/>
      <c r="C1190" s="403"/>
    </row>
    <row r="1191" spans="1:3">
      <c r="A1191" s="403"/>
      <c r="B1191" s="403"/>
      <c r="C1191" s="403"/>
    </row>
    <row r="1192" spans="1:3">
      <c r="A1192" s="403"/>
      <c r="B1192" s="403"/>
      <c r="C1192" s="403"/>
    </row>
    <row r="1193" spans="1:3">
      <c r="A1193" s="403"/>
      <c r="B1193" s="403"/>
      <c r="C1193" s="403"/>
    </row>
    <row r="1194" spans="1:3">
      <c r="A1194" s="403"/>
      <c r="B1194" s="403"/>
      <c r="C1194" s="403"/>
    </row>
    <row r="1195" spans="1:3">
      <c r="A1195" s="403"/>
      <c r="B1195" s="403"/>
      <c r="C1195" s="403"/>
    </row>
    <row r="1196" spans="1:3">
      <c r="A1196" s="403"/>
      <c r="B1196" s="403"/>
      <c r="C1196" s="403"/>
    </row>
    <row r="1197" spans="1:3">
      <c r="A1197" s="403"/>
      <c r="B1197" s="403"/>
      <c r="C1197" s="403"/>
    </row>
    <row r="1198" spans="1:3">
      <c r="A1198" s="403"/>
      <c r="B1198" s="403"/>
      <c r="C1198" s="403"/>
    </row>
    <row r="1199" spans="1:3">
      <c r="A1199" s="403"/>
      <c r="B1199" s="403"/>
      <c r="C1199" s="403"/>
    </row>
    <row r="1200" spans="1:3">
      <c r="A1200" s="403"/>
      <c r="B1200" s="403"/>
      <c r="C1200" s="403"/>
    </row>
    <row r="1201" spans="1:3">
      <c r="A1201" s="403"/>
      <c r="B1201" s="403"/>
      <c r="C1201" s="403"/>
    </row>
    <row r="1202" spans="1:3">
      <c r="A1202" s="403"/>
      <c r="B1202" s="403"/>
      <c r="C1202" s="403"/>
    </row>
    <row r="1203" spans="1:3">
      <c r="A1203" s="403"/>
      <c r="B1203" s="403"/>
      <c r="C1203" s="403"/>
    </row>
    <row r="1204" spans="1:3">
      <c r="A1204" s="403"/>
      <c r="B1204" s="403"/>
      <c r="C1204" s="403"/>
    </row>
    <row r="1205" spans="1:3">
      <c r="A1205" s="403"/>
      <c r="B1205" s="403"/>
      <c r="C1205" s="403"/>
    </row>
    <row r="1206" spans="1:3">
      <c r="A1206" s="403"/>
      <c r="B1206" s="403"/>
      <c r="C1206" s="403"/>
    </row>
    <row r="1207" spans="1:3">
      <c r="A1207" s="403"/>
      <c r="B1207" s="403"/>
      <c r="C1207" s="403"/>
    </row>
    <row r="1208" spans="1:3">
      <c r="A1208" s="403"/>
      <c r="B1208" s="403"/>
      <c r="C1208" s="403"/>
    </row>
    <row r="1209" spans="1:3">
      <c r="A1209" s="403"/>
      <c r="B1209" s="403"/>
      <c r="C1209" s="403"/>
    </row>
    <row r="1210" spans="1:3">
      <c r="A1210" s="403"/>
      <c r="B1210" s="403"/>
      <c r="C1210" s="403"/>
    </row>
    <row r="1211" spans="1:3">
      <c r="A1211" s="403"/>
      <c r="B1211" s="403"/>
      <c r="C1211" s="403"/>
    </row>
    <row r="1212" spans="1:3">
      <c r="A1212" s="403"/>
      <c r="B1212" s="403"/>
      <c r="C1212" s="403"/>
    </row>
    <row r="1213" spans="1:3">
      <c r="A1213" s="403"/>
      <c r="B1213" s="403"/>
      <c r="C1213" s="403"/>
    </row>
    <row r="1214" spans="1:3">
      <c r="A1214" s="403"/>
      <c r="B1214" s="403"/>
      <c r="C1214" s="403"/>
    </row>
    <row r="1215" spans="1:3">
      <c r="A1215" s="403"/>
      <c r="B1215" s="403"/>
      <c r="C1215" s="403"/>
    </row>
    <row r="1216" spans="1:3">
      <c r="A1216" s="403"/>
      <c r="B1216" s="403"/>
      <c r="C1216" s="403"/>
    </row>
    <row r="1217" spans="1:3">
      <c r="A1217" s="403"/>
      <c r="B1217" s="403"/>
      <c r="C1217" s="403"/>
    </row>
    <row r="1218" spans="1:3">
      <c r="A1218" s="403"/>
      <c r="B1218" s="403"/>
      <c r="C1218" s="403"/>
    </row>
    <row r="1219" spans="1:3">
      <c r="A1219" s="403"/>
      <c r="B1219" s="403"/>
      <c r="C1219" s="403"/>
    </row>
    <row r="1220" spans="1:3">
      <c r="A1220" s="403"/>
      <c r="B1220" s="403"/>
      <c r="C1220" s="403"/>
    </row>
    <row r="1221" spans="1:3">
      <c r="A1221" s="403"/>
      <c r="B1221" s="403"/>
      <c r="C1221" s="403"/>
    </row>
    <row r="1222" spans="1:3">
      <c r="A1222" s="403"/>
      <c r="B1222" s="403"/>
      <c r="C1222" s="403"/>
    </row>
    <row r="1223" spans="1:3">
      <c r="A1223" s="403"/>
      <c r="B1223" s="403"/>
      <c r="C1223" s="403"/>
    </row>
    <row r="1224" spans="1:3">
      <c r="A1224" s="403"/>
      <c r="B1224" s="403"/>
      <c r="C1224" s="403"/>
    </row>
    <row r="1225" spans="1:3">
      <c r="A1225" s="403"/>
      <c r="B1225" s="403"/>
      <c r="C1225" s="403"/>
    </row>
    <row r="1226" spans="1:3">
      <c r="A1226" s="403"/>
      <c r="B1226" s="403"/>
      <c r="C1226" s="403"/>
    </row>
    <row r="1227" spans="1:3">
      <c r="A1227" s="403"/>
      <c r="B1227" s="403"/>
      <c r="C1227" s="403"/>
    </row>
    <row r="1228" spans="1:3">
      <c r="A1228" s="403"/>
      <c r="B1228" s="403"/>
      <c r="C1228" s="403"/>
    </row>
    <row r="1229" spans="1:3">
      <c r="A1229" s="403"/>
      <c r="B1229" s="403"/>
      <c r="C1229" s="403"/>
    </row>
    <row r="1230" spans="1:3">
      <c r="A1230" s="403"/>
      <c r="B1230" s="403"/>
      <c r="C1230" s="403"/>
    </row>
    <row r="1231" spans="1:3">
      <c r="A1231" s="403"/>
      <c r="B1231" s="403"/>
      <c r="C1231" s="403"/>
    </row>
    <row r="1232" spans="1:3">
      <c r="A1232" s="403"/>
      <c r="B1232" s="403"/>
      <c r="C1232" s="403"/>
    </row>
    <row r="1233" spans="1:3">
      <c r="A1233" s="403"/>
      <c r="B1233" s="403"/>
      <c r="C1233" s="403"/>
    </row>
    <row r="1234" spans="1:3">
      <c r="A1234" s="403"/>
      <c r="B1234" s="403"/>
      <c r="C1234" s="403"/>
    </row>
    <row r="1235" spans="1:3">
      <c r="A1235" s="403"/>
      <c r="B1235" s="403"/>
      <c r="C1235" s="403"/>
    </row>
    <row r="1236" spans="1:3">
      <c r="A1236" s="403"/>
      <c r="B1236" s="403"/>
      <c r="C1236" s="403"/>
    </row>
    <row r="1237" spans="1:3">
      <c r="A1237" s="403"/>
      <c r="B1237" s="403"/>
      <c r="C1237" s="403"/>
    </row>
    <row r="1238" spans="1:3">
      <c r="A1238" s="403"/>
      <c r="B1238" s="403"/>
      <c r="C1238" s="403"/>
    </row>
    <row r="1239" spans="1:3">
      <c r="A1239" s="403"/>
      <c r="B1239" s="403"/>
      <c r="C1239" s="403"/>
    </row>
    <row r="1240" spans="1:3">
      <c r="A1240" s="403"/>
      <c r="B1240" s="403"/>
      <c r="C1240" s="403"/>
    </row>
    <row r="1241" spans="1:3">
      <c r="A1241" s="403"/>
      <c r="B1241" s="403"/>
      <c r="C1241" s="403"/>
    </row>
    <row r="1242" spans="1:3">
      <c r="A1242" s="403"/>
      <c r="B1242" s="403"/>
      <c r="C1242" s="403"/>
    </row>
    <row r="1243" spans="1:3">
      <c r="A1243" s="403"/>
      <c r="B1243" s="403"/>
      <c r="C1243" s="403"/>
    </row>
    <row r="1244" spans="1:3">
      <c r="A1244" s="403"/>
      <c r="B1244" s="403"/>
      <c r="C1244" s="403"/>
    </row>
    <row r="1245" spans="1:3">
      <c r="A1245" s="403"/>
      <c r="B1245" s="403"/>
      <c r="C1245" s="403"/>
    </row>
    <row r="1246" spans="1:3">
      <c r="A1246" s="403"/>
      <c r="B1246" s="403"/>
      <c r="C1246" s="403"/>
    </row>
    <row r="1247" spans="1:3">
      <c r="A1247" s="403"/>
      <c r="B1247" s="403"/>
      <c r="C1247" s="403"/>
    </row>
    <row r="1248" spans="1:3">
      <c r="A1248" s="403"/>
      <c r="B1248" s="403"/>
      <c r="C1248" s="403"/>
    </row>
    <row r="1249" spans="1:3">
      <c r="A1249" s="403"/>
      <c r="B1249" s="403"/>
      <c r="C1249" s="403"/>
    </row>
    <row r="1250" spans="1:3">
      <c r="A1250" s="403"/>
      <c r="B1250" s="403"/>
      <c r="C1250" s="403"/>
    </row>
    <row r="1251" spans="1:3">
      <c r="A1251" s="403"/>
      <c r="B1251" s="403"/>
      <c r="C1251" s="403"/>
    </row>
    <row r="1252" spans="1:3">
      <c r="A1252" s="403"/>
      <c r="B1252" s="403"/>
      <c r="C1252" s="403"/>
    </row>
    <row r="1253" spans="1:3">
      <c r="A1253" s="403"/>
      <c r="B1253" s="403"/>
      <c r="C1253" s="403"/>
    </row>
    <row r="1254" spans="1:3">
      <c r="A1254" s="403"/>
      <c r="B1254" s="403"/>
      <c r="C1254" s="403"/>
    </row>
    <row r="1255" spans="1:3">
      <c r="A1255" s="403"/>
      <c r="B1255" s="403"/>
      <c r="C1255" s="403"/>
    </row>
    <row r="1256" spans="1:3">
      <c r="A1256" s="403"/>
      <c r="B1256" s="403"/>
      <c r="C1256" s="403"/>
    </row>
    <row r="1257" spans="1:3">
      <c r="A1257" s="403"/>
      <c r="B1257" s="403"/>
      <c r="C1257" s="403"/>
    </row>
    <row r="1258" spans="1:3">
      <c r="A1258" s="403"/>
      <c r="B1258" s="403"/>
      <c r="C1258" s="403"/>
    </row>
    <row r="1259" spans="1:3">
      <c r="A1259" s="403"/>
      <c r="B1259" s="403"/>
      <c r="C1259" s="403"/>
    </row>
    <row r="1260" spans="1:3">
      <c r="A1260" s="403"/>
      <c r="B1260" s="403"/>
      <c r="C1260" s="403"/>
    </row>
    <row r="1261" spans="1:3">
      <c r="A1261" s="403"/>
      <c r="B1261" s="403"/>
      <c r="C1261" s="403"/>
    </row>
    <row r="1262" spans="1:3">
      <c r="A1262" s="403"/>
      <c r="B1262" s="403"/>
      <c r="C1262" s="403"/>
    </row>
    <row r="1263" spans="1:3">
      <c r="A1263" s="403"/>
      <c r="B1263" s="403"/>
      <c r="C1263" s="403"/>
    </row>
    <row r="1264" spans="1:3">
      <c r="A1264" s="403"/>
      <c r="B1264" s="403"/>
      <c r="C1264" s="403"/>
    </row>
    <row r="1265" spans="1:3">
      <c r="A1265" s="403"/>
      <c r="B1265" s="403"/>
      <c r="C1265" s="403"/>
    </row>
    <row r="1266" spans="1:3">
      <c r="A1266" s="403"/>
      <c r="B1266" s="403"/>
      <c r="C1266" s="403"/>
    </row>
    <row r="1267" spans="1:3">
      <c r="A1267" s="403"/>
      <c r="B1267" s="403"/>
      <c r="C1267" s="403"/>
    </row>
    <row r="1268" spans="1:3">
      <c r="A1268" s="403"/>
      <c r="B1268" s="403"/>
      <c r="C1268" s="403"/>
    </row>
    <row r="1269" spans="1:3">
      <c r="A1269" s="403"/>
      <c r="B1269" s="403"/>
      <c r="C1269" s="403"/>
    </row>
    <row r="1270" spans="1:3">
      <c r="A1270" s="403"/>
      <c r="B1270" s="403"/>
      <c r="C1270" s="403"/>
    </row>
    <row r="1271" spans="1:3">
      <c r="A1271" s="403"/>
      <c r="B1271" s="403"/>
      <c r="C1271" s="403"/>
    </row>
    <row r="1272" spans="1:3">
      <c r="A1272" s="403"/>
      <c r="B1272" s="403"/>
      <c r="C1272" s="403"/>
    </row>
    <row r="1273" spans="1:3">
      <c r="A1273" s="403"/>
      <c r="B1273" s="403"/>
      <c r="C1273" s="403"/>
    </row>
    <row r="1274" spans="1:3">
      <c r="A1274" s="403"/>
      <c r="B1274" s="403"/>
      <c r="C1274" s="403"/>
    </row>
    <row r="1275" spans="1:3">
      <c r="A1275" s="403"/>
      <c r="B1275" s="403"/>
      <c r="C1275" s="403"/>
    </row>
    <row r="1276" spans="1:3">
      <c r="A1276" s="403"/>
      <c r="B1276" s="403"/>
      <c r="C1276" s="403"/>
    </row>
    <row r="1277" spans="1:3">
      <c r="A1277" s="403"/>
      <c r="B1277" s="403"/>
      <c r="C1277" s="403"/>
    </row>
    <row r="1278" spans="1:3">
      <c r="A1278" s="403"/>
      <c r="B1278" s="403"/>
      <c r="C1278" s="403"/>
    </row>
    <row r="1279" spans="1:3">
      <c r="A1279" s="403"/>
      <c r="B1279" s="403"/>
      <c r="C1279" s="403"/>
    </row>
    <row r="1280" spans="1:3">
      <c r="A1280" s="403"/>
      <c r="B1280" s="403"/>
      <c r="C1280" s="403"/>
    </row>
    <row r="1281" spans="1:3">
      <c r="A1281" s="403"/>
      <c r="B1281" s="403"/>
      <c r="C1281" s="403"/>
    </row>
    <row r="1282" spans="1:3">
      <c r="A1282" s="403"/>
      <c r="B1282" s="403"/>
      <c r="C1282" s="403"/>
    </row>
    <row r="1283" spans="1:3">
      <c r="A1283" s="403"/>
      <c r="B1283" s="403"/>
      <c r="C1283" s="403"/>
    </row>
    <row r="1284" spans="1:3">
      <c r="A1284" s="403"/>
      <c r="B1284" s="403"/>
      <c r="C1284" s="403"/>
    </row>
    <row r="1285" spans="1:3">
      <c r="A1285" s="403"/>
      <c r="B1285" s="403"/>
      <c r="C1285" s="403"/>
    </row>
    <row r="1286" spans="1:3">
      <c r="A1286" s="403"/>
      <c r="B1286" s="403"/>
      <c r="C1286" s="403"/>
    </row>
    <row r="1287" spans="1:3">
      <c r="A1287" s="403"/>
      <c r="B1287" s="403"/>
      <c r="C1287" s="403"/>
    </row>
    <row r="1288" spans="1:3">
      <c r="A1288" s="403"/>
      <c r="B1288" s="403"/>
      <c r="C1288" s="403"/>
    </row>
    <row r="1289" spans="1:3">
      <c r="A1289" s="403"/>
      <c r="B1289" s="403"/>
      <c r="C1289" s="403"/>
    </row>
    <row r="1290" spans="1:3">
      <c r="A1290" s="403"/>
      <c r="B1290" s="403"/>
      <c r="C1290" s="403"/>
    </row>
    <row r="1291" spans="1:3">
      <c r="A1291" s="403"/>
      <c r="B1291" s="403"/>
      <c r="C1291" s="403"/>
    </row>
    <row r="1292" spans="1:3">
      <c r="A1292" s="403"/>
      <c r="B1292" s="403"/>
      <c r="C1292" s="403"/>
    </row>
    <row r="1293" spans="1:3">
      <c r="A1293" s="403"/>
      <c r="B1293" s="403"/>
      <c r="C1293" s="403"/>
    </row>
    <row r="1294" spans="1:3">
      <c r="A1294" s="403"/>
      <c r="B1294" s="403"/>
      <c r="C1294" s="403"/>
    </row>
    <row r="1295" spans="1:3">
      <c r="A1295" s="403"/>
      <c r="B1295" s="403"/>
      <c r="C1295" s="403"/>
    </row>
    <row r="1296" spans="1:3">
      <c r="A1296" s="403"/>
      <c r="B1296" s="403"/>
      <c r="C1296" s="403"/>
    </row>
    <row r="1297" spans="1:3">
      <c r="A1297" s="403"/>
      <c r="B1297" s="403"/>
      <c r="C1297" s="403"/>
    </row>
    <row r="1298" spans="1:3">
      <c r="A1298" s="403"/>
      <c r="B1298" s="403"/>
      <c r="C1298" s="403"/>
    </row>
    <row r="1299" spans="1:3">
      <c r="A1299" s="403"/>
      <c r="B1299" s="403"/>
      <c r="C1299" s="403"/>
    </row>
    <row r="1300" spans="1:3">
      <c r="A1300" s="403"/>
      <c r="B1300" s="403"/>
      <c r="C1300" s="403"/>
    </row>
    <row r="1301" spans="1:3">
      <c r="A1301" s="403"/>
      <c r="B1301" s="403"/>
      <c r="C1301" s="403"/>
    </row>
    <row r="1302" spans="1:3">
      <c r="A1302" s="403"/>
      <c r="B1302" s="403"/>
      <c r="C1302" s="403"/>
    </row>
    <row r="1303" spans="1:3">
      <c r="A1303" s="403"/>
      <c r="B1303" s="403"/>
      <c r="C1303" s="403"/>
    </row>
    <row r="1304" spans="1:3">
      <c r="A1304" s="403"/>
      <c r="B1304" s="403"/>
      <c r="C1304" s="403"/>
    </row>
    <row r="1305" spans="1:3">
      <c r="A1305" s="403"/>
      <c r="B1305" s="403"/>
      <c r="C1305" s="403"/>
    </row>
    <row r="1306" spans="1:3">
      <c r="A1306" s="403"/>
      <c r="B1306" s="403"/>
      <c r="C1306" s="403"/>
    </row>
    <row r="1307" spans="1:3">
      <c r="A1307" s="403"/>
      <c r="B1307" s="403"/>
      <c r="C1307" s="403"/>
    </row>
    <row r="1308" spans="1:3">
      <c r="A1308" s="403"/>
      <c r="B1308" s="403"/>
      <c r="C1308" s="403"/>
    </row>
    <row r="1309" spans="1:3">
      <c r="A1309" s="403"/>
      <c r="B1309" s="403"/>
      <c r="C1309" s="403"/>
    </row>
    <row r="1310" spans="1:3">
      <c r="A1310" s="403"/>
      <c r="B1310" s="403"/>
      <c r="C1310" s="403"/>
    </row>
    <row r="1311" spans="1:3">
      <c r="A1311" s="403"/>
      <c r="B1311" s="403"/>
      <c r="C1311" s="403"/>
    </row>
    <row r="1312" spans="1:3">
      <c r="A1312" s="403"/>
      <c r="B1312" s="403"/>
      <c r="C1312" s="403"/>
    </row>
    <row r="1313" spans="1:3">
      <c r="A1313" s="403"/>
      <c r="B1313" s="403"/>
      <c r="C1313" s="403"/>
    </row>
    <row r="1314" spans="1:3">
      <c r="A1314" s="403"/>
      <c r="B1314" s="403"/>
      <c r="C1314" s="403"/>
    </row>
    <row r="1315" spans="1:3">
      <c r="A1315" s="403"/>
      <c r="B1315" s="403"/>
      <c r="C1315" s="403"/>
    </row>
    <row r="1316" spans="1:3">
      <c r="A1316" s="403"/>
      <c r="B1316" s="403"/>
      <c r="C1316" s="403"/>
    </row>
    <row r="1317" spans="1:3">
      <c r="A1317" s="403"/>
      <c r="B1317" s="403"/>
      <c r="C1317" s="403"/>
    </row>
    <row r="1318" spans="1:3">
      <c r="A1318" s="403"/>
      <c r="B1318" s="403"/>
      <c r="C1318" s="403"/>
    </row>
    <row r="1319" spans="1:3">
      <c r="A1319" s="403"/>
      <c r="B1319" s="403"/>
      <c r="C1319" s="403"/>
    </row>
    <row r="1320" spans="1:3">
      <c r="A1320" s="403"/>
      <c r="B1320" s="403"/>
      <c r="C1320" s="403"/>
    </row>
    <row r="1321" spans="1:3">
      <c r="A1321" s="403"/>
      <c r="B1321" s="403"/>
      <c r="C1321" s="403"/>
    </row>
    <row r="1322" spans="1:3">
      <c r="A1322" s="403"/>
      <c r="B1322" s="403"/>
      <c r="C1322" s="403"/>
    </row>
    <row r="1323" spans="1:3">
      <c r="A1323" s="403"/>
      <c r="B1323" s="403"/>
      <c r="C1323" s="403"/>
    </row>
    <row r="1324" spans="1:3">
      <c r="A1324" s="403"/>
      <c r="B1324" s="403"/>
      <c r="C1324" s="403"/>
    </row>
    <row r="1325" spans="1:3">
      <c r="A1325" s="403"/>
      <c r="B1325" s="403"/>
      <c r="C1325" s="403"/>
    </row>
    <row r="1326" spans="1:3">
      <c r="A1326" s="403"/>
      <c r="B1326" s="403"/>
      <c r="C1326" s="403"/>
    </row>
    <row r="1327" spans="1:3">
      <c r="A1327" s="403"/>
      <c r="B1327" s="403"/>
      <c r="C1327" s="403"/>
    </row>
    <row r="1328" spans="1:3">
      <c r="A1328" s="403"/>
      <c r="B1328" s="403"/>
      <c r="C1328" s="403"/>
    </row>
    <row r="1329" spans="1:3">
      <c r="A1329" s="403"/>
      <c r="B1329" s="403"/>
      <c r="C1329" s="403"/>
    </row>
    <row r="1330" spans="1:3">
      <c r="A1330" s="403"/>
      <c r="B1330" s="403"/>
      <c r="C1330" s="403"/>
    </row>
    <row r="1331" spans="1:3">
      <c r="A1331" s="403"/>
      <c r="B1331" s="403"/>
      <c r="C1331" s="403"/>
    </row>
    <row r="1332" spans="1:3">
      <c r="A1332" s="403"/>
      <c r="B1332" s="403"/>
      <c r="C1332" s="403"/>
    </row>
    <row r="1333" spans="1:3">
      <c r="A1333" s="403"/>
      <c r="B1333" s="403"/>
      <c r="C1333" s="403"/>
    </row>
    <row r="1334" spans="1:3">
      <c r="A1334" s="403"/>
      <c r="B1334" s="403"/>
      <c r="C1334" s="403"/>
    </row>
    <row r="1335" spans="1:3">
      <c r="A1335" s="403"/>
      <c r="B1335" s="403"/>
      <c r="C1335" s="403"/>
    </row>
    <row r="1336" spans="1:3">
      <c r="A1336" s="403"/>
      <c r="B1336" s="403"/>
      <c r="C1336" s="403"/>
    </row>
    <row r="1337" spans="1:3">
      <c r="A1337" s="403"/>
      <c r="B1337" s="403"/>
      <c r="C1337" s="403"/>
    </row>
    <row r="1338" spans="1:3">
      <c r="A1338" s="403"/>
      <c r="B1338" s="403"/>
      <c r="C1338" s="403"/>
    </row>
    <row r="1339" spans="1:3">
      <c r="A1339" s="403"/>
      <c r="B1339" s="403"/>
      <c r="C1339" s="403"/>
    </row>
    <row r="1340" spans="1:3">
      <c r="A1340" s="403"/>
      <c r="B1340" s="403"/>
      <c r="C1340" s="403"/>
    </row>
    <row r="1341" spans="1:3">
      <c r="A1341" s="403"/>
      <c r="B1341" s="403"/>
      <c r="C1341" s="403"/>
    </row>
    <row r="1342" spans="1:3">
      <c r="A1342" s="403"/>
      <c r="B1342" s="403"/>
      <c r="C1342" s="403"/>
    </row>
    <row r="1343" spans="1:3">
      <c r="A1343" s="403"/>
      <c r="B1343" s="403"/>
      <c r="C1343" s="403"/>
    </row>
    <row r="1344" spans="1:3">
      <c r="A1344" s="403"/>
      <c r="B1344" s="403"/>
      <c r="C1344" s="403"/>
    </row>
    <row r="1345" spans="1:3">
      <c r="A1345" s="403"/>
      <c r="B1345" s="403"/>
      <c r="C1345" s="403"/>
    </row>
    <row r="1346" spans="1:3">
      <c r="A1346" s="403"/>
      <c r="B1346" s="403"/>
      <c r="C1346" s="403"/>
    </row>
    <row r="1347" spans="1:3">
      <c r="A1347" s="403"/>
      <c r="B1347" s="403"/>
      <c r="C1347" s="403"/>
    </row>
    <row r="1348" spans="1:3">
      <c r="A1348" s="403"/>
      <c r="B1348" s="403"/>
      <c r="C1348" s="403"/>
    </row>
    <row r="1349" spans="1:3">
      <c r="A1349" s="403"/>
      <c r="B1349" s="403"/>
      <c r="C1349" s="403"/>
    </row>
    <row r="1350" spans="1:3">
      <c r="A1350" s="403"/>
      <c r="B1350" s="403"/>
      <c r="C1350" s="403"/>
    </row>
    <row r="1351" spans="1:3">
      <c r="A1351" s="403"/>
      <c r="B1351" s="403"/>
      <c r="C1351" s="403"/>
    </row>
    <row r="1352" spans="1:3">
      <c r="A1352" s="403"/>
      <c r="B1352" s="403"/>
      <c r="C1352" s="403"/>
    </row>
    <row r="1353" spans="1:3">
      <c r="A1353" s="403"/>
      <c r="B1353" s="403"/>
      <c r="C1353" s="403"/>
    </row>
    <row r="1354" spans="1:3">
      <c r="A1354" s="403"/>
      <c r="B1354" s="403"/>
      <c r="C1354" s="403"/>
    </row>
    <row r="1355" spans="1:3">
      <c r="A1355" s="403"/>
      <c r="B1355" s="403"/>
      <c r="C1355" s="403"/>
    </row>
    <row r="1356" spans="1:3">
      <c r="A1356" s="403"/>
      <c r="B1356" s="403"/>
      <c r="C1356" s="403"/>
    </row>
    <row r="1357" spans="1:3">
      <c r="A1357" s="403"/>
      <c r="B1357" s="403"/>
      <c r="C1357" s="403"/>
    </row>
    <row r="1358" spans="1:3">
      <c r="A1358" s="403"/>
      <c r="B1358" s="403"/>
      <c r="C1358" s="403"/>
    </row>
    <row r="1359" spans="1:3">
      <c r="A1359" s="403"/>
      <c r="B1359" s="403"/>
      <c r="C1359" s="403"/>
    </row>
    <row r="1360" spans="1:3">
      <c r="A1360" s="403"/>
      <c r="B1360" s="403"/>
      <c r="C1360" s="403"/>
    </row>
    <row r="1361" spans="1:3">
      <c r="A1361" s="403"/>
      <c r="B1361" s="403"/>
      <c r="C1361" s="403"/>
    </row>
    <row r="1362" spans="1:3">
      <c r="A1362" s="403"/>
      <c r="B1362" s="403"/>
      <c r="C1362" s="403"/>
    </row>
    <row r="1363" spans="1:3">
      <c r="A1363" s="403"/>
      <c r="B1363" s="403"/>
      <c r="C1363" s="403"/>
    </row>
    <row r="1364" spans="1:3">
      <c r="A1364" s="403"/>
      <c r="B1364" s="403"/>
      <c r="C1364" s="403"/>
    </row>
    <row r="1365" spans="1:3">
      <c r="A1365" s="403"/>
      <c r="B1365" s="403"/>
      <c r="C1365" s="403"/>
    </row>
    <row r="1366" spans="1:3">
      <c r="A1366" s="403"/>
      <c r="B1366" s="403"/>
      <c r="C1366" s="403"/>
    </row>
    <row r="1367" spans="1:3">
      <c r="A1367" s="403"/>
      <c r="B1367" s="403"/>
      <c r="C1367" s="403"/>
    </row>
    <row r="1368" spans="1:3">
      <c r="A1368" s="403"/>
      <c r="B1368" s="403"/>
      <c r="C1368" s="403"/>
    </row>
    <row r="1369" spans="1:3">
      <c r="A1369" s="403"/>
      <c r="B1369" s="403"/>
      <c r="C1369" s="403"/>
    </row>
    <row r="1370" spans="1:3">
      <c r="A1370" s="403"/>
      <c r="B1370" s="403"/>
      <c r="C1370" s="403"/>
    </row>
    <row r="1371" spans="1:3">
      <c r="A1371" s="403"/>
      <c r="B1371" s="403"/>
      <c r="C1371" s="403"/>
    </row>
    <row r="1372" spans="1:3">
      <c r="A1372" s="403"/>
      <c r="B1372" s="403"/>
      <c r="C1372" s="403"/>
    </row>
    <row r="1373" spans="1:3">
      <c r="A1373" s="403"/>
      <c r="B1373" s="403"/>
      <c r="C1373" s="403"/>
    </row>
    <row r="1374" spans="1:3">
      <c r="A1374" s="403"/>
      <c r="B1374" s="403"/>
      <c r="C1374" s="403"/>
    </row>
    <row r="1375" spans="1:3">
      <c r="A1375" s="403"/>
      <c r="B1375" s="403"/>
      <c r="C1375" s="403"/>
    </row>
    <row r="1376" spans="1:3">
      <c r="A1376" s="403"/>
      <c r="B1376" s="403"/>
      <c r="C1376" s="403"/>
    </row>
    <row r="1377" spans="1:3">
      <c r="A1377" s="403"/>
      <c r="B1377" s="403"/>
      <c r="C1377" s="403"/>
    </row>
    <row r="1378" spans="1:3">
      <c r="A1378" s="403"/>
      <c r="B1378" s="403"/>
      <c r="C1378" s="403"/>
    </row>
    <row r="1379" spans="1:3">
      <c r="A1379" s="403"/>
      <c r="B1379" s="403"/>
      <c r="C1379" s="403"/>
    </row>
    <row r="1380" spans="1:3">
      <c r="A1380" s="403"/>
      <c r="B1380" s="403"/>
      <c r="C1380" s="403"/>
    </row>
    <row r="1381" spans="1:3">
      <c r="A1381" s="403"/>
      <c r="B1381" s="403"/>
      <c r="C1381" s="403"/>
    </row>
    <row r="1382" spans="1:3">
      <c r="A1382" s="403"/>
      <c r="B1382" s="403"/>
      <c r="C1382" s="403"/>
    </row>
    <row r="1383" spans="1:3">
      <c r="A1383" s="403"/>
      <c r="B1383" s="403"/>
      <c r="C1383" s="403"/>
    </row>
    <row r="1384" spans="1:3">
      <c r="A1384" s="403"/>
      <c r="B1384" s="403"/>
      <c r="C1384" s="403"/>
    </row>
    <row r="1385" spans="1:3">
      <c r="A1385" s="403"/>
      <c r="B1385" s="403"/>
      <c r="C1385" s="403"/>
    </row>
    <row r="1386" spans="1:3">
      <c r="A1386" s="403"/>
      <c r="B1386" s="403"/>
      <c r="C1386" s="403"/>
    </row>
    <row r="1387" spans="1:3">
      <c r="A1387" s="403"/>
      <c r="B1387" s="403"/>
      <c r="C1387" s="403"/>
    </row>
    <row r="1388" spans="1:3">
      <c r="A1388" s="403"/>
      <c r="B1388" s="403"/>
      <c r="C1388" s="403"/>
    </row>
    <row r="1389" spans="1:3">
      <c r="A1389" s="403"/>
      <c r="B1389" s="403"/>
      <c r="C1389" s="403"/>
    </row>
    <row r="1390" spans="1:3">
      <c r="A1390" s="403"/>
      <c r="B1390" s="403"/>
      <c r="C1390" s="403"/>
    </row>
    <row r="1391" spans="1:3">
      <c r="A1391" s="403"/>
      <c r="B1391" s="403"/>
      <c r="C1391" s="403"/>
    </row>
    <row r="1392" spans="1:3">
      <c r="A1392" s="403"/>
      <c r="B1392" s="403"/>
      <c r="C1392" s="403"/>
    </row>
    <row r="1393" spans="1:3"/>
    <row r="1394" spans="1:3"/>
    <row r="1395" spans="1:3">
      <c r="A1395" s="403"/>
      <c r="B1395" s="403"/>
      <c r="C1395" s="403"/>
    </row>
    <row r="1396" spans="1:3">
      <c r="A1396" s="403"/>
      <c r="B1396" s="403"/>
      <c r="C1396" s="403"/>
    </row>
    <row r="1397" spans="1:3">
      <c r="A1397" s="403"/>
      <c r="B1397" s="403"/>
      <c r="C1397" s="403"/>
    </row>
    <row r="1398" spans="1:3">
      <c r="A1398" s="403"/>
      <c r="B1398" s="403"/>
      <c r="C1398" s="403"/>
    </row>
    <row r="1399" spans="1:3">
      <c r="A1399" s="403"/>
      <c r="B1399" s="403"/>
      <c r="C1399" s="403"/>
    </row>
    <row r="1400" spans="1:3">
      <c r="A1400" s="403"/>
      <c r="B1400" s="403"/>
      <c r="C1400" s="403"/>
    </row>
    <row r="1401" spans="1:3">
      <c r="A1401" s="403"/>
      <c r="B1401" s="403"/>
      <c r="C1401" s="403"/>
    </row>
    <row r="1402" spans="1:3">
      <c r="A1402" s="403"/>
      <c r="B1402" s="403"/>
      <c r="C1402" s="403"/>
    </row>
    <row r="1403" spans="1:3">
      <c r="A1403" s="403"/>
      <c r="B1403" s="403"/>
      <c r="C1403" s="403"/>
    </row>
    <row r="1404" spans="1:3">
      <c r="A1404" s="403"/>
      <c r="B1404" s="403"/>
      <c r="C1404" s="403"/>
    </row>
    <row r="1405" spans="1:3">
      <c r="A1405" s="403"/>
      <c r="B1405" s="403"/>
      <c r="C1405" s="403"/>
    </row>
    <row r="1406" spans="1:3">
      <c r="A1406" s="403"/>
      <c r="B1406" s="403"/>
      <c r="C1406" s="403"/>
    </row>
    <row r="1407" spans="1:3">
      <c r="A1407" s="403"/>
      <c r="B1407" s="403"/>
      <c r="C1407" s="403"/>
    </row>
    <row r="1408" spans="1:3">
      <c r="A1408" s="403"/>
      <c r="B1408" s="403"/>
      <c r="C1408" s="403"/>
    </row>
    <row r="1409" spans="1:3">
      <c r="A1409" s="403"/>
      <c r="B1409" s="403"/>
      <c r="C1409" s="403"/>
    </row>
    <row r="1410" spans="1:3">
      <c r="A1410" s="403"/>
      <c r="B1410" s="403"/>
      <c r="C1410" s="403"/>
    </row>
    <row r="1411" spans="1:3">
      <c r="A1411" s="403"/>
      <c r="B1411" s="403"/>
      <c r="C1411" s="403"/>
    </row>
    <row r="1412" spans="1:3">
      <c r="A1412" s="403"/>
      <c r="B1412" s="403"/>
      <c r="C1412" s="403"/>
    </row>
    <row r="1413" spans="1:3">
      <c r="A1413" s="403"/>
      <c r="B1413" s="403"/>
      <c r="C1413" s="403"/>
    </row>
    <row r="1414" spans="1:3">
      <c r="A1414" s="403"/>
      <c r="B1414" s="403"/>
      <c r="C1414" s="403"/>
    </row>
    <row r="1415" spans="1:3">
      <c r="A1415" s="403"/>
      <c r="B1415" s="403"/>
      <c r="C1415" s="403"/>
    </row>
    <row r="1416" spans="1:3">
      <c r="A1416" s="403"/>
      <c r="B1416" s="403"/>
      <c r="C1416" s="403"/>
    </row>
    <row r="1417" spans="1:3">
      <c r="A1417" s="403"/>
      <c r="B1417" s="403"/>
      <c r="C1417" s="403"/>
    </row>
    <row r="1418" spans="1:3">
      <c r="A1418" s="403"/>
      <c r="B1418" s="403"/>
      <c r="C1418" s="403"/>
    </row>
    <row r="1419" spans="1:3">
      <c r="A1419" s="403"/>
      <c r="B1419" s="403"/>
      <c r="C1419" s="403"/>
    </row>
    <row r="1420" spans="1:3">
      <c r="A1420" s="403"/>
      <c r="B1420" s="403"/>
      <c r="C1420" s="403"/>
    </row>
    <row r="1421" spans="1:3">
      <c r="A1421" s="403"/>
      <c r="B1421" s="403"/>
      <c r="C1421" s="403"/>
    </row>
    <row r="1422" spans="1:3">
      <c r="A1422" s="403"/>
      <c r="B1422" s="403"/>
      <c r="C1422" s="403"/>
    </row>
    <row r="1423" spans="1:3">
      <c r="A1423" s="403"/>
      <c r="B1423" s="403"/>
      <c r="C1423" s="403"/>
    </row>
    <row r="1424" spans="1:3">
      <c r="A1424" s="403"/>
      <c r="B1424" s="403"/>
      <c r="C1424" s="403"/>
    </row>
    <row r="1425" spans="1:3">
      <c r="A1425" s="403"/>
      <c r="B1425" s="403"/>
      <c r="C1425" s="403"/>
    </row>
    <row r="1426" spans="1:3">
      <c r="A1426" s="403"/>
      <c r="B1426" s="403"/>
      <c r="C1426" s="403"/>
    </row>
    <row r="1427" spans="1:3">
      <c r="A1427" s="403"/>
      <c r="B1427" s="403"/>
      <c r="C1427" s="403"/>
    </row>
    <row r="1428" spans="1:3">
      <c r="A1428" s="403"/>
      <c r="B1428" s="403"/>
      <c r="C1428" s="403"/>
    </row>
    <row r="1429" spans="1:3">
      <c r="A1429" s="403"/>
      <c r="B1429" s="403"/>
      <c r="C1429" s="403"/>
    </row>
    <row r="1430" spans="1:3">
      <c r="A1430" s="403"/>
      <c r="B1430" s="403"/>
      <c r="C1430" s="403"/>
    </row>
    <row r="1431" spans="1:3">
      <c r="A1431" s="403"/>
      <c r="B1431" s="403"/>
      <c r="C1431" s="403"/>
    </row>
    <row r="1432" spans="1:3">
      <c r="A1432" s="403"/>
      <c r="B1432" s="403"/>
      <c r="C1432" s="403"/>
    </row>
    <row r="1433" spans="1:3">
      <c r="A1433" s="403"/>
      <c r="B1433" s="403"/>
      <c r="C1433" s="403"/>
    </row>
    <row r="1434" spans="1:3">
      <c r="A1434" s="403"/>
      <c r="B1434" s="403"/>
      <c r="C1434" s="403"/>
    </row>
    <row r="1435" spans="1:3">
      <c r="A1435" s="403"/>
      <c r="B1435" s="403"/>
      <c r="C1435" s="403"/>
    </row>
    <row r="1436" spans="1:3">
      <c r="A1436" s="403"/>
      <c r="B1436" s="403"/>
      <c r="C1436" s="403"/>
    </row>
    <row r="1437" spans="1:3">
      <c r="A1437" s="403"/>
      <c r="B1437" s="403"/>
      <c r="C1437" s="403"/>
    </row>
    <row r="1438" spans="1:3">
      <c r="A1438" s="403"/>
      <c r="B1438" s="403"/>
      <c r="C1438" s="403"/>
    </row>
    <row r="1439" spans="1:3">
      <c r="A1439" s="403"/>
      <c r="B1439" s="403"/>
      <c r="C1439" s="403"/>
    </row>
    <row r="1440" spans="1:3">
      <c r="A1440" s="403"/>
      <c r="B1440" s="403"/>
      <c r="C1440" s="403"/>
    </row>
    <row r="1441" spans="1:3">
      <c r="A1441" s="403"/>
      <c r="B1441" s="403"/>
      <c r="C1441" s="403"/>
    </row>
    <row r="1442" spans="1:3">
      <c r="A1442" s="403"/>
      <c r="B1442" s="403"/>
      <c r="C1442" s="403"/>
    </row>
    <row r="1443" spans="1:3">
      <c r="A1443" s="403"/>
      <c r="B1443" s="403"/>
      <c r="C1443" s="403"/>
    </row>
    <row r="1444" spans="1:3">
      <c r="A1444" s="403"/>
      <c r="B1444" s="403"/>
      <c r="C1444" s="403"/>
    </row>
    <row r="1445" spans="1:3">
      <c r="A1445" s="403"/>
      <c r="B1445" s="403"/>
      <c r="C1445" s="403"/>
    </row>
    <row r="1446" spans="1:3">
      <c r="A1446" s="403"/>
      <c r="B1446" s="403"/>
      <c r="C1446" s="403"/>
    </row>
    <row r="1447" spans="1:3">
      <c r="A1447" s="403"/>
      <c r="B1447" s="403"/>
      <c r="C1447" s="403"/>
    </row>
    <row r="1448" spans="1:3">
      <c r="A1448" s="403"/>
      <c r="B1448" s="403"/>
      <c r="C1448" s="403"/>
    </row>
    <row r="1449" spans="1:3">
      <c r="A1449" s="403"/>
      <c r="B1449" s="403"/>
      <c r="C1449" s="403"/>
    </row>
    <row r="1450" spans="1:3">
      <c r="A1450" s="403"/>
      <c r="B1450" s="403"/>
      <c r="C1450" s="403"/>
    </row>
    <row r="1451" spans="1:3">
      <c r="A1451" s="403"/>
      <c r="B1451" s="403"/>
      <c r="C1451" s="403"/>
    </row>
    <row r="1452" spans="1:3">
      <c r="A1452" s="403"/>
      <c r="B1452" s="403"/>
      <c r="C1452" s="403"/>
    </row>
    <row r="1453" spans="1:3">
      <c r="A1453" s="403"/>
      <c r="B1453" s="403"/>
      <c r="C1453" s="403"/>
    </row>
    <row r="1454" spans="1:3">
      <c r="A1454" s="403"/>
      <c r="B1454" s="403"/>
      <c r="C1454" s="403"/>
    </row>
    <row r="1455" spans="1:3">
      <c r="A1455" s="403"/>
      <c r="B1455" s="403"/>
      <c r="C1455" s="403"/>
    </row>
    <row r="1456" spans="1:3">
      <c r="A1456" s="403"/>
      <c r="B1456" s="403"/>
      <c r="C1456" s="403"/>
    </row>
    <row r="1457" spans="1:3">
      <c r="A1457" s="403"/>
      <c r="B1457" s="403"/>
      <c r="C1457" s="403"/>
    </row>
    <row r="1458" spans="1:3">
      <c r="A1458" s="403"/>
      <c r="B1458" s="403"/>
      <c r="C1458" s="403"/>
    </row>
    <row r="1459" spans="1:3">
      <c r="A1459" s="403"/>
      <c r="B1459" s="403"/>
      <c r="C1459" s="403"/>
    </row>
    <row r="1460" spans="1:3">
      <c r="A1460" s="403"/>
      <c r="B1460" s="403"/>
      <c r="C1460" s="403"/>
    </row>
    <row r="1461" spans="1:3">
      <c r="A1461" s="403"/>
      <c r="B1461" s="403"/>
      <c r="C1461" s="403"/>
    </row>
    <row r="1462" spans="1:3">
      <c r="A1462" s="403"/>
      <c r="B1462" s="403"/>
      <c r="C1462" s="403"/>
    </row>
    <row r="1463" spans="1:3">
      <c r="A1463" s="403"/>
      <c r="B1463" s="403"/>
      <c r="C1463" s="403"/>
    </row>
    <row r="1464" spans="1:3">
      <c r="A1464" s="403"/>
      <c r="B1464" s="403"/>
      <c r="C1464" s="403"/>
    </row>
    <row r="1465" spans="1:3">
      <c r="A1465" s="403"/>
      <c r="B1465" s="403"/>
      <c r="C1465" s="403"/>
    </row>
    <row r="1466" spans="1:3">
      <c r="A1466" s="403"/>
      <c r="B1466" s="403"/>
      <c r="C1466" s="403"/>
    </row>
    <row r="1467" spans="1:3">
      <c r="A1467" s="403"/>
      <c r="B1467" s="403"/>
      <c r="C1467" s="403"/>
    </row>
    <row r="1468" spans="1:3">
      <c r="A1468" s="403"/>
      <c r="B1468" s="403"/>
      <c r="C1468" s="403"/>
    </row>
    <row r="1469" spans="1:3">
      <c r="A1469" s="403"/>
      <c r="B1469" s="403"/>
      <c r="C1469" s="403"/>
    </row>
    <row r="1470" spans="1:3">
      <c r="A1470" s="403"/>
      <c r="B1470" s="403"/>
      <c r="C1470" s="403"/>
    </row>
    <row r="1471" spans="1:3">
      <c r="A1471" s="403"/>
      <c r="B1471" s="403"/>
      <c r="C1471" s="403"/>
    </row>
    <row r="1472" spans="1:3">
      <c r="A1472" s="403"/>
      <c r="B1472" s="403"/>
      <c r="C1472" s="403"/>
    </row>
    <row r="1473" spans="1:3">
      <c r="A1473" s="403"/>
      <c r="B1473" s="403"/>
      <c r="C1473" s="403"/>
    </row>
    <row r="1474" spans="1:3">
      <c r="A1474" s="403"/>
      <c r="B1474" s="403"/>
      <c r="C1474" s="403"/>
    </row>
    <row r="1475" spans="1:3">
      <c r="A1475" s="403"/>
      <c r="B1475" s="403"/>
      <c r="C1475" s="403"/>
    </row>
    <row r="1476" spans="1:3">
      <c r="A1476" s="403"/>
      <c r="B1476" s="403"/>
      <c r="C1476" s="403"/>
    </row>
    <row r="1477" spans="1:3">
      <c r="A1477" s="403"/>
      <c r="B1477" s="403"/>
      <c r="C1477" s="403"/>
    </row>
    <row r="1478" spans="1:3">
      <c r="A1478" s="403"/>
      <c r="B1478" s="403"/>
      <c r="C1478" s="403"/>
    </row>
    <row r="1479" spans="1:3">
      <c r="A1479" s="403"/>
      <c r="B1479" s="403"/>
      <c r="C1479" s="403"/>
    </row>
    <row r="1480" spans="1:3">
      <c r="A1480" s="403"/>
      <c r="B1480" s="403"/>
      <c r="C1480" s="403"/>
    </row>
    <row r="1481" spans="1:3">
      <c r="A1481" s="403"/>
      <c r="B1481" s="403"/>
      <c r="C1481" s="403"/>
    </row>
    <row r="1482" spans="1:3">
      <c r="A1482" s="403"/>
      <c r="B1482" s="403"/>
      <c r="C1482" s="403"/>
    </row>
    <row r="1483" spans="1:3">
      <c r="A1483" s="403"/>
      <c r="B1483" s="403"/>
      <c r="C1483" s="403"/>
    </row>
    <row r="1484" spans="1:3">
      <c r="A1484" s="403"/>
      <c r="B1484" s="403"/>
      <c r="C1484" s="403"/>
    </row>
    <row r="1485" spans="1:3">
      <c r="A1485" s="403"/>
      <c r="B1485" s="403"/>
      <c r="C1485" s="403"/>
    </row>
    <row r="1486" spans="1:3">
      <c r="A1486" s="403"/>
      <c r="B1486" s="403"/>
      <c r="C1486" s="403"/>
    </row>
    <row r="1487" spans="1:3">
      <c r="A1487" s="403"/>
      <c r="B1487" s="403"/>
      <c r="C1487" s="403"/>
    </row>
    <row r="1488" spans="1:3">
      <c r="A1488" s="403"/>
      <c r="B1488" s="403"/>
      <c r="C1488" s="403"/>
    </row>
    <row r="1489" spans="1:3">
      <c r="A1489" s="403"/>
      <c r="B1489" s="403"/>
      <c r="C1489" s="403"/>
    </row>
    <row r="1490" spans="1:3">
      <c r="A1490" s="403"/>
      <c r="B1490" s="403"/>
      <c r="C1490" s="403"/>
    </row>
    <row r="1491" spans="1:3">
      <c r="A1491" s="403"/>
      <c r="B1491" s="403"/>
      <c r="C1491" s="403"/>
    </row>
    <row r="1492" spans="1:3">
      <c r="A1492" s="403"/>
      <c r="B1492" s="403"/>
      <c r="C1492" s="403"/>
    </row>
    <row r="1493" spans="1:3">
      <c r="A1493" s="403"/>
      <c r="B1493" s="403"/>
      <c r="C1493" s="403"/>
    </row>
    <row r="1494" spans="1:3">
      <c r="A1494" s="403"/>
      <c r="B1494" s="403"/>
      <c r="C1494" s="403"/>
    </row>
    <row r="1495" spans="1:3">
      <c r="A1495" s="403"/>
      <c r="B1495" s="403"/>
      <c r="C1495" s="403"/>
    </row>
    <row r="1496" spans="1:3">
      <c r="A1496" s="403"/>
      <c r="B1496" s="403"/>
      <c r="C1496" s="403"/>
    </row>
    <row r="1497" spans="1:3">
      <c r="A1497" s="403"/>
      <c r="B1497" s="403"/>
      <c r="C1497" s="403"/>
    </row>
    <row r="1498" spans="1:3">
      <c r="A1498" s="403"/>
      <c r="B1498" s="403"/>
      <c r="C1498" s="403"/>
    </row>
    <row r="1499" spans="1:3">
      <c r="A1499" s="403"/>
      <c r="B1499" s="403"/>
      <c r="C1499" s="403"/>
    </row>
    <row r="1500" spans="1:3">
      <c r="A1500" s="403"/>
      <c r="B1500" s="403"/>
      <c r="C1500" s="403"/>
    </row>
    <row r="1501" spans="1:3">
      <c r="A1501" s="403"/>
      <c r="B1501" s="403"/>
      <c r="C1501" s="403"/>
    </row>
    <row r="1502" spans="1:3">
      <c r="A1502" s="403"/>
      <c r="B1502" s="403"/>
      <c r="C1502" s="403"/>
    </row>
    <row r="1503" spans="1:3">
      <c r="A1503" s="403"/>
      <c r="B1503" s="403"/>
      <c r="C1503" s="403"/>
    </row>
    <row r="1504" spans="1:3">
      <c r="A1504" s="403"/>
      <c r="B1504" s="403"/>
      <c r="C1504" s="403"/>
    </row>
    <row r="1505" spans="1:3">
      <c r="A1505" s="403"/>
      <c r="B1505" s="403"/>
      <c r="C1505" s="403"/>
    </row>
    <row r="1506" spans="1:3">
      <c r="A1506" s="403"/>
      <c r="B1506" s="403"/>
      <c r="C1506" s="403"/>
    </row>
    <row r="1507" spans="1:3">
      <c r="A1507" s="403"/>
      <c r="B1507" s="403"/>
      <c r="C1507" s="403"/>
    </row>
    <row r="1508" spans="1:3">
      <c r="A1508" s="403"/>
      <c r="B1508" s="403"/>
      <c r="C1508" s="403"/>
    </row>
    <row r="1509" spans="1:3">
      <c r="A1509" s="403"/>
      <c r="B1509" s="403"/>
      <c r="C1509" s="403"/>
    </row>
    <row r="1510" spans="1:3">
      <c r="A1510" s="403"/>
      <c r="B1510" s="403"/>
      <c r="C1510" s="403"/>
    </row>
    <row r="1511" spans="1:3">
      <c r="A1511" s="403"/>
      <c r="B1511" s="403"/>
      <c r="C1511" s="403"/>
    </row>
    <row r="1512" spans="1:3">
      <c r="A1512" s="403"/>
      <c r="B1512" s="403"/>
      <c r="C1512" s="403"/>
    </row>
    <row r="1513" spans="1:3">
      <c r="A1513" s="403"/>
      <c r="B1513" s="403"/>
      <c r="C1513" s="403"/>
    </row>
    <row r="1514" spans="1:3">
      <c r="A1514" s="403"/>
      <c r="B1514" s="403"/>
      <c r="C1514" s="403"/>
    </row>
    <row r="1515" spans="1:3">
      <c r="A1515" s="403"/>
      <c r="B1515" s="403"/>
      <c r="C1515" s="403"/>
    </row>
    <row r="1516" spans="1:3">
      <c r="A1516" s="403"/>
      <c r="B1516" s="403"/>
      <c r="C1516" s="403"/>
    </row>
    <row r="1517" spans="1:3">
      <c r="A1517" s="403"/>
      <c r="B1517" s="403"/>
      <c r="C1517" s="403"/>
    </row>
    <row r="1518" spans="1:3">
      <c r="A1518" s="403"/>
      <c r="B1518" s="403"/>
      <c r="C1518" s="403"/>
    </row>
    <row r="1519" spans="1:3">
      <c r="A1519" s="403"/>
      <c r="B1519" s="403"/>
      <c r="C1519" s="403"/>
    </row>
    <row r="1520" spans="1:3">
      <c r="A1520" s="403"/>
      <c r="B1520" s="403"/>
      <c r="C1520" s="403"/>
    </row>
    <row r="1521" spans="1:3">
      <c r="A1521" s="403"/>
      <c r="B1521" s="403"/>
      <c r="C1521" s="403"/>
    </row>
    <row r="1522" spans="1:3">
      <c r="A1522" s="403"/>
      <c r="B1522" s="403"/>
      <c r="C1522" s="403"/>
    </row>
    <row r="1523" spans="1:3">
      <c r="A1523" s="403"/>
      <c r="B1523" s="403"/>
      <c r="C1523" s="403"/>
    </row>
    <row r="1524" spans="1:3">
      <c r="A1524" s="403"/>
      <c r="B1524" s="403"/>
      <c r="C1524" s="403"/>
    </row>
    <row r="1525" spans="1:3">
      <c r="A1525" s="403"/>
      <c r="B1525" s="403"/>
      <c r="C1525" s="403"/>
    </row>
    <row r="1526" spans="1:3">
      <c r="A1526" s="403"/>
      <c r="B1526" s="403"/>
      <c r="C1526" s="403"/>
    </row>
    <row r="1527" spans="1:3">
      <c r="A1527" s="403"/>
      <c r="B1527" s="403"/>
      <c r="C1527" s="403"/>
    </row>
    <row r="1528" spans="1:3">
      <c r="A1528" s="403"/>
      <c r="B1528" s="403"/>
      <c r="C1528" s="403"/>
    </row>
    <row r="1529" spans="1:3">
      <c r="A1529" s="403"/>
      <c r="B1529" s="403"/>
      <c r="C1529" s="403"/>
    </row>
    <row r="1530" spans="1:3">
      <c r="A1530" s="403"/>
      <c r="B1530" s="403"/>
      <c r="C1530" s="403"/>
    </row>
    <row r="1531" spans="1:3">
      <c r="A1531" s="403"/>
      <c r="B1531" s="403"/>
      <c r="C1531" s="403"/>
    </row>
    <row r="1532" spans="1:3">
      <c r="A1532" s="403"/>
      <c r="B1532" s="403"/>
      <c r="C1532" s="403"/>
    </row>
    <row r="1533" spans="1:3">
      <c r="A1533" s="403"/>
      <c r="B1533" s="403"/>
      <c r="C1533" s="403"/>
    </row>
    <row r="1534" spans="1:3">
      <c r="A1534" s="403"/>
      <c r="B1534" s="403"/>
      <c r="C1534" s="403"/>
    </row>
    <row r="1535" spans="1:3">
      <c r="A1535" s="403"/>
      <c r="B1535" s="403"/>
      <c r="C1535" s="403"/>
    </row>
    <row r="1536" spans="1:3">
      <c r="A1536" s="403"/>
      <c r="B1536" s="403"/>
      <c r="C1536" s="403"/>
    </row>
    <row r="1537" spans="1:9">
      <c r="A1537" s="403"/>
      <c r="B1537" s="403"/>
      <c r="C1537" s="403"/>
    </row>
    <row r="1538" spans="1:9"/>
    <row r="1539" spans="1:9"/>
    <row r="1540" spans="1:9"/>
    <row r="1541" spans="1:9">
      <c r="G1541" s="1293"/>
      <c r="H1541" s="1293"/>
      <c r="I1541" s="1293"/>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D2017"/>
  <sheetViews>
    <sheetView showGridLines="0" topLeftCell="G697" zoomScale="130" zoomScaleNormal="130" workbookViewId="0">
      <selection activeCell="RTL697" sqref="RTL1:XFD1048576"/>
    </sheetView>
  </sheetViews>
  <sheetFormatPr defaultColWidth="3.5703125" defaultRowHeight="0" customHeight="1" zeroHeight="1"/>
  <cols>
    <col min="1" max="46" width="2.5703125" customWidth="1"/>
    <col min="47" max="47" width="2.5703125" hidden="1" customWidth="1"/>
    <col min="48" max="50" width="3.5703125" hidden="1" customWidth="1"/>
    <col min="51" max="51" width="4.5703125" hidden="1" customWidth="1"/>
    <col min="52" max="52" width="8.42578125" hidden="1" customWidth="1"/>
    <col min="53" max="53" width="7.42578125" hidden="1" customWidth="1"/>
    <col min="54" max="55" width="3.5703125" hidden="1" customWidth="1"/>
    <col min="56" max="57" width="8.42578125" hidden="1" customWidth="1"/>
    <col min="58" max="58" width="8.140625" hidden="1" customWidth="1"/>
    <col min="59" max="59" width="11.140625" hidden="1" customWidth="1"/>
    <col min="60" max="60" width="3.5703125" hidden="1" customWidth="1"/>
    <col min="61" max="61" width="8.42578125" hidden="1" customWidth="1"/>
    <col min="62" max="16384" width="0" hidden="1" customWidth="1"/>
  </cols>
  <sheetData>
    <row r="1" spans="1:58" ht="12.95" customHeight="1">
      <c r="J1" s="100"/>
      <c r="AS1" s="1032">
        <v>4</v>
      </c>
      <c r="BD1" s="3" t="s">
        <v>2500</v>
      </c>
      <c r="BE1" s="3"/>
      <c r="BF1" s="3"/>
    </row>
    <row r="2" spans="1:58" ht="12.95" customHeight="1">
      <c r="BD2" s="3" t="s">
        <v>2501</v>
      </c>
      <c r="BE2" s="3" t="s">
        <v>2502</v>
      </c>
      <c r="BF2" s="3" t="s">
        <v>2503</v>
      </c>
    </row>
    <row r="3" spans="1:58" ht="12.95" customHeight="1">
      <c r="BD3" s="3" t="s">
        <v>2598</v>
      </c>
      <c r="BE3" t="str">
        <f>AC220</f>
        <v>Bay Area ((Alameda, Contra Costa, Marin, San Francisco, San Mateo, Santa Clara, and Santa Cruz Counties)</v>
      </c>
    </row>
    <row r="4" spans="1:58" ht="12.95" customHeight="1">
      <c r="BD4" s="3" t="s">
        <v>2510</v>
      </c>
      <c r="BE4" s="1250"/>
    </row>
    <row r="5" spans="1:58" ht="12.95" customHeight="1">
      <c r="BD5" s="3" t="s">
        <v>2511</v>
      </c>
      <c r="BE5">
        <f>SUMIF($AC$718:$AC$752,"&lt;=20%",$G$718:G$752)</f>
        <v>0</v>
      </c>
      <c r="BF5" s="3" t="s">
        <v>2516</v>
      </c>
    </row>
    <row r="6" spans="1:58" ht="12.95" customHeight="1">
      <c r="BD6" s="3" t="s">
        <v>2512</v>
      </c>
      <c r="BE6" s="1253">
        <f>SUMIF($AC$718:$AC$752,"&lt;=25%",$G$718:G$752)-SUM($BE$5:BE5)</f>
        <v>3</v>
      </c>
    </row>
    <row r="7" spans="1:58" ht="12.95" customHeight="1">
      <c r="BD7" s="1251" t="s">
        <v>2504</v>
      </c>
      <c r="BE7" s="1253">
        <f>SUMIF($AC$718:$AC$752,"&lt;=30%",$G$718:G$752)-SUM($BE$5:BE6)</f>
        <v>23</v>
      </c>
    </row>
    <row r="8" spans="1:58" ht="26.25" customHeight="1">
      <c r="A8" s="1843" t="s">
        <v>100</v>
      </c>
      <c r="B8" s="1843"/>
      <c r="C8" s="1843"/>
      <c r="D8" s="1843"/>
      <c r="E8" s="1843"/>
      <c r="F8" s="1843"/>
      <c r="G8" s="1843"/>
      <c r="H8" s="1843"/>
      <c r="I8" s="1843"/>
      <c r="J8" s="1843"/>
      <c r="K8" s="1843"/>
      <c r="L8" s="1843"/>
      <c r="M8" s="1843"/>
      <c r="N8" s="1843"/>
      <c r="O8" s="1843"/>
      <c r="P8" s="1843"/>
      <c r="Q8" s="1843"/>
      <c r="R8" s="1843"/>
      <c r="S8" s="1843"/>
      <c r="T8" s="1843"/>
      <c r="U8" s="1843"/>
      <c r="V8" s="1843"/>
      <c r="W8" s="1843"/>
      <c r="X8" s="1843"/>
      <c r="Y8" s="1843"/>
      <c r="Z8" s="1843"/>
      <c r="AA8" s="1843"/>
      <c r="AB8" s="1843"/>
      <c r="AC8" s="1843"/>
      <c r="AD8" s="1843"/>
      <c r="AE8" s="1843"/>
      <c r="AF8" s="1843"/>
      <c r="AG8" s="1843"/>
      <c r="AH8" s="1843"/>
      <c r="AI8" s="1843"/>
      <c r="AJ8" s="1843"/>
      <c r="AK8" s="1843"/>
      <c r="AL8" s="1843"/>
      <c r="AM8" s="1843"/>
      <c r="AN8" s="1843"/>
      <c r="AO8" s="1843"/>
      <c r="AP8" s="1843"/>
      <c r="AQ8" s="1843"/>
      <c r="AR8" s="1843"/>
      <c r="AS8" s="1843"/>
      <c r="AT8" s="1843"/>
      <c r="AU8" s="899"/>
      <c r="AV8" s="899"/>
      <c r="AW8" s="899"/>
      <c r="AX8" s="899"/>
      <c r="AY8" s="899"/>
      <c r="BD8" s="3" t="s">
        <v>2513</v>
      </c>
      <c r="BE8" s="1253">
        <f>SUMIF($AC$718:$AC$752,"&lt;=35%",$G$718:G$752)-SUM($BE$5:BE7)</f>
        <v>0</v>
      </c>
    </row>
    <row r="9" spans="1:58" ht="12.95" customHeight="1">
      <c r="A9" s="1844" t="s">
        <v>2078</v>
      </c>
      <c r="B9" s="1844"/>
      <c r="C9" s="1844"/>
      <c r="D9" s="1844"/>
      <c r="E9" s="1844"/>
      <c r="F9" s="1844"/>
      <c r="G9" s="1844"/>
      <c r="H9" s="1844"/>
      <c r="I9" s="1844"/>
      <c r="J9" s="1844"/>
      <c r="K9" s="1844"/>
      <c r="L9" s="1844"/>
      <c r="M9" s="1844"/>
      <c r="N9" s="1844"/>
      <c r="O9" s="1844"/>
      <c r="P9" s="1844"/>
      <c r="Q9" s="1844"/>
      <c r="R9" s="1844"/>
      <c r="S9" s="1844"/>
      <c r="T9" s="1844"/>
      <c r="U9" s="1844"/>
      <c r="V9" s="1844"/>
      <c r="W9" s="1844"/>
      <c r="X9" s="1844"/>
      <c r="Y9" s="1844"/>
      <c r="Z9" s="1844"/>
      <c r="AA9" s="1844"/>
      <c r="AB9" s="1844"/>
      <c r="AC9" s="1844"/>
      <c r="AD9" s="1844"/>
      <c r="AE9" s="1844"/>
      <c r="AF9" s="1844"/>
      <c r="AG9" s="1844"/>
      <c r="AH9" s="1844"/>
      <c r="AI9" s="1844"/>
      <c r="AJ9" s="1844"/>
      <c r="AK9" s="1844"/>
      <c r="AL9" s="1844"/>
      <c r="AM9" s="1844"/>
      <c r="AN9" s="1844"/>
      <c r="AO9" s="1844"/>
      <c r="AP9" s="1844"/>
      <c r="AQ9" s="1844"/>
      <c r="AR9" s="1844"/>
      <c r="AS9" s="1844"/>
      <c r="AT9" s="1844"/>
      <c r="AU9" s="13"/>
      <c r="AV9" s="13"/>
      <c r="AW9" s="13"/>
      <c r="AX9" s="13"/>
      <c r="AY9" s="13"/>
      <c r="BD9" s="1252" t="s">
        <v>2505</v>
      </c>
      <c r="BE9" s="1253">
        <f>SUMIF($AC$718:$AC$752,"&lt;=40%",$G$718:G$752)-SUM($BE$5:BE8)</f>
        <v>0</v>
      </c>
    </row>
    <row r="10" spans="1:58" ht="12.95" customHeight="1">
      <c r="A10" s="1844" t="s">
        <v>2462</v>
      </c>
      <c r="B10" s="1844"/>
      <c r="C10" s="1844"/>
      <c r="D10" s="1844"/>
      <c r="E10" s="1844"/>
      <c r="F10" s="1844"/>
      <c r="G10" s="1844"/>
      <c r="H10" s="1844"/>
      <c r="I10" s="1844"/>
      <c r="J10" s="1844"/>
      <c r="K10" s="1844"/>
      <c r="L10" s="1844"/>
      <c r="M10" s="1844"/>
      <c r="N10" s="1844"/>
      <c r="O10" s="1844"/>
      <c r="P10" s="1844"/>
      <c r="Q10" s="1844"/>
      <c r="R10" s="1844"/>
      <c r="S10" s="1844"/>
      <c r="T10" s="1844"/>
      <c r="U10" s="1844"/>
      <c r="V10" s="1844"/>
      <c r="W10" s="1844"/>
      <c r="X10" s="1844"/>
      <c r="Y10" s="1844"/>
      <c r="Z10" s="1844"/>
      <c r="AA10" s="1844"/>
      <c r="AB10" s="1844"/>
      <c r="AC10" s="1844"/>
      <c r="AD10" s="1844"/>
      <c r="AE10" s="1844"/>
      <c r="AF10" s="1844"/>
      <c r="AG10" s="1844"/>
      <c r="AH10" s="1844"/>
      <c r="AI10" s="1844"/>
      <c r="AJ10" s="1844"/>
      <c r="AK10" s="1844"/>
      <c r="AL10" s="1844"/>
      <c r="AM10" s="1844"/>
      <c r="AN10" s="1844"/>
      <c r="AO10" s="1844"/>
      <c r="AP10" s="1844"/>
      <c r="AQ10" s="1844"/>
      <c r="AR10" s="1844"/>
      <c r="AS10" s="1844"/>
      <c r="AT10" s="1844"/>
      <c r="AU10" s="13"/>
      <c r="AV10" s="13"/>
      <c r="AW10" s="13"/>
      <c r="AX10" s="13"/>
      <c r="AY10" s="13"/>
      <c r="BD10" s="3" t="s">
        <v>2514</v>
      </c>
      <c r="BE10" s="1253">
        <f>SUMIF($AC$718:$AC$752,"&lt;=45%",$G$718:G$752)-SUM($BE$5:BE9)</f>
        <v>22</v>
      </c>
    </row>
    <row r="11" spans="1:58" ht="12.95" customHeight="1">
      <c r="A11" s="1844" t="s">
        <v>2608</v>
      </c>
      <c r="B11" s="1844"/>
      <c r="C11" s="1844"/>
      <c r="D11" s="1844"/>
      <c r="E11" s="1844"/>
      <c r="F11" s="1844"/>
      <c r="G11" s="1844"/>
      <c r="H11" s="1844"/>
      <c r="I11" s="1844"/>
      <c r="J11" s="1844"/>
      <c r="K11" s="1844"/>
      <c r="L11" s="1844"/>
      <c r="M11" s="1844"/>
      <c r="N11" s="1844"/>
      <c r="O11" s="1844"/>
      <c r="P11" s="1844"/>
      <c r="Q11" s="1844"/>
      <c r="R11" s="1844"/>
      <c r="S11" s="1844"/>
      <c r="T11" s="1844"/>
      <c r="U11" s="1844"/>
      <c r="V11" s="1844"/>
      <c r="W11" s="1844"/>
      <c r="X11" s="1844"/>
      <c r="Y11" s="1844"/>
      <c r="Z11" s="1844"/>
      <c r="AA11" s="1844"/>
      <c r="AB11" s="1844"/>
      <c r="AC11" s="1844"/>
      <c r="AD11" s="1844"/>
      <c r="AE11" s="1844"/>
      <c r="AF11" s="1844"/>
      <c r="AG11" s="1844"/>
      <c r="AH11" s="1844"/>
      <c r="AI11" s="1844"/>
      <c r="AJ11" s="1844"/>
      <c r="AK11" s="1844"/>
      <c r="AL11" s="1844"/>
      <c r="AM11" s="1844"/>
      <c r="AN11" s="1844"/>
      <c r="AO11" s="1844"/>
      <c r="AP11" s="1844"/>
      <c r="AQ11" s="1844"/>
      <c r="AR11" s="1844"/>
      <c r="AS11" s="1844"/>
      <c r="AT11" s="1844"/>
      <c r="AU11" s="13"/>
      <c r="AV11" s="13"/>
      <c r="AW11" s="13"/>
      <c r="AX11" s="13"/>
      <c r="AY11" s="13"/>
      <c r="BD11" s="1251" t="s">
        <v>2506</v>
      </c>
      <c r="BE11" s="1253">
        <f>SUMIF($AC$718:$AC$752,"&lt;=50%",$G$718:G$752)-SUM($BE$5:BE10)</f>
        <v>36</v>
      </c>
    </row>
    <row r="12" spans="1:58" ht="12.95" customHeight="1">
      <c r="A12" s="1845" t="s">
        <v>2609</v>
      </c>
      <c r="B12" s="1845"/>
      <c r="C12" s="1845"/>
      <c r="D12" s="1845"/>
      <c r="E12" s="1845"/>
      <c r="F12" s="1845"/>
      <c r="G12" s="1845"/>
      <c r="H12" s="1845"/>
      <c r="I12" s="1845"/>
      <c r="J12" s="1845"/>
      <c r="K12" s="1845"/>
      <c r="L12" s="1845"/>
      <c r="M12" s="1845"/>
      <c r="N12" s="1845"/>
      <c r="O12" s="1845"/>
      <c r="P12" s="1845"/>
      <c r="Q12" s="1845"/>
      <c r="R12" s="1845"/>
      <c r="S12" s="1845"/>
      <c r="T12" s="1845"/>
      <c r="U12" s="1845"/>
      <c r="V12" s="1845"/>
      <c r="W12" s="1845"/>
      <c r="X12" s="1845"/>
      <c r="Y12" s="1845"/>
      <c r="Z12" s="1845"/>
      <c r="AA12" s="1845"/>
      <c r="AB12" s="1845"/>
      <c r="AC12" s="1845"/>
      <c r="AD12" s="1845"/>
      <c r="AE12" s="1845"/>
      <c r="AF12" s="1845"/>
      <c r="AG12" s="1845"/>
      <c r="AH12" s="1845"/>
      <c r="AI12" s="1845"/>
      <c r="AJ12" s="1845"/>
      <c r="AK12" s="1845"/>
      <c r="AL12" s="1845"/>
      <c r="AM12" s="1845"/>
      <c r="AN12" s="1845"/>
      <c r="AO12" s="1845"/>
      <c r="AP12" s="1845"/>
      <c r="AQ12" s="1845"/>
      <c r="AR12" s="1845"/>
      <c r="AS12" s="1845"/>
      <c r="AT12" s="1845"/>
      <c r="AU12" s="6"/>
      <c r="AV12" s="6"/>
      <c r="AW12" s="6"/>
      <c r="AX12" s="6"/>
      <c r="AY12" s="6"/>
      <c r="BD12" s="3" t="s">
        <v>2515</v>
      </c>
      <c r="BE12" s="1253">
        <f>SUMIF($AC$718:$AC$752,"&lt;=55%",$G$718:G$752)-SUM($BE$5:BE11)</f>
        <v>0</v>
      </c>
    </row>
    <row r="13" spans="1:58" ht="12.95" customHeight="1">
      <c r="A13" s="1272" t="s">
        <v>2079</v>
      </c>
      <c r="B13" s="1272"/>
      <c r="C13" s="1272"/>
      <c r="D13" s="1272"/>
      <c r="E13" s="1272"/>
      <c r="F13" s="1272"/>
      <c r="G13" s="1272"/>
      <c r="H13" s="1272"/>
      <c r="I13" s="1272"/>
      <c r="J13" s="1272"/>
      <c r="K13" s="1272"/>
      <c r="L13" s="1272"/>
      <c r="M13" s="1272"/>
      <c r="N13" s="1272"/>
      <c r="O13" s="1272"/>
      <c r="P13" s="1272"/>
      <c r="Q13" s="1272"/>
      <c r="R13" s="1272"/>
      <c r="S13" s="1272"/>
      <c r="T13" s="1272"/>
      <c r="U13" s="1272"/>
      <c r="V13" s="1272"/>
      <c r="W13" s="1272"/>
      <c r="X13" s="1272"/>
      <c r="Y13" s="1272"/>
      <c r="Z13" s="1272"/>
      <c r="AA13" s="1272"/>
      <c r="AB13" s="1272"/>
      <c r="AC13" s="1272"/>
      <c r="AD13" s="1272"/>
      <c r="AE13" s="1272"/>
      <c r="AF13" s="1272"/>
      <c r="AG13" s="1272"/>
      <c r="AH13" s="1272"/>
      <c r="AI13" s="1272"/>
      <c r="AJ13" s="1272"/>
      <c r="AK13" s="1272"/>
      <c r="AL13" s="1272"/>
      <c r="AM13" s="1272"/>
      <c r="AN13" s="1272"/>
      <c r="AO13" s="1272"/>
      <c r="AP13" s="1272"/>
      <c r="AQ13" s="1272"/>
      <c r="AR13" s="1272"/>
      <c r="AS13" s="1272"/>
      <c r="AT13" s="1272"/>
      <c r="AU13" s="900"/>
      <c r="AV13" s="900"/>
      <c r="AW13" s="900"/>
      <c r="AX13" s="900"/>
      <c r="AY13" s="900"/>
      <c r="BD13" s="1252" t="s">
        <v>2507</v>
      </c>
      <c r="BE13" s="1253">
        <f>SUMIF($AC$718:$AC$752,"&lt;=60%",$G$718:G$752)-SUM($BE$5:BE12)</f>
        <v>0</v>
      </c>
    </row>
    <row r="14" spans="1:58" ht="12.95" customHeight="1">
      <c r="A14" s="1272"/>
      <c r="B14" s="1272"/>
      <c r="C14" s="1272"/>
      <c r="D14" s="1272"/>
      <c r="E14" s="1272"/>
      <c r="F14" s="1272"/>
      <c r="G14" s="1272"/>
      <c r="H14" s="1272"/>
      <c r="I14" s="1272"/>
      <c r="J14" s="1272"/>
      <c r="K14" s="1272"/>
      <c r="L14" s="1272"/>
      <c r="M14" s="1272"/>
      <c r="N14" s="1272"/>
      <c r="O14" s="1272"/>
      <c r="P14" s="1272"/>
      <c r="Q14" s="1272"/>
      <c r="R14" s="1272"/>
      <c r="S14" s="1272"/>
      <c r="T14" s="1272"/>
      <c r="U14" s="1272"/>
      <c r="V14" s="1272"/>
      <c r="W14" s="1272"/>
      <c r="X14" s="1272"/>
      <c r="Y14" s="1272"/>
      <c r="Z14" s="1272"/>
      <c r="AA14" s="1272"/>
      <c r="AB14" s="1272"/>
      <c r="AC14" s="1272"/>
      <c r="AD14" s="1272"/>
      <c r="AE14" s="1272"/>
      <c r="AF14" s="1272"/>
      <c r="AG14" s="1272"/>
      <c r="AH14" s="1272"/>
      <c r="AI14" s="1272"/>
      <c r="AJ14" s="1272"/>
      <c r="AK14" s="1272"/>
      <c r="AL14" s="1272"/>
      <c r="AM14" s="1272"/>
      <c r="AN14" s="1272"/>
      <c r="AO14" s="1272"/>
      <c r="AP14" s="1272"/>
      <c r="AQ14" s="1272"/>
      <c r="AR14" s="1272"/>
      <c r="AS14" s="1272"/>
      <c r="AT14" s="1272"/>
      <c r="AU14" s="900"/>
      <c r="AV14" s="900"/>
      <c r="AW14" s="900"/>
      <c r="AX14" s="900"/>
      <c r="AY14" s="900"/>
      <c r="BD14" s="1251" t="s">
        <v>2508</v>
      </c>
      <c r="BE14" s="1253">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52" t="s">
        <v>2509</v>
      </c>
      <c r="BE15" s="1253">
        <f>SUMIF($AC$718:$AC$752,"&lt;=80%",$G$718:G$752)-SUM($BE$5:BE14)</f>
        <v>0</v>
      </c>
    </row>
    <row r="16" spans="1:58" ht="12.95" customHeight="1">
      <c r="A16" s="57" t="s">
        <v>2080</v>
      </c>
      <c r="C16" s="4"/>
      <c r="D16" s="4"/>
      <c r="E16" s="4"/>
      <c r="F16" s="4"/>
      <c r="G16" s="4"/>
      <c r="H16" s="1530" t="s">
        <v>2610</v>
      </c>
      <c r="I16" s="1531"/>
      <c r="J16" s="1531"/>
      <c r="K16" s="1531"/>
      <c r="L16" s="1531"/>
      <c r="M16" s="1531"/>
      <c r="N16" s="1531"/>
      <c r="O16" s="1531"/>
      <c r="P16" s="1531"/>
      <c r="Q16" s="1531"/>
      <c r="R16" s="1531"/>
      <c r="S16" s="1531"/>
      <c r="T16" s="1531"/>
      <c r="U16" s="1531"/>
      <c r="V16" s="1531"/>
      <c r="W16" s="1531"/>
      <c r="X16" s="1531"/>
      <c r="Y16" s="1531"/>
      <c r="Z16" s="1531"/>
      <c r="AA16" s="1531"/>
      <c r="AB16" s="1531"/>
      <c r="AC16" s="1531"/>
      <c r="AD16" s="1531"/>
      <c r="AE16" s="1531"/>
      <c r="AF16" s="1531"/>
      <c r="AG16" s="1531"/>
      <c r="AH16" s="1531"/>
      <c r="AI16" s="1531"/>
      <c r="AJ16" s="1531"/>
      <c r="BD16" s="1252" t="s">
        <v>656</v>
      </c>
      <c r="BE16" s="1253" t="str">
        <f>Application!H18</f>
        <v>Fairways at San Antonio Court</v>
      </c>
    </row>
    <row r="17" spans="1:58" ht="12.95" customHeight="1">
      <c r="BD17" s="1251" t="s">
        <v>2522</v>
      </c>
      <c r="BE17" s="1253">
        <f>Application!AA934</f>
        <v>0</v>
      </c>
    </row>
    <row r="18" spans="1:58" ht="12.95" customHeight="1">
      <c r="A18" s="57" t="s">
        <v>101</v>
      </c>
      <c r="C18" s="4"/>
      <c r="D18" s="4"/>
      <c r="E18" s="4"/>
      <c r="F18" s="4"/>
      <c r="G18" s="4"/>
      <c r="H18" s="1497" t="s">
        <v>2611</v>
      </c>
      <c r="I18" s="1517"/>
      <c r="J18" s="1517"/>
      <c r="K18" s="1517"/>
      <c r="L18" s="1517"/>
      <c r="M18" s="1517"/>
      <c r="N18" s="1517"/>
      <c r="O18" s="1517"/>
      <c r="P18" s="1517"/>
      <c r="Q18" s="1517"/>
      <c r="R18" s="1517"/>
      <c r="S18" s="1517"/>
      <c r="T18" s="1517"/>
      <c r="U18" s="1517"/>
      <c r="V18" s="1517"/>
      <c r="W18" s="1517"/>
      <c r="X18" s="1517"/>
      <c r="Y18" s="1517"/>
      <c r="Z18" s="1517"/>
      <c r="AA18" s="1517"/>
      <c r="AB18" s="1517"/>
      <c r="AC18" s="1517"/>
      <c r="AD18" s="1517"/>
      <c r="AE18" s="1517"/>
      <c r="AF18" s="1517"/>
      <c r="AG18" s="1517"/>
      <c r="AH18" s="1517"/>
      <c r="AI18" s="1517"/>
      <c r="AJ18" s="1517"/>
      <c r="BD18" s="1252" t="s">
        <v>2523</v>
      </c>
      <c r="BE18" s="1253">
        <f>'CalHFA Addendum'!N11</f>
        <v>0</v>
      </c>
    </row>
    <row r="19" spans="1:58" ht="12.95" customHeight="1">
      <c r="BD19" s="1251" t="s">
        <v>2524</v>
      </c>
      <c r="BE19" s="1253">
        <f>Application!M26</f>
        <v>1289941</v>
      </c>
    </row>
    <row r="20" spans="1:58" ht="12.95" customHeight="1">
      <c r="A20" s="1846" t="s">
        <v>873</v>
      </c>
      <c r="B20" s="1846"/>
      <c r="C20" s="1846"/>
      <c r="D20" s="1846"/>
      <c r="E20" s="1846"/>
      <c r="F20" s="1846"/>
      <c r="G20" s="1846"/>
      <c r="H20" s="1846"/>
      <c r="I20" s="1846"/>
      <c r="J20" s="1846"/>
      <c r="K20" s="1846"/>
      <c r="L20" s="1846"/>
      <c r="M20" s="1846"/>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c r="AL20" s="1846"/>
      <c r="AM20" s="1846"/>
      <c r="AN20" s="1846"/>
      <c r="AO20" s="1846"/>
      <c r="AP20" s="1846"/>
      <c r="AQ20" s="1846"/>
      <c r="AR20" s="1846"/>
      <c r="AS20" s="1846"/>
      <c r="AT20" s="1846"/>
      <c r="AU20" s="901"/>
      <c r="AV20" s="901"/>
      <c r="AW20" s="901"/>
      <c r="AX20" s="901"/>
      <c r="AY20" s="901"/>
      <c r="BD20" s="1252" t="s">
        <v>2525</v>
      </c>
      <c r="BE20" s="1253">
        <f>Application!M27</f>
        <v>0</v>
      </c>
    </row>
    <row r="21" spans="1:58" ht="12.95" customHeight="1">
      <c r="A21" s="1849" t="s">
        <v>1009</v>
      </c>
      <c r="B21" s="1849"/>
      <c r="C21" s="1849"/>
      <c r="D21" s="1849"/>
      <c r="E21" s="1849"/>
      <c r="F21" s="1849"/>
      <c r="G21" s="1849"/>
      <c r="H21" s="1849"/>
      <c r="I21" s="1849"/>
      <c r="J21" s="1849"/>
      <c r="K21" s="1849"/>
      <c r="L21" s="1849"/>
      <c r="M21" s="1849"/>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c r="AL21" s="1849"/>
      <c r="AM21" s="902"/>
      <c r="AN21" s="902"/>
      <c r="AO21" s="902"/>
      <c r="AP21" s="902"/>
      <c r="AQ21" s="902"/>
      <c r="AR21" s="902"/>
      <c r="AS21" s="902"/>
      <c r="AT21" s="902"/>
      <c r="AU21" s="902"/>
      <c r="AV21" s="902"/>
      <c r="AW21" s="902"/>
      <c r="AX21" s="902"/>
      <c r="AY21" s="902"/>
      <c r="BD21" s="1251" t="s">
        <v>2526</v>
      </c>
      <c r="BE21" s="1253">
        <f>Application!AM554</f>
        <v>16200000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52" t="s">
        <v>283</v>
      </c>
      <c r="BE22" s="1253">
        <f>'Sources and Uses Budget'!B105</f>
        <v>33516886</v>
      </c>
      <c r="BF22" s="3" t="s">
        <v>2599</v>
      </c>
    </row>
    <row r="23" spans="1:58" ht="12.95" customHeight="1">
      <c r="A23" s="1330" t="s">
        <v>2148</v>
      </c>
      <c r="B23" s="1330"/>
      <c r="C23" s="1330"/>
      <c r="D23" s="1330"/>
      <c r="E23" s="1330"/>
      <c r="F23" s="1330"/>
      <c r="G23" s="1330"/>
      <c r="H23" s="1330"/>
      <c r="I23" s="1330"/>
      <c r="J23" s="1330"/>
      <c r="K23" s="1330"/>
      <c r="L23" s="1330"/>
      <c r="M23" s="1330"/>
      <c r="N23" s="1330"/>
      <c r="O23" s="1330"/>
      <c r="P23" s="1330"/>
      <c r="Q23" s="1330"/>
      <c r="R23" s="1330"/>
      <c r="S23" s="1330"/>
      <c r="T23" s="1330"/>
      <c r="U23" s="1330"/>
      <c r="V23" s="1330"/>
      <c r="W23" s="1330"/>
      <c r="X23" s="1330"/>
      <c r="Y23" s="1330"/>
      <c r="Z23" s="1330"/>
      <c r="AA23" s="1330"/>
      <c r="AB23" s="1330"/>
      <c r="AC23" s="1330"/>
      <c r="AD23" s="1330"/>
      <c r="AE23" s="1330"/>
      <c r="AF23" s="1330"/>
      <c r="AG23" s="1330"/>
      <c r="AH23" s="1330"/>
      <c r="AI23" s="1330"/>
      <c r="AJ23" s="1330"/>
      <c r="AK23" s="1330"/>
      <c r="AL23" s="1330"/>
      <c r="AM23" s="1330"/>
      <c r="AN23" s="1330"/>
      <c r="AO23" s="1330"/>
      <c r="AP23" s="1330"/>
      <c r="AQ23" s="1330"/>
      <c r="AR23" s="1330"/>
      <c r="AS23" s="1330"/>
      <c r="AT23" s="1330"/>
      <c r="AU23" s="18"/>
      <c r="AV23" s="18"/>
      <c r="AW23" s="18"/>
      <c r="AX23" s="18"/>
      <c r="AY23" s="18"/>
      <c r="AZ23" s="18"/>
      <c r="BD23" s="1251" t="s">
        <v>2527</v>
      </c>
      <c r="BE23" s="1253">
        <f>'Sources and Uses Budget'!B4</f>
        <v>3010000</v>
      </c>
    </row>
    <row r="24" spans="1:58" ht="12.95" customHeight="1">
      <c r="A24" s="1330"/>
      <c r="B24" s="1330"/>
      <c r="C24" s="1330"/>
      <c r="D24" s="1330"/>
      <c r="E24" s="1330"/>
      <c r="F24" s="1330"/>
      <c r="G24" s="1330"/>
      <c r="H24" s="1330"/>
      <c r="I24" s="1330"/>
      <c r="J24" s="1330"/>
      <c r="K24" s="1330"/>
      <c r="L24" s="1330"/>
      <c r="M24" s="1330"/>
      <c r="N24" s="1330"/>
      <c r="O24" s="1330"/>
      <c r="P24" s="1330"/>
      <c r="Q24" s="1330"/>
      <c r="R24" s="1330"/>
      <c r="S24" s="1330"/>
      <c r="T24" s="1330"/>
      <c r="U24" s="1330"/>
      <c r="V24" s="1330"/>
      <c r="W24" s="1330"/>
      <c r="X24" s="1330"/>
      <c r="Y24" s="1330"/>
      <c r="Z24" s="1330"/>
      <c r="AA24" s="1330"/>
      <c r="AB24" s="1330"/>
      <c r="AC24" s="1330"/>
      <c r="AD24" s="1330"/>
      <c r="AE24" s="1330"/>
      <c r="AF24" s="1330"/>
      <c r="AG24" s="1330"/>
      <c r="AH24" s="1330"/>
      <c r="AI24" s="1330"/>
      <c r="AJ24" s="1330"/>
      <c r="AK24" s="1330"/>
      <c r="AL24" s="1330"/>
      <c r="AM24" s="1330"/>
      <c r="AN24" s="1330"/>
      <c r="AO24" s="1330"/>
      <c r="AP24" s="1330"/>
      <c r="AQ24" s="1330"/>
      <c r="AR24" s="1330"/>
      <c r="AS24" s="1330"/>
      <c r="AT24" s="1330"/>
      <c r="AU24" s="18"/>
      <c r="AV24" s="18"/>
      <c r="AW24" s="18"/>
      <c r="AX24" s="18"/>
      <c r="AY24" s="18"/>
      <c r="AZ24" s="18"/>
      <c r="BD24" s="1252" t="s">
        <v>2528</v>
      </c>
      <c r="BE24" s="1253">
        <f>Application!AG450</f>
        <v>84985</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51" t="s">
        <v>2529</v>
      </c>
      <c r="BE25" s="1253" t="str">
        <f>Application!D208</f>
        <v>40%/60%</v>
      </c>
    </row>
    <row r="26" spans="1:58" ht="12.95" customHeight="1">
      <c r="A26" s="4"/>
      <c r="C26" s="4"/>
      <c r="D26" s="4"/>
      <c r="E26" s="4"/>
      <c r="F26" s="4"/>
      <c r="G26" s="4"/>
      <c r="H26" s="4"/>
      <c r="I26" s="4"/>
      <c r="J26" s="4"/>
      <c r="K26" s="4"/>
      <c r="L26" s="4"/>
      <c r="M26" s="1848">
        <f>'Basis &amp; Credits'!AB56</f>
        <v>1289941</v>
      </c>
      <c r="N26" s="1848"/>
      <c r="O26" s="1848"/>
      <c r="P26" s="1848"/>
      <c r="Q26" s="1848"/>
      <c r="R26" s="4" t="s">
        <v>759</v>
      </c>
      <c r="S26" s="4"/>
      <c r="T26" s="4"/>
      <c r="U26" s="4"/>
      <c r="V26" s="4"/>
      <c r="W26" s="4"/>
      <c r="X26" s="4"/>
      <c r="Y26" s="4"/>
      <c r="Z26" s="4"/>
      <c r="AF26" s="4"/>
      <c r="AG26" s="4"/>
      <c r="AH26" s="4"/>
      <c r="AI26" s="4"/>
      <c r="AJ26" s="4"/>
      <c r="AK26" s="4"/>
      <c r="BD26" s="1252" t="s">
        <v>1639</v>
      </c>
      <c r="BE26" s="1253" t="b">
        <f>Application!M356="Yes"</f>
        <v>0</v>
      </c>
    </row>
    <row r="27" spans="1:58" ht="12.95" customHeight="1">
      <c r="A27" s="4"/>
      <c r="C27" s="4"/>
      <c r="D27" s="4"/>
      <c r="E27" s="4"/>
      <c r="F27" s="4"/>
      <c r="G27" s="4"/>
      <c r="H27" s="4"/>
      <c r="I27" s="4"/>
      <c r="J27" s="4"/>
      <c r="K27" s="4"/>
      <c r="L27" s="4"/>
      <c r="M27" s="1361">
        <f>'Basis &amp; Credits'!AB78</f>
        <v>0</v>
      </c>
      <c r="N27" s="1361"/>
      <c r="O27" s="1361"/>
      <c r="P27" s="1361"/>
      <c r="Q27" s="1361"/>
      <c r="R27" s="3" t="s">
        <v>1267</v>
      </c>
      <c r="S27" s="4"/>
      <c r="T27" s="4"/>
      <c r="U27" s="4"/>
      <c r="V27" s="4"/>
      <c r="W27" s="4"/>
      <c r="X27" s="4"/>
      <c r="Y27" s="4"/>
      <c r="Z27" s="4"/>
      <c r="AF27" s="4"/>
      <c r="AG27" s="4"/>
      <c r="AH27" s="4"/>
      <c r="AI27" s="4"/>
      <c r="AJ27" s="4"/>
      <c r="AK27" s="4"/>
      <c r="BD27" s="1251" t="s">
        <v>2100</v>
      </c>
      <c r="BE27" s="1253" t="b">
        <f>Application!M355="Yes"</f>
        <v>0</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52" t="s">
        <v>2530</v>
      </c>
      <c r="BE28" s="1253" t="b">
        <f>Application!M357="Yes"</f>
        <v>0</v>
      </c>
    </row>
    <row r="29" spans="1:58" ht="12.95" customHeight="1">
      <c r="A29" s="1538" t="s">
        <v>2149</v>
      </c>
      <c r="B29" s="1538"/>
      <c r="C29" s="1538"/>
      <c r="D29" s="1538"/>
      <c r="E29" s="1538"/>
      <c r="F29" s="1538"/>
      <c r="G29" s="1538"/>
      <c r="H29" s="1538"/>
      <c r="I29" s="1538"/>
      <c r="J29" s="1538"/>
      <c r="K29" s="1538"/>
      <c r="L29" s="1538"/>
      <c r="M29" s="1538"/>
      <c r="N29" s="1538"/>
      <c r="O29" s="1538"/>
      <c r="P29" s="1538"/>
      <c r="Q29" s="1538"/>
      <c r="R29" s="1538"/>
      <c r="S29" s="1538"/>
      <c r="T29" s="1538"/>
      <c r="U29" s="1538"/>
      <c r="V29" s="1538"/>
      <c r="W29" s="1538"/>
      <c r="X29" s="1538"/>
      <c r="Y29" s="1538"/>
      <c r="Z29" s="1538"/>
      <c r="AA29" s="1538"/>
      <c r="AB29" s="1538"/>
      <c r="AC29" s="1538"/>
      <c r="AD29" s="1538"/>
      <c r="AE29" s="1538"/>
      <c r="AF29" s="1538"/>
      <c r="AG29" s="1538"/>
      <c r="AH29" s="1538"/>
      <c r="AI29" s="1538"/>
      <c r="AJ29" s="1538"/>
      <c r="AK29" s="1538"/>
      <c r="AL29" s="1538"/>
      <c r="AM29" s="1538"/>
      <c r="AN29" s="1538"/>
      <c r="AO29" s="1538"/>
      <c r="AP29" s="1538"/>
      <c r="AQ29" s="1538"/>
      <c r="AR29" s="1538"/>
      <c r="AS29" s="1538"/>
      <c r="AT29" s="1538"/>
      <c r="BD29" s="1251" t="s">
        <v>2531</v>
      </c>
      <c r="BE29" s="1253" t="b">
        <f>Application!M358="Yes"</f>
        <v>1</v>
      </c>
    </row>
    <row r="30" spans="1:58" ht="12.95" customHeight="1">
      <c r="A30" s="1538"/>
      <c r="B30" s="1538"/>
      <c r="C30" s="1538"/>
      <c r="D30" s="1538"/>
      <c r="E30" s="1538"/>
      <c r="F30" s="1538"/>
      <c r="G30" s="1538"/>
      <c r="H30" s="1538"/>
      <c r="I30" s="1538"/>
      <c r="J30" s="1538"/>
      <c r="K30" s="1538"/>
      <c r="L30" s="1538"/>
      <c r="M30" s="1538"/>
      <c r="N30" s="1538"/>
      <c r="O30" s="1538"/>
      <c r="P30" s="1538"/>
      <c r="Q30" s="1538"/>
      <c r="R30" s="1538"/>
      <c r="S30" s="1538"/>
      <c r="T30" s="1538"/>
      <c r="U30" s="1538"/>
      <c r="V30" s="1538"/>
      <c r="W30" s="1538"/>
      <c r="X30" s="1538"/>
      <c r="Y30" s="1538"/>
      <c r="Z30" s="1538"/>
      <c r="AA30" s="1538"/>
      <c r="AB30" s="1538"/>
      <c r="AC30" s="1538"/>
      <c r="AD30" s="1538"/>
      <c r="AE30" s="1538"/>
      <c r="AF30" s="1538"/>
      <c r="AG30" s="1538"/>
      <c r="AH30" s="1538"/>
      <c r="AI30" s="1538"/>
      <c r="AJ30" s="1538"/>
      <c r="AK30" s="1538"/>
      <c r="AL30" s="1538"/>
      <c r="AM30" s="1538"/>
      <c r="AN30" s="1538"/>
      <c r="AO30" s="1538"/>
      <c r="AP30" s="1538"/>
      <c r="AQ30" s="1538"/>
      <c r="AR30" s="1538"/>
      <c r="AS30" s="1538"/>
      <c r="AT30" s="1538"/>
      <c r="AZ30" s="20"/>
      <c r="BD30" s="1252" t="s">
        <v>28</v>
      </c>
      <c r="BE30" s="1253" t="b">
        <f>Application!AJ355="Yes"</f>
        <v>0</v>
      </c>
    </row>
    <row r="31" spans="1:58" ht="12.95" customHeight="1">
      <c r="A31" s="1538"/>
      <c r="B31" s="1538"/>
      <c r="C31" s="1538"/>
      <c r="D31" s="1538"/>
      <c r="E31" s="1538"/>
      <c r="F31" s="1538"/>
      <c r="G31" s="1538"/>
      <c r="H31" s="1538"/>
      <c r="I31" s="1538"/>
      <c r="J31" s="1538"/>
      <c r="K31" s="1538"/>
      <c r="L31" s="1538"/>
      <c r="M31" s="1538"/>
      <c r="N31" s="1538"/>
      <c r="O31" s="1538"/>
      <c r="P31" s="1538"/>
      <c r="Q31" s="1538"/>
      <c r="R31" s="1538"/>
      <c r="S31" s="1538"/>
      <c r="T31" s="1538"/>
      <c r="U31" s="1538"/>
      <c r="V31" s="1538"/>
      <c r="W31" s="1538"/>
      <c r="X31" s="1538"/>
      <c r="Y31" s="1538"/>
      <c r="Z31" s="1538"/>
      <c r="AA31" s="1538"/>
      <c r="AB31" s="1538"/>
      <c r="AC31" s="1538"/>
      <c r="AD31" s="1538"/>
      <c r="AE31" s="1538"/>
      <c r="AF31" s="1538"/>
      <c r="AG31" s="1538"/>
      <c r="AH31" s="1538"/>
      <c r="AI31" s="1538"/>
      <c r="AJ31" s="1538"/>
      <c r="AK31" s="1538"/>
      <c r="AL31" s="1538"/>
      <c r="AM31" s="1538"/>
      <c r="AN31" s="1538"/>
      <c r="AO31" s="1538"/>
      <c r="AP31" s="1538"/>
      <c r="AQ31" s="1538"/>
      <c r="AR31" s="1538"/>
      <c r="AS31" s="1538"/>
      <c r="AT31" s="1538"/>
      <c r="AU31" s="20"/>
      <c r="AV31" s="20"/>
      <c r="AW31" s="20"/>
      <c r="AX31" s="20"/>
      <c r="AY31" s="20"/>
      <c r="AZ31" s="20"/>
      <c r="BD31" s="1251" t="s">
        <v>2532</v>
      </c>
      <c r="BE31" s="1253" t="str">
        <f>Application!D211</f>
        <v>Non-Targeted</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52" t="s">
        <v>2533</v>
      </c>
      <c r="BE32" s="1253">
        <f>IF(ISNUMBER(Application!W465),W465,0)</f>
        <v>0</v>
      </c>
    </row>
    <row r="33" spans="1:57" ht="12.95" customHeight="1">
      <c r="A33" s="520" t="s">
        <v>1278</v>
      </c>
      <c r="C33" s="520"/>
      <c r="D33" s="520"/>
      <c r="E33" s="520"/>
      <c r="F33" s="520"/>
      <c r="G33" s="520"/>
      <c r="H33" s="520"/>
      <c r="I33" s="520"/>
      <c r="J33" s="520"/>
      <c r="K33" s="520"/>
      <c r="L33" s="520"/>
      <c r="M33" s="520"/>
      <c r="N33" s="520"/>
      <c r="O33" s="1418" t="s">
        <v>669</v>
      </c>
      <c r="P33" s="1418"/>
      <c r="Q33" s="1847" t="s">
        <v>2150</v>
      </c>
      <c r="R33" s="1847"/>
      <c r="S33" s="1847"/>
      <c r="T33" s="1847"/>
      <c r="U33" s="1847"/>
      <c r="V33" s="1847"/>
      <c r="W33" s="1847"/>
      <c r="X33" s="1847"/>
      <c r="Y33" s="1847"/>
      <c r="Z33" s="1847"/>
      <c r="AA33" s="1847"/>
      <c r="AB33" s="1847"/>
      <c r="AC33" s="1847"/>
      <c r="AD33" s="1847"/>
      <c r="AE33" s="1847"/>
      <c r="AF33" s="1847"/>
      <c r="AG33" s="1847"/>
      <c r="AH33" s="1847"/>
      <c r="AI33" s="1847"/>
      <c r="AJ33" s="1847"/>
      <c r="AK33" s="1847"/>
      <c r="AL33" s="1847"/>
      <c r="AM33" s="1847"/>
      <c r="AN33" s="1847"/>
      <c r="AO33" s="1847"/>
      <c r="AP33" s="1847"/>
      <c r="AQ33" s="1847"/>
      <c r="AR33" s="1847"/>
      <c r="AS33" s="1847"/>
      <c r="AT33" s="1847"/>
      <c r="AU33" s="20"/>
      <c r="AV33" s="20"/>
      <c r="AW33" s="20"/>
      <c r="AX33" s="20"/>
      <c r="AY33" s="20"/>
      <c r="BD33" s="1251" t="s">
        <v>2600</v>
      </c>
      <c r="BE33" s="1253" t="str">
        <f>Application!D220</f>
        <v>South and West Bay Region: San Mateo and Santa Clara Counties</v>
      </c>
    </row>
    <row r="34" spans="1:57" ht="12.95" customHeight="1">
      <c r="A34" s="1538" t="s">
        <v>2151</v>
      </c>
      <c r="B34" s="1538"/>
      <c r="C34" s="1538"/>
      <c r="D34" s="1538"/>
      <c r="E34" s="1538"/>
      <c r="F34" s="1538"/>
      <c r="G34" s="1538"/>
      <c r="H34" s="1538"/>
      <c r="I34" s="1538"/>
      <c r="J34" s="1538"/>
      <c r="K34" s="1538"/>
      <c r="L34" s="1538"/>
      <c r="M34" s="1538"/>
      <c r="N34" s="1538"/>
      <c r="O34" s="1538"/>
      <c r="P34" s="1538"/>
      <c r="Q34" s="1538"/>
      <c r="R34" s="1538"/>
      <c r="S34" s="1538"/>
      <c r="T34" s="1538"/>
      <c r="U34" s="1538"/>
      <c r="V34" s="1538"/>
      <c r="W34" s="1538"/>
      <c r="X34" s="1538"/>
      <c r="Y34" s="1538"/>
      <c r="Z34" s="1538"/>
      <c r="AA34" s="1538"/>
      <c r="AB34" s="1538"/>
      <c r="AC34" s="1538"/>
      <c r="AD34" s="1538"/>
      <c r="AE34" s="1538"/>
      <c r="AF34" s="1538"/>
      <c r="AG34" s="1538"/>
      <c r="AH34" s="1538"/>
      <c r="AI34" s="1538"/>
      <c r="AJ34" s="1538"/>
      <c r="AK34" s="1538"/>
      <c r="AL34" s="1538"/>
      <c r="AM34" s="1538"/>
      <c r="AN34" s="1538"/>
      <c r="AO34" s="1538"/>
      <c r="AP34" s="1538"/>
      <c r="AQ34" s="1538"/>
      <c r="AR34" s="1538"/>
      <c r="AS34" s="1538"/>
      <c r="AT34" s="1538"/>
      <c r="AU34" s="20"/>
      <c r="AV34" s="20"/>
      <c r="AW34" s="20"/>
      <c r="AX34" s="20"/>
      <c r="AY34" s="20"/>
      <c r="AZ34" s="20"/>
      <c r="BD34" s="1252" t="s">
        <v>2534</v>
      </c>
      <c r="BE34" s="1253" t="str">
        <f>Application!I185</f>
        <v>305 San Antonio Court</v>
      </c>
    </row>
    <row r="35" spans="1:57" ht="12.95" customHeight="1">
      <c r="A35" s="1538"/>
      <c r="B35" s="1538"/>
      <c r="C35" s="1538"/>
      <c r="D35" s="1538"/>
      <c r="E35" s="1538"/>
      <c r="F35" s="1538"/>
      <c r="G35" s="1538"/>
      <c r="H35" s="1538"/>
      <c r="I35" s="1538"/>
      <c r="J35" s="1538"/>
      <c r="K35" s="1538"/>
      <c r="L35" s="1538"/>
      <c r="M35" s="1538"/>
      <c r="N35" s="1538"/>
      <c r="O35" s="1538"/>
      <c r="P35" s="1538"/>
      <c r="Q35" s="1538"/>
      <c r="R35" s="1538"/>
      <c r="S35" s="1538"/>
      <c r="T35" s="1538"/>
      <c r="U35" s="1538"/>
      <c r="V35" s="1538"/>
      <c r="W35" s="1538"/>
      <c r="X35" s="1538"/>
      <c r="Y35" s="1538"/>
      <c r="Z35" s="1538"/>
      <c r="AA35" s="1538"/>
      <c r="AB35" s="1538"/>
      <c r="AC35" s="1538"/>
      <c r="AD35" s="1538"/>
      <c r="AE35" s="1538"/>
      <c r="AF35" s="1538"/>
      <c r="AG35" s="1538"/>
      <c r="AH35" s="1538"/>
      <c r="AI35" s="1538"/>
      <c r="AJ35" s="1538"/>
      <c r="AK35" s="1538"/>
      <c r="AL35" s="1538"/>
      <c r="AM35" s="1538"/>
      <c r="AN35" s="1538"/>
      <c r="AO35" s="1538"/>
      <c r="AP35" s="1538"/>
      <c r="AQ35" s="1538"/>
      <c r="AR35" s="1538"/>
      <c r="AS35" s="1538"/>
      <c r="AT35" s="1538"/>
      <c r="AU35" s="20"/>
      <c r="AV35" s="20"/>
      <c r="AW35" s="20"/>
      <c r="AX35" s="20"/>
      <c r="AY35" s="20"/>
      <c r="AZ35" s="20"/>
      <c r="BD35" s="1251" t="s">
        <v>2535</v>
      </c>
      <c r="BE35" s="1253" t="str">
        <f>IF(Application!E187="","",Application!E187)</f>
        <v/>
      </c>
    </row>
    <row r="36" spans="1:57" ht="12.95" customHeight="1">
      <c r="A36" s="1538"/>
      <c r="B36" s="1538"/>
      <c r="C36" s="1538"/>
      <c r="D36" s="1538"/>
      <c r="E36" s="1538"/>
      <c r="F36" s="1538"/>
      <c r="G36" s="1538"/>
      <c r="H36" s="1538"/>
      <c r="I36" s="1538"/>
      <c r="J36" s="1538"/>
      <c r="K36" s="1538"/>
      <c r="L36" s="1538"/>
      <c r="M36" s="1538"/>
      <c r="N36" s="1538"/>
      <c r="O36" s="1538"/>
      <c r="P36" s="1538"/>
      <c r="Q36" s="1538"/>
      <c r="R36" s="1538"/>
      <c r="S36" s="1538"/>
      <c r="T36" s="1538"/>
      <c r="U36" s="1538"/>
      <c r="V36" s="1538"/>
      <c r="W36" s="1538"/>
      <c r="X36" s="1538"/>
      <c r="Y36" s="1538"/>
      <c r="Z36" s="1538"/>
      <c r="AA36" s="1538"/>
      <c r="AB36" s="1538"/>
      <c r="AC36" s="1538"/>
      <c r="AD36" s="1538"/>
      <c r="AE36" s="1538"/>
      <c r="AF36" s="1538"/>
      <c r="AG36" s="1538"/>
      <c r="AH36" s="1538"/>
      <c r="AI36" s="1538"/>
      <c r="AJ36" s="1538"/>
      <c r="AK36" s="1538"/>
      <c r="AL36" s="1538"/>
      <c r="AM36" s="1538"/>
      <c r="AN36" s="1538"/>
      <c r="AO36" s="1538"/>
      <c r="AP36" s="1538"/>
      <c r="AQ36" s="1538"/>
      <c r="AR36" s="1538"/>
      <c r="AS36" s="1538"/>
      <c r="AT36" s="1538"/>
      <c r="AU36" s="20"/>
      <c r="AV36" s="20"/>
      <c r="AW36" s="20"/>
      <c r="AX36" s="20"/>
      <c r="AY36" s="20"/>
      <c r="AZ36" s="20"/>
      <c r="BD36" s="1252" t="s">
        <v>2536</v>
      </c>
      <c r="BE36" s="1253" t="str">
        <f>Application!I189</f>
        <v>San Jose</v>
      </c>
    </row>
    <row r="37" spans="1:57" ht="12.95" customHeight="1">
      <c r="A37" s="1538"/>
      <c r="B37" s="1538"/>
      <c r="C37" s="1538"/>
      <c r="D37" s="1538"/>
      <c r="E37" s="1538"/>
      <c r="F37" s="1538"/>
      <c r="G37" s="1538"/>
      <c r="H37" s="1538"/>
      <c r="I37" s="1538"/>
      <c r="J37" s="1538"/>
      <c r="K37" s="1538"/>
      <c r="L37" s="1538"/>
      <c r="M37" s="1538"/>
      <c r="N37" s="1538"/>
      <c r="O37" s="1538"/>
      <c r="P37" s="1538"/>
      <c r="Q37" s="1538"/>
      <c r="R37" s="1538"/>
      <c r="S37" s="1538"/>
      <c r="T37" s="1538"/>
      <c r="U37" s="1538"/>
      <c r="V37" s="1538"/>
      <c r="W37" s="1538"/>
      <c r="X37" s="1538"/>
      <c r="Y37" s="1538"/>
      <c r="Z37" s="1538"/>
      <c r="AA37" s="1538"/>
      <c r="AB37" s="1538"/>
      <c r="AC37" s="1538"/>
      <c r="AD37" s="1538"/>
      <c r="AE37" s="1538"/>
      <c r="AF37" s="1538"/>
      <c r="AG37" s="1538"/>
      <c r="AH37" s="1538"/>
      <c r="AI37" s="1538"/>
      <c r="AJ37" s="1538"/>
      <c r="AK37" s="1538"/>
      <c r="AL37" s="1538"/>
      <c r="AM37" s="1538"/>
      <c r="AN37" s="1538"/>
      <c r="AO37" s="1538"/>
      <c r="AP37" s="1538"/>
      <c r="AQ37" s="1538"/>
      <c r="AR37" s="1538"/>
      <c r="AS37" s="1538"/>
      <c r="AT37" s="1538"/>
      <c r="AZ37" s="20"/>
      <c r="BD37" s="1251" t="s">
        <v>2537</v>
      </c>
      <c r="BE37" s="1253" t="str">
        <f>Application!T189</f>
        <v>Santa Clara</v>
      </c>
    </row>
    <row r="38" spans="1:57" ht="12.95" customHeight="1">
      <c r="A38" s="3"/>
      <c r="AZ38" s="20"/>
      <c r="BD38" s="1252" t="s">
        <v>2538</v>
      </c>
      <c r="BE38" s="1253">
        <f>Application!I190</f>
        <v>95116</v>
      </c>
    </row>
    <row r="39" spans="1:57" ht="12.95" customHeight="1">
      <c r="A39" s="1262" t="s">
        <v>2152</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c r="BD39" s="1251" t="s">
        <v>2539</v>
      </c>
      <c r="BE39" s="1253">
        <f>Application!AG437</f>
        <v>86</v>
      </c>
    </row>
    <row r="40" spans="1:57" ht="12.95"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c r="BD40" s="1252" t="s">
        <v>384</v>
      </c>
      <c r="BE40" s="1253">
        <f>Application!AG440</f>
        <v>84</v>
      </c>
    </row>
    <row r="41" spans="1:57" ht="12.95"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c r="BD41" s="1251" t="s">
        <v>287</v>
      </c>
      <c r="BE41" s="1253">
        <f>Application!AG438</f>
        <v>0</v>
      </c>
    </row>
    <row r="42" spans="1:57" ht="12.95"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c r="BD42" s="1252" t="s">
        <v>2540</v>
      </c>
      <c r="BE42" s="1255">
        <f>Application!AC753</f>
        <v>0.42321428571428565</v>
      </c>
    </row>
    <row r="43" spans="1:57" ht="12.95"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c r="BD43" s="1251" t="s">
        <v>2541</v>
      </c>
      <c r="BE43" s="1255">
        <f>Application!AH753</f>
        <v>0.38566896556173219</v>
      </c>
    </row>
    <row r="44" spans="1:57" ht="12.95"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c r="BD44" s="1252" t="s">
        <v>2542</v>
      </c>
      <c r="BE44" s="1253">
        <f>Application!AC454</f>
        <v>389731.23255813954</v>
      </c>
    </row>
    <row r="45" spans="1:57" ht="12.95" customHeight="1">
      <c r="A45" s="520"/>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51" t="s">
        <v>2543</v>
      </c>
      <c r="BE45" s="1253">
        <f>Application!AE424</f>
        <v>0</v>
      </c>
    </row>
    <row r="46" spans="1:57" ht="12.95" customHeight="1">
      <c r="A46" s="1330" t="s">
        <v>2153</v>
      </c>
      <c r="B46" s="1330"/>
      <c r="C46" s="1330"/>
      <c r="D46" s="1330"/>
      <c r="E46" s="1330"/>
      <c r="F46" s="1330"/>
      <c r="G46" s="1330"/>
      <c r="H46" s="1330"/>
      <c r="I46" s="1330"/>
      <c r="J46" s="1330"/>
      <c r="K46" s="1330"/>
      <c r="L46" s="1330"/>
      <c r="M46" s="1330"/>
      <c r="N46" s="1330"/>
      <c r="O46" s="1330"/>
      <c r="P46" s="1330"/>
      <c r="Q46" s="1330"/>
      <c r="R46" s="1330"/>
      <c r="S46" s="1330"/>
      <c r="T46" s="1330"/>
      <c r="U46" s="1330"/>
      <c r="V46" s="1330"/>
      <c r="W46" s="1330"/>
      <c r="X46" s="1330"/>
      <c r="Y46" s="1330"/>
      <c r="Z46" s="1330"/>
      <c r="AA46" s="1330"/>
      <c r="AB46" s="1330"/>
      <c r="AC46" s="1330"/>
      <c r="AD46" s="1330"/>
      <c r="AE46" s="1330"/>
      <c r="AF46" s="1330"/>
      <c r="AG46" s="1330"/>
      <c r="AH46" s="1330"/>
      <c r="AI46" s="1330"/>
      <c r="AJ46" s="1330"/>
      <c r="AK46" s="1330"/>
      <c r="AL46" s="1330"/>
      <c r="AM46" s="1330"/>
      <c r="AN46" s="1330"/>
      <c r="AO46" s="1330"/>
      <c r="AP46" s="1330"/>
      <c r="AQ46" s="1330"/>
      <c r="AR46" s="1330"/>
      <c r="AS46" s="1330"/>
      <c r="AT46" s="1330"/>
      <c r="AU46" s="20"/>
      <c r="AV46" s="20"/>
      <c r="AW46" s="20"/>
      <c r="AX46" s="20"/>
      <c r="AY46" s="20"/>
      <c r="AZ46" s="20"/>
      <c r="BD46" s="1252" t="s">
        <v>2544</v>
      </c>
      <c r="BE46" s="1253" t="b">
        <f>Application!T195="Yes"</f>
        <v>0</v>
      </c>
    </row>
    <row r="47" spans="1:57" ht="12.95" customHeight="1">
      <c r="A47" s="1330"/>
      <c r="B47" s="1330"/>
      <c r="C47" s="1330"/>
      <c r="D47" s="1330"/>
      <c r="E47" s="1330"/>
      <c r="F47" s="1330"/>
      <c r="G47" s="1330"/>
      <c r="H47" s="1330"/>
      <c r="I47" s="1330"/>
      <c r="J47" s="1330"/>
      <c r="K47" s="1330"/>
      <c r="L47" s="1330"/>
      <c r="M47" s="1330"/>
      <c r="N47" s="1330"/>
      <c r="O47" s="1330"/>
      <c r="P47" s="1330"/>
      <c r="Q47" s="1330"/>
      <c r="R47" s="1330"/>
      <c r="S47" s="1330"/>
      <c r="T47" s="1330"/>
      <c r="U47" s="1330"/>
      <c r="V47" s="1330"/>
      <c r="W47" s="1330"/>
      <c r="X47" s="1330"/>
      <c r="Y47" s="1330"/>
      <c r="Z47" s="1330"/>
      <c r="AA47" s="1330"/>
      <c r="AB47" s="1330"/>
      <c r="AC47" s="1330"/>
      <c r="AD47" s="1330"/>
      <c r="AE47" s="1330"/>
      <c r="AF47" s="1330"/>
      <c r="AG47" s="1330"/>
      <c r="AH47" s="1330"/>
      <c r="AI47" s="1330"/>
      <c r="AJ47" s="1330"/>
      <c r="AK47" s="1330"/>
      <c r="AL47" s="1330"/>
      <c r="AM47" s="1330"/>
      <c r="AN47" s="1330"/>
      <c r="AO47" s="1330"/>
      <c r="AP47" s="1330"/>
      <c r="AQ47" s="1330"/>
      <c r="AR47" s="1330"/>
      <c r="AS47" s="1330"/>
      <c r="AT47" s="1330"/>
      <c r="AU47" s="20"/>
      <c r="AV47" s="20"/>
      <c r="AW47" s="20"/>
      <c r="AX47" s="20"/>
      <c r="AY47" s="20"/>
      <c r="AZ47" s="20"/>
      <c r="BD47" s="1251" t="s">
        <v>2545</v>
      </c>
      <c r="BE47" s="1253" t="b">
        <f>Application!T196="Yes"</f>
        <v>1</v>
      </c>
    </row>
    <row r="48" spans="1:57" ht="12.95" customHeight="1">
      <c r="A48" s="1330"/>
      <c r="B48" s="1330"/>
      <c r="C48" s="1330"/>
      <c r="D48" s="1330"/>
      <c r="E48" s="1330"/>
      <c r="F48" s="1330"/>
      <c r="G48" s="1330"/>
      <c r="H48" s="1330"/>
      <c r="I48" s="1330"/>
      <c r="J48" s="1330"/>
      <c r="K48" s="1330"/>
      <c r="L48" s="1330"/>
      <c r="M48" s="1330"/>
      <c r="N48" s="1330"/>
      <c r="O48" s="1330"/>
      <c r="P48" s="1330"/>
      <c r="Q48" s="1330"/>
      <c r="R48" s="1330"/>
      <c r="S48" s="1330"/>
      <c r="T48" s="1330"/>
      <c r="U48" s="1330"/>
      <c r="V48" s="1330"/>
      <c r="W48" s="1330"/>
      <c r="X48" s="1330"/>
      <c r="Y48" s="1330"/>
      <c r="Z48" s="1330"/>
      <c r="AA48" s="1330"/>
      <c r="AB48" s="1330"/>
      <c r="AC48" s="1330"/>
      <c r="AD48" s="1330"/>
      <c r="AE48" s="1330"/>
      <c r="AF48" s="1330"/>
      <c r="AG48" s="1330"/>
      <c r="AH48" s="1330"/>
      <c r="AI48" s="1330"/>
      <c r="AJ48" s="1330"/>
      <c r="AK48" s="1330"/>
      <c r="AL48" s="1330"/>
      <c r="AM48" s="1330"/>
      <c r="AN48" s="1330"/>
      <c r="AO48" s="1330"/>
      <c r="AP48" s="1330"/>
      <c r="AQ48" s="1330"/>
      <c r="AR48" s="1330"/>
      <c r="AS48" s="1330"/>
      <c r="AT48" s="1330"/>
      <c r="AU48" s="20"/>
      <c r="AV48" s="20"/>
      <c r="AW48" s="20"/>
      <c r="AX48" s="20"/>
      <c r="AY48" s="20"/>
      <c r="AZ48" s="20"/>
      <c r="BD48" s="1252" t="s">
        <v>2546</v>
      </c>
      <c r="BE48" s="1253" t="str">
        <f>Application!M243</f>
        <v>AHG Fairways, LLC</v>
      </c>
    </row>
    <row r="49" spans="1:57" ht="12.95" customHeight="1">
      <c r="A49" s="1330"/>
      <c r="B49" s="1330"/>
      <c r="C49" s="1330"/>
      <c r="D49" s="1330"/>
      <c r="E49" s="1330"/>
      <c r="F49" s="1330"/>
      <c r="G49" s="1330"/>
      <c r="H49" s="1330"/>
      <c r="I49" s="1330"/>
      <c r="J49" s="1330"/>
      <c r="K49" s="1330"/>
      <c r="L49" s="1330"/>
      <c r="M49" s="1330"/>
      <c r="N49" s="1330"/>
      <c r="O49" s="1330"/>
      <c r="P49" s="1330"/>
      <c r="Q49" s="1330"/>
      <c r="R49" s="1330"/>
      <c r="S49" s="1330"/>
      <c r="T49" s="1330"/>
      <c r="U49" s="1330"/>
      <c r="V49" s="1330"/>
      <c r="W49" s="1330"/>
      <c r="X49" s="1330"/>
      <c r="Y49" s="1330"/>
      <c r="Z49" s="1330"/>
      <c r="AA49" s="1330"/>
      <c r="AB49" s="1330"/>
      <c r="AC49" s="1330"/>
      <c r="AD49" s="1330"/>
      <c r="AE49" s="1330"/>
      <c r="AF49" s="1330"/>
      <c r="AG49" s="1330"/>
      <c r="AH49" s="1330"/>
      <c r="AI49" s="1330"/>
      <c r="AJ49" s="1330"/>
      <c r="AK49" s="1330"/>
      <c r="AL49" s="1330"/>
      <c r="AM49" s="1330"/>
      <c r="AN49" s="1330"/>
      <c r="AO49" s="1330"/>
      <c r="AP49" s="1330"/>
      <c r="AQ49" s="1330"/>
      <c r="AR49" s="1330"/>
      <c r="AS49" s="1330"/>
      <c r="AT49" s="1330"/>
      <c r="AU49" s="20"/>
      <c r="AV49" s="20"/>
      <c r="AW49" s="20"/>
      <c r="AX49" s="20"/>
      <c r="AY49" s="20"/>
      <c r="AZ49" s="20"/>
      <c r="BD49" s="1251" t="s">
        <v>2547</v>
      </c>
      <c r="BE49" s="1253" t="str">
        <f>Application!M246</f>
        <v>James P. Silverwood</v>
      </c>
    </row>
    <row r="50" spans="1:57" ht="12.95" customHeight="1">
      <c r="A50" s="456"/>
      <c r="B50" s="456"/>
      <c r="C50" s="456"/>
      <c r="D50" s="456"/>
      <c r="E50" s="456"/>
      <c r="F50" s="456"/>
      <c r="G50" s="456"/>
      <c r="H50" s="456"/>
      <c r="I50" s="456"/>
      <c r="J50" s="456"/>
      <c r="K50" s="456"/>
      <c r="L50" s="456"/>
      <c r="M50" s="456"/>
      <c r="N50" s="456"/>
      <c r="O50" s="456"/>
      <c r="P50" s="456"/>
      <c r="Q50" s="456"/>
      <c r="R50" s="456"/>
      <c r="S50" s="456"/>
      <c r="T50" s="456"/>
      <c r="U50" s="456"/>
      <c r="V50" s="456"/>
      <c r="W50" s="456"/>
      <c r="X50" s="456"/>
      <c r="Y50" s="456"/>
      <c r="Z50" s="456"/>
      <c r="AA50" s="456"/>
      <c r="AB50" s="456"/>
      <c r="AC50" s="456"/>
      <c r="AD50" s="456"/>
      <c r="AE50" s="456"/>
      <c r="AF50" s="456"/>
      <c r="AG50" s="456"/>
      <c r="AH50" s="456"/>
      <c r="AI50" s="456"/>
      <c r="AJ50" s="456"/>
      <c r="AK50" s="456"/>
      <c r="AL50" s="456"/>
      <c r="AM50" s="456"/>
      <c r="AN50" s="456"/>
      <c r="AO50" s="456"/>
      <c r="AP50" s="456"/>
      <c r="AQ50" s="456"/>
      <c r="AR50" s="456"/>
      <c r="AS50" s="456"/>
      <c r="AT50" s="456"/>
      <c r="AU50" s="20"/>
      <c r="AV50" s="20"/>
      <c r="AW50" s="20"/>
      <c r="AX50" s="20"/>
      <c r="AY50" s="20"/>
      <c r="AZ50" s="20"/>
      <c r="BD50" s="1252" t="s">
        <v>2548</v>
      </c>
      <c r="BE50" s="1253" t="str">
        <f>Application!AA249</f>
        <v>Affirmed Housing Group</v>
      </c>
    </row>
    <row r="51" spans="1:57" ht="12.95" customHeight="1">
      <c r="A51" s="1262" t="s">
        <v>2154</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c r="BD51" s="1251" t="s">
        <v>2549</v>
      </c>
      <c r="BE51" s="1253" t="str">
        <f>Application!M251</f>
        <v>CFAH Housing, LLC</v>
      </c>
    </row>
    <row r="52" spans="1:57" ht="12.95"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c r="BD52" s="1252" t="s">
        <v>2550</v>
      </c>
      <c r="BE52" s="1253" t="str">
        <f>Application!M254</f>
        <v>Robin Martinez</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51" t="s">
        <v>2551</v>
      </c>
      <c r="BE53" s="1253" t="str">
        <f>Application!AA257</f>
        <v>Compass for Affordable Housing</v>
      </c>
    </row>
    <row r="54" spans="1:57" ht="12.95" customHeight="1">
      <c r="A54" s="1262" t="s">
        <v>2155</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c r="BD54" s="1252" t="s">
        <v>2552</v>
      </c>
      <c r="BE54" s="1253">
        <f>Application!M259</f>
        <v>0</v>
      </c>
    </row>
    <row r="55" spans="1:57" ht="12.95"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c r="BD55" s="1251" t="s">
        <v>2553</v>
      </c>
      <c r="BE55" s="1253">
        <f>Application!M262</f>
        <v>0</v>
      </c>
    </row>
    <row r="56" spans="1:57" ht="12.95"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BD56" s="1252" t="s">
        <v>2554</v>
      </c>
      <c r="BE56" s="1253">
        <f>Application!AA265</f>
        <v>0</v>
      </c>
    </row>
    <row r="57" spans="1:57" ht="12.95"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BD57" s="1251" t="s">
        <v>2555</v>
      </c>
      <c r="BE57" s="1253" t="str">
        <f>Application!H287</f>
        <v>Affirmed Housing Group, Inc</v>
      </c>
    </row>
    <row r="58" spans="1:57" ht="12.95"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BD58" s="1252" t="s">
        <v>2556</v>
      </c>
      <c r="BE58" s="1253" t="str">
        <f>Application!H288</f>
        <v>13520 Evening Creek Drive N, #160</v>
      </c>
    </row>
    <row r="59" spans="1:57" ht="12.95" customHeight="1">
      <c r="A59" s="520"/>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51" t="s">
        <v>2557</v>
      </c>
      <c r="BE59" s="1253" t="str">
        <f>Application!H289</f>
        <v>San Diego, CA 92128</v>
      </c>
    </row>
    <row r="60" spans="1:57" ht="12.95" customHeight="1">
      <c r="A60" s="1262" t="s">
        <v>2156</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c r="BD60" s="1252" t="s">
        <v>2558</v>
      </c>
      <c r="BE60" s="1253" t="str">
        <f>Application!H290</f>
        <v>José J. Lujano</v>
      </c>
    </row>
    <row r="61" spans="1:57" ht="12.95"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c r="BD61" s="1251" t="s">
        <v>2559</v>
      </c>
      <c r="BE61" s="1253" t="str">
        <f>Application!H293</f>
        <v xml:space="preserve">jose@affirmedhousing.com </v>
      </c>
    </row>
    <row r="62" spans="1:57" ht="12.95" customHeight="1">
      <c r="A62" s="520"/>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52" t="s">
        <v>2560</v>
      </c>
      <c r="BE62" s="1256">
        <f>'Basis &amp; Credits'!AB50</f>
        <v>0.89000029999999997</v>
      </c>
    </row>
    <row r="63" spans="1:57" ht="12.95" customHeight="1">
      <c r="A63" s="91" t="s">
        <v>2157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51" t="s">
        <v>1250</v>
      </c>
      <c r="BE63" s="1256">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52" t="s">
        <v>2561</v>
      </c>
      <c r="BE64" s="1253" t="str">
        <f>Application!X180</f>
        <v>Yes</v>
      </c>
    </row>
    <row r="65" spans="1:57" ht="12.95" customHeight="1">
      <c r="A65" s="1502" t="s">
        <v>2158</v>
      </c>
      <c r="B65" s="1502"/>
      <c r="C65" s="1502"/>
      <c r="D65" s="1502"/>
      <c r="E65" s="1502"/>
      <c r="F65" s="1502"/>
      <c r="G65" s="1502"/>
      <c r="H65" s="1502"/>
      <c r="I65" s="1502"/>
      <c r="J65" s="1502"/>
      <c r="K65" s="1502"/>
      <c r="L65" s="1502"/>
      <c r="M65" s="1502"/>
      <c r="N65" s="1502"/>
      <c r="O65" s="1502"/>
      <c r="P65" s="1502"/>
      <c r="Q65" s="1502"/>
      <c r="R65" s="1502"/>
      <c r="S65" s="1502"/>
      <c r="T65" s="1502"/>
      <c r="U65" s="1502"/>
      <c r="V65" s="1502"/>
      <c r="W65" s="1502"/>
      <c r="X65" s="1502"/>
      <c r="Y65" s="1502"/>
      <c r="Z65" s="1502"/>
      <c r="AA65" s="1502"/>
      <c r="AB65" s="1502"/>
      <c r="AC65" s="1502"/>
      <c r="AD65" s="1502"/>
      <c r="AE65" s="1502"/>
      <c r="AF65" s="1502"/>
      <c r="AG65" s="1502"/>
      <c r="AH65" s="1502"/>
      <c r="AI65" s="1502"/>
      <c r="AJ65" s="1502"/>
      <c r="AK65" s="1502"/>
      <c r="AL65" s="1502"/>
      <c r="AM65" s="1502"/>
      <c r="AN65" s="1502"/>
      <c r="AO65" s="1502"/>
      <c r="AP65" s="1502"/>
      <c r="AQ65" s="1502"/>
      <c r="AR65" s="1502"/>
      <c r="AS65" s="1502"/>
      <c r="AT65" s="1502"/>
      <c r="AU65" s="21"/>
      <c r="AV65" s="21"/>
      <c r="AW65" s="21"/>
      <c r="AX65" s="21"/>
      <c r="AY65" s="21"/>
      <c r="AZ65" s="20"/>
      <c r="BD65" s="1251" t="s">
        <v>2597</v>
      </c>
      <c r="BE65" s="1253" t="str">
        <f>Z205</f>
        <v>(select)</v>
      </c>
    </row>
    <row r="66" spans="1:57" ht="12.95" customHeight="1">
      <c r="A66" s="1502"/>
      <c r="B66" s="1502"/>
      <c r="C66" s="1502"/>
      <c r="D66" s="1502"/>
      <c r="E66" s="1502"/>
      <c r="F66" s="1502"/>
      <c r="G66" s="1502"/>
      <c r="H66" s="1502"/>
      <c r="I66" s="1502"/>
      <c r="J66" s="1502"/>
      <c r="K66" s="1502"/>
      <c r="L66" s="1502"/>
      <c r="M66" s="1502"/>
      <c r="N66" s="1502"/>
      <c r="O66" s="1502"/>
      <c r="P66" s="1502"/>
      <c r="Q66" s="1502"/>
      <c r="R66" s="1502"/>
      <c r="S66" s="1502"/>
      <c r="T66" s="1502"/>
      <c r="U66" s="1502"/>
      <c r="V66" s="1502"/>
      <c r="W66" s="1502"/>
      <c r="X66" s="1502"/>
      <c r="Y66" s="1502"/>
      <c r="Z66" s="1502"/>
      <c r="AA66" s="1502"/>
      <c r="AB66" s="1502"/>
      <c r="AC66" s="1502"/>
      <c r="AD66" s="1502"/>
      <c r="AE66" s="1502"/>
      <c r="AF66" s="1502"/>
      <c r="AG66" s="1502"/>
      <c r="AH66" s="1502"/>
      <c r="AI66" s="1502"/>
      <c r="AJ66" s="1502"/>
      <c r="AK66" s="1502"/>
      <c r="AL66" s="1502"/>
      <c r="AM66" s="1502"/>
      <c r="AN66" s="1502"/>
      <c r="AO66" s="1502"/>
      <c r="AP66" s="1502"/>
      <c r="AQ66" s="1502"/>
      <c r="AR66" s="1502"/>
      <c r="AS66" s="1502"/>
      <c r="AT66" s="1502"/>
      <c r="AU66" s="21"/>
      <c r="AV66" s="21"/>
      <c r="AW66" s="21"/>
      <c r="AX66" s="21"/>
      <c r="AY66" s="21"/>
      <c r="AZ66" s="20"/>
      <c r="BD66" s="1252" t="s">
        <v>2562</v>
      </c>
      <c r="BE66" s="1253" t="b">
        <f>Application!Z205="State Farmworker Credit"</f>
        <v>0</v>
      </c>
    </row>
    <row r="67" spans="1:57" ht="12.95" customHeight="1">
      <c r="A67" s="1502"/>
      <c r="B67" s="1502"/>
      <c r="C67" s="1502"/>
      <c r="D67" s="1502"/>
      <c r="E67" s="1502"/>
      <c r="F67" s="1502"/>
      <c r="G67" s="1502"/>
      <c r="H67" s="1502"/>
      <c r="I67" s="1502"/>
      <c r="J67" s="1502"/>
      <c r="K67" s="1502"/>
      <c r="L67" s="1502"/>
      <c r="M67" s="1502"/>
      <c r="N67" s="1502"/>
      <c r="O67" s="1502"/>
      <c r="P67" s="1502"/>
      <c r="Q67" s="1502"/>
      <c r="R67" s="1502"/>
      <c r="S67" s="1502"/>
      <c r="T67" s="1502"/>
      <c r="U67" s="1502"/>
      <c r="V67" s="1502"/>
      <c r="W67" s="1502"/>
      <c r="X67" s="1502"/>
      <c r="Y67" s="1502"/>
      <c r="Z67" s="1502"/>
      <c r="AA67" s="1502"/>
      <c r="AB67" s="1502"/>
      <c r="AC67" s="1502"/>
      <c r="AD67" s="1502"/>
      <c r="AE67" s="1502"/>
      <c r="AF67" s="1502"/>
      <c r="AG67" s="1502"/>
      <c r="AH67" s="1502"/>
      <c r="AI67" s="1502"/>
      <c r="AJ67" s="1502"/>
      <c r="AK67" s="1502"/>
      <c r="AL67" s="1502"/>
      <c r="AM67" s="1502"/>
      <c r="AN67" s="1502"/>
      <c r="AO67" s="1502"/>
      <c r="AP67" s="1502"/>
      <c r="AQ67" s="1502"/>
      <c r="AR67" s="1502"/>
      <c r="AS67" s="1502"/>
      <c r="AT67" s="1502"/>
      <c r="AZ67" s="20"/>
      <c r="BD67" s="1251" t="s">
        <v>2563</v>
      </c>
      <c r="BE67" s="125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52" t="s">
        <v>2564</v>
      </c>
      <c r="BE68" s="1253">
        <f>'Sources and Uses Budget'!D105</f>
        <v>0</v>
      </c>
    </row>
    <row r="69" spans="1:57" ht="12.95" customHeight="1">
      <c r="A69" s="1502" t="s">
        <v>2159</v>
      </c>
      <c r="B69" s="1502"/>
      <c r="C69" s="1502"/>
      <c r="D69" s="1502"/>
      <c r="E69" s="1502"/>
      <c r="F69" s="1502"/>
      <c r="G69" s="1502"/>
      <c r="H69" s="1502"/>
      <c r="I69" s="1502"/>
      <c r="J69" s="1502"/>
      <c r="K69" s="1502"/>
      <c r="L69" s="1502"/>
      <c r="M69" s="1502"/>
      <c r="N69" s="1502"/>
      <c r="O69" s="1502"/>
      <c r="P69" s="1502"/>
      <c r="Q69" s="1502"/>
      <c r="R69" s="1502"/>
      <c r="S69" s="1502"/>
      <c r="T69" s="1502"/>
      <c r="U69" s="1502"/>
      <c r="V69" s="1502"/>
      <c r="W69" s="1502"/>
      <c r="X69" s="1502"/>
      <c r="Y69" s="1502"/>
      <c r="Z69" s="1502"/>
      <c r="AA69" s="1502"/>
      <c r="AB69" s="1502"/>
      <c r="AC69" s="1502"/>
      <c r="AD69" s="1502"/>
      <c r="AE69" s="1502"/>
      <c r="AF69" s="1502"/>
      <c r="AG69" s="1502"/>
      <c r="AH69" s="1502"/>
      <c r="AI69" s="1502"/>
      <c r="AJ69" s="1502"/>
      <c r="AK69" s="1502"/>
      <c r="AL69" s="1502"/>
      <c r="AM69" s="1502"/>
      <c r="AN69" s="1502"/>
      <c r="AO69" s="1502"/>
      <c r="AP69" s="1502"/>
      <c r="AQ69" s="1502"/>
      <c r="AR69" s="1502"/>
      <c r="AS69" s="1502"/>
      <c r="AT69" s="1502"/>
      <c r="AZ69" s="20"/>
      <c r="BD69" s="1251" t="s">
        <v>2565</v>
      </c>
      <c r="BE69" s="1253" t="str">
        <f>Application!W700</f>
        <v>California Municipal Finance Agency</v>
      </c>
    </row>
    <row r="70" spans="1:57" ht="12.95" customHeight="1">
      <c r="A70" s="1502"/>
      <c r="B70" s="1502"/>
      <c r="C70" s="1502"/>
      <c r="D70" s="1502"/>
      <c r="E70" s="1502"/>
      <c r="F70" s="1502"/>
      <c r="G70" s="1502"/>
      <c r="H70" s="1502"/>
      <c r="I70" s="1502"/>
      <c r="J70" s="1502"/>
      <c r="K70" s="1502"/>
      <c r="L70" s="1502"/>
      <c r="M70" s="1502"/>
      <c r="N70" s="1502"/>
      <c r="O70" s="1502"/>
      <c r="P70" s="1502"/>
      <c r="Q70" s="1502"/>
      <c r="R70" s="1502"/>
      <c r="S70" s="1502"/>
      <c r="T70" s="1502"/>
      <c r="U70" s="1502"/>
      <c r="V70" s="1502"/>
      <c r="W70" s="1502"/>
      <c r="X70" s="1502"/>
      <c r="Y70" s="1502"/>
      <c r="Z70" s="1502"/>
      <c r="AA70" s="1502"/>
      <c r="AB70" s="1502"/>
      <c r="AC70" s="1502"/>
      <c r="AD70" s="1502"/>
      <c r="AE70" s="1502"/>
      <c r="AF70" s="1502"/>
      <c r="AG70" s="1502"/>
      <c r="AH70" s="1502"/>
      <c r="AI70" s="1502"/>
      <c r="AJ70" s="1502"/>
      <c r="AK70" s="1502"/>
      <c r="AL70" s="1502"/>
      <c r="AM70" s="1502"/>
      <c r="AN70" s="1502"/>
      <c r="AO70" s="1502"/>
      <c r="AP70" s="1502"/>
      <c r="AQ70" s="1502"/>
      <c r="AR70" s="1502"/>
      <c r="AS70" s="1502"/>
      <c r="AT70" s="1502"/>
      <c r="AU70" s="20"/>
      <c r="AV70" s="20"/>
      <c r="AW70" s="20"/>
      <c r="AX70" s="20"/>
      <c r="AY70" s="20"/>
      <c r="AZ70" s="20"/>
      <c r="BD70" s="1252" t="s">
        <v>2566</v>
      </c>
      <c r="BE70" s="1253">
        <f ca="1">'Points System'!AF821</f>
        <v>110</v>
      </c>
    </row>
    <row r="71" spans="1:57" ht="12.95" customHeight="1">
      <c r="A71" s="520"/>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51" t="s">
        <v>2567</v>
      </c>
      <c r="BE71" s="1253">
        <f>'Points System'!AF804</f>
        <v>20</v>
      </c>
    </row>
    <row r="72" spans="1:57" ht="12.95" customHeight="1">
      <c r="A72" s="1538" t="s">
        <v>2160</v>
      </c>
      <c r="B72" s="1538"/>
      <c r="C72" s="1538"/>
      <c r="D72" s="1538"/>
      <c r="E72" s="1538"/>
      <c r="F72" s="1538"/>
      <c r="G72" s="1538"/>
      <c r="H72" s="1538"/>
      <c r="I72" s="1538"/>
      <c r="J72" s="1538"/>
      <c r="K72" s="1538"/>
      <c r="L72" s="1538"/>
      <c r="M72" s="1538"/>
      <c r="N72" s="1538"/>
      <c r="O72" s="1538"/>
      <c r="P72" s="1538"/>
      <c r="Q72" s="1538"/>
      <c r="R72" s="1538"/>
      <c r="S72" s="1538"/>
      <c r="T72" s="1538"/>
      <c r="U72" s="1538"/>
      <c r="V72" s="1538"/>
      <c r="W72" s="1538"/>
      <c r="X72" s="1538"/>
      <c r="Y72" s="1538"/>
      <c r="Z72" s="1538"/>
      <c r="AA72" s="1538"/>
      <c r="AB72" s="1538"/>
      <c r="AC72" s="1538"/>
      <c r="AD72" s="1538"/>
      <c r="AE72" s="1538"/>
      <c r="AF72" s="1538"/>
      <c r="AG72" s="1538"/>
      <c r="AH72" s="1538"/>
      <c r="AI72" s="1538"/>
      <c r="AJ72" s="1538"/>
      <c r="AK72" s="1538"/>
      <c r="AL72" s="1538"/>
      <c r="AM72" s="1538"/>
      <c r="AN72" s="1538"/>
      <c r="AO72" s="1538"/>
      <c r="AP72" s="1538"/>
      <c r="AQ72" s="1538"/>
      <c r="AR72" s="1538"/>
      <c r="AS72" s="1538"/>
      <c r="AT72" s="1538"/>
      <c r="AU72" s="20"/>
      <c r="AV72" s="20"/>
      <c r="AW72" s="20"/>
      <c r="AX72" s="20"/>
      <c r="AY72" s="20"/>
      <c r="AZ72" s="20"/>
      <c r="BD72" s="1252" t="s">
        <v>2568</v>
      </c>
      <c r="BE72" s="1253">
        <f>'Points System'!AF805</f>
        <v>0</v>
      </c>
    </row>
    <row r="73" spans="1:57" ht="12.95" customHeight="1">
      <c r="A73" s="1538"/>
      <c r="B73" s="1538"/>
      <c r="C73" s="1538"/>
      <c r="D73" s="1538"/>
      <c r="E73" s="1538"/>
      <c r="F73" s="1538"/>
      <c r="G73" s="1538"/>
      <c r="H73" s="1538"/>
      <c r="I73" s="1538"/>
      <c r="J73" s="1538"/>
      <c r="K73" s="1538"/>
      <c r="L73" s="1538"/>
      <c r="M73" s="1538"/>
      <c r="N73" s="1538"/>
      <c r="O73" s="1538"/>
      <c r="P73" s="1538"/>
      <c r="Q73" s="1538"/>
      <c r="R73" s="1538"/>
      <c r="S73" s="1538"/>
      <c r="T73" s="1538"/>
      <c r="U73" s="1538"/>
      <c r="V73" s="1538"/>
      <c r="W73" s="1538"/>
      <c r="X73" s="1538"/>
      <c r="Y73" s="1538"/>
      <c r="Z73" s="1538"/>
      <c r="AA73" s="1538"/>
      <c r="AB73" s="1538"/>
      <c r="AC73" s="1538"/>
      <c r="AD73" s="1538"/>
      <c r="AE73" s="1538"/>
      <c r="AF73" s="1538"/>
      <c r="AG73" s="1538"/>
      <c r="AH73" s="1538"/>
      <c r="AI73" s="1538"/>
      <c r="AJ73" s="1538"/>
      <c r="AK73" s="1538"/>
      <c r="AL73" s="1538"/>
      <c r="AM73" s="1538"/>
      <c r="AN73" s="1538"/>
      <c r="AO73" s="1538"/>
      <c r="AP73" s="1538"/>
      <c r="AQ73" s="1538"/>
      <c r="AR73" s="1538"/>
      <c r="AS73" s="1538"/>
      <c r="AT73" s="1538"/>
      <c r="AU73" s="20"/>
      <c r="AV73" s="20"/>
      <c r="AW73" s="20"/>
      <c r="AX73" s="20"/>
      <c r="AY73" s="20"/>
      <c r="AZ73" s="20"/>
      <c r="BD73" s="1251" t="s">
        <v>2569</v>
      </c>
      <c r="BE73" s="1253">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52" t="s">
        <v>2570</v>
      </c>
      <c r="BE74" s="1253">
        <f>'Points System'!AF807</f>
        <v>10</v>
      </c>
    </row>
    <row r="75" spans="1:57" ht="12.95" customHeight="1">
      <c r="A75" s="1541" t="s">
        <v>2161</v>
      </c>
      <c r="B75" s="1541"/>
      <c r="C75" s="1541"/>
      <c r="D75" s="1541"/>
      <c r="E75" s="1541"/>
      <c r="F75" s="1541"/>
      <c r="G75" s="1541"/>
      <c r="H75" s="1541"/>
      <c r="I75" s="1541"/>
      <c r="J75" s="1541"/>
      <c r="K75" s="1541"/>
      <c r="L75" s="1541"/>
      <c r="M75" s="1541"/>
      <c r="N75" s="1541"/>
      <c r="O75" s="1541"/>
      <c r="P75" s="1541"/>
      <c r="Q75" s="1541"/>
      <c r="R75" s="1541"/>
      <c r="S75" s="1541"/>
      <c r="T75" s="1541"/>
      <c r="U75" s="1541"/>
      <c r="V75" s="1541"/>
      <c r="W75" s="1541"/>
      <c r="X75" s="1541"/>
      <c r="Y75" s="1541"/>
      <c r="Z75" s="1541"/>
      <c r="AA75" s="1541"/>
      <c r="AB75" s="1541"/>
      <c r="AC75" s="1541"/>
      <c r="AD75" s="1541"/>
      <c r="AE75" s="1541"/>
      <c r="AF75" s="1541"/>
      <c r="AG75" s="1541"/>
      <c r="AH75" s="1541"/>
      <c r="AI75" s="1541"/>
      <c r="AJ75" s="1541"/>
      <c r="AK75" s="1541"/>
      <c r="AL75" s="1541"/>
      <c r="AM75" s="1541"/>
      <c r="AN75" s="1541"/>
      <c r="AO75" s="1541"/>
      <c r="AP75" s="1541"/>
      <c r="AQ75" s="1541"/>
      <c r="AR75" s="1541"/>
      <c r="AS75" s="1541"/>
      <c r="AT75" s="1541"/>
      <c r="AU75" s="20"/>
      <c r="AV75" s="20"/>
      <c r="AW75" s="20"/>
      <c r="AX75" s="20"/>
      <c r="AY75" s="20"/>
      <c r="AZ75" s="20"/>
      <c r="BD75" s="1251" t="s">
        <v>2571</v>
      </c>
      <c r="BE75" s="1253">
        <f>'Points System'!AF808</f>
        <v>10</v>
      </c>
    </row>
    <row r="76" spans="1:57" ht="12.95" customHeight="1">
      <c r="A76" s="1541"/>
      <c r="B76" s="1541"/>
      <c r="C76" s="1541"/>
      <c r="D76" s="1541"/>
      <c r="E76" s="1541"/>
      <c r="F76" s="1541"/>
      <c r="G76" s="1541"/>
      <c r="H76" s="1541"/>
      <c r="I76" s="1541"/>
      <c r="J76" s="1541"/>
      <c r="K76" s="1541"/>
      <c r="L76" s="1541"/>
      <c r="M76" s="1541"/>
      <c r="N76" s="1541"/>
      <c r="O76" s="1541"/>
      <c r="P76" s="1541"/>
      <c r="Q76" s="1541"/>
      <c r="R76" s="1541"/>
      <c r="S76" s="1541"/>
      <c r="T76" s="1541"/>
      <c r="U76" s="1541"/>
      <c r="V76" s="1541"/>
      <c r="W76" s="1541"/>
      <c r="X76" s="1541"/>
      <c r="Y76" s="1541"/>
      <c r="Z76" s="1541"/>
      <c r="AA76" s="1541"/>
      <c r="AB76" s="1541"/>
      <c r="AC76" s="1541"/>
      <c r="AD76" s="1541"/>
      <c r="AE76" s="1541"/>
      <c r="AF76" s="1541"/>
      <c r="AG76" s="1541"/>
      <c r="AH76" s="1541"/>
      <c r="AI76" s="1541"/>
      <c r="AJ76" s="1541"/>
      <c r="AK76" s="1541"/>
      <c r="AL76" s="1541"/>
      <c r="AM76" s="1541"/>
      <c r="AN76" s="1541"/>
      <c r="AO76" s="1541"/>
      <c r="AP76" s="1541"/>
      <c r="AQ76" s="1541"/>
      <c r="AR76" s="1541"/>
      <c r="AS76" s="1541"/>
      <c r="AT76" s="1541"/>
      <c r="AU76" s="20"/>
      <c r="AV76" s="20"/>
      <c r="AW76" s="20"/>
      <c r="AX76" s="20"/>
      <c r="AY76" s="20"/>
      <c r="AZ76" s="17"/>
      <c r="BD76" s="1252" t="s">
        <v>2572</v>
      </c>
      <c r="BE76" s="1253">
        <f>'Points System'!AF811</f>
        <v>0</v>
      </c>
    </row>
    <row r="77" spans="1:57" ht="12.95" customHeight="1">
      <c r="A77" s="1541"/>
      <c r="B77" s="1541"/>
      <c r="C77" s="1541"/>
      <c r="D77" s="1541"/>
      <c r="E77" s="1541"/>
      <c r="F77" s="1541"/>
      <c r="G77" s="1541"/>
      <c r="H77" s="1541"/>
      <c r="I77" s="1541"/>
      <c r="J77" s="1541"/>
      <c r="K77" s="1541"/>
      <c r="L77" s="1541"/>
      <c r="M77" s="1541"/>
      <c r="N77" s="1541"/>
      <c r="O77" s="1541"/>
      <c r="P77" s="1541"/>
      <c r="Q77" s="1541"/>
      <c r="R77" s="1541"/>
      <c r="S77" s="1541"/>
      <c r="T77" s="1541"/>
      <c r="U77" s="1541"/>
      <c r="V77" s="1541"/>
      <c r="W77" s="1541"/>
      <c r="X77" s="1541"/>
      <c r="Y77" s="1541"/>
      <c r="Z77" s="1541"/>
      <c r="AA77" s="1541"/>
      <c r="AB77" s="1541"/>
      <c r="AC77" s="1541"/>
      <c r="AD77" s="1541"/>
      <c r="AE77" s="1541"/>
      <c r="AF77" s="1541"/>
      <c r="AG77" s="1541"/>
      <c r="AH77" s="1541"/>
      <c r="AI77" s="1541"/>
      <c r="AJ77" s="1541"/>
      <c r="AK77" s="1541"/>
      <c r="AL77" s="1541"/>
      <c r="AM77" s="1541"/>
      <c r="AN77" s="1541"/>
      <c r="AO77" s="1541"/>
      <c r="AP77" s="1541"/>
      <c r="AQ77" s="1541"/>
      <c r="AR77" s="1541"/>
      <c r="AS77" s="1541"/>
      <c r="AT77" s="1541"/>
      <c r="AU77" s="20"/>
      <c r="AV77" s="20"/>
      <c r="AW77" s="20"/>
      <c r="AX77" s="20"/>
      <c r="AY77" s="20"/>
      <c r="AZ77" s="17"/>
      <c r="BD77" s="1251" t="s">
        <v>2573</v>
      </c>
      <c r="BE77" s="1253">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52" t="s">
        <v>2574</v>
      </c>
      <c r="BE78" s="1253">
        <f>'Points System'!AF814</f>
        <v>10</v>
      </c>
    </row>
    <row r="79" spans="1:57" ht="12.95" customHeight="1">
      <c r="A79" s="1502" t="s">
        <v>2162</v>
      </c>
      <c r="B79" s="1502"/>
      <c r="C79" s="1502"/>
      <c r="D79" s="1502"/>
      <c r="E79" s="1502"/>
      <c r="F79" s="1502"/>
      <c r="G79" s="1502"/>
      <c r="H79" s="1502"/>
      <c r="I79" s="1502"/>
      <c r="J79" s="1502"/>
      <c r="K79" s="1502"/>
      <c r="L79" s="1502"/>
      <c r="M79" s="1502"/>
      <c r="N79" s="1502"/>
      <c r="O79" s="1502"/>
      <c r="P79" s="1502"/>
      <c r="Q79" s="1502"/>
      <c r="R79" s="1502"/>
      <c r="S79" s="1502"/>
      <c r="T79" s="1502"/>
      <c r="U79" s="1502"/>
      <c r="V79" s="1502"/>
      <c r="W79" s="1502"/>
      <c r="X79" s="1502"/>
      <c r="Y79" s="1502"/>
      <c r="Z79" s="1502"/>
      <c r="AA79" s="1502"/>
      <c r="AB79" s="1502"/>
      <c r="AC79" s="1502"/>
      <c r="AD79" s="1502"/>
      <c r="AE79" s="1502"/>
      <c r="AF79" s="1502"/>
      <c r="AG79" s="1502"/>
      <c r="AH79" s="1502"/>
      <c r="AI79" s="1502"/>
      <c r="AJ79" s="1502"/>
      <c r="AK79" s="1502"/>
      <c r="AL79" s="1502"/>
      <c r="AM79" s="1502"/>
      <c r="AN79" s="1502"/>
      <c r="AO79" s="1502"/>
      <c r="AP79" s="1502"/>
      <c r="AQ79" s="1502"/>
      <c r="AR79" s="1502"/>
      <c r="AS79" s="1502"/>
      <c r="AT79" s="1502"/>
      <c r="AU79" s="20"/>
      <c r="AV79" s="20"/>
      <c r="AW79" s="20"/>
      <c r="AX79" s="20"/>
      <c r="AY79" s="20"/>
      <c r="AZ79" s="20"/>
      <c r="BD79" s="1251" t="s">
        <v>2575</v>
      </c>
      <c r="BE79" s="1253">
        <f>'Points System'!AF815</f>
        <v>0</v>
      </c>
    </row>
    <row r="80" spans="1:57" ht="12.95" customHeight="1">
      <c r="A80" s="1502"/>
      <c r="B80" s="1502"/>
      <c r="C80" s="1502"/>
      <c r="D80" s="1502"/>
      <c r="E80" s="1502"/>
      <c r="F80" s="1502"/>
      <c r="G80" s="1502"/>
      <c r="H80" s="1502"/>
      <c r="I80" s="1502"/>
      <c r="J80" s="1502"/>
      <c r="K80" s="1502"/>
      <c r="L80" s="1502"/>
      <c r="M80" s="1502"/>
      <c r="N80" s="1502"/>
      <c r="O80" s="1502"/>
      <c r="P80" s="1502"/>
      <c r="Q80" s="1502"/>
      <c r="R80" s="1502"/>
      <c r="S80" s="1502"/>
      <c r="T80" s="1502"/>
      <c r="U80" s="1502"/>
      <c r="V80" s="1502"/>
      <c r="W80" s="1502"/>
      <c r="X80" s="1502"/>
      <c r="Y80" s="1502"/>
      <c r="Z80" s="1502"/>
      <c r="AA80" s="1502"/>
      <c r="AB80" s="1502"/>
      <c r="AC80" s="1502"/>
      <c r="AD80" s="1502"/>
      <c r="AE80" s="1502"/>
      <c r="AF80" s="1502"/>
      <c r="AG80" s="1502"/>
      <c r="AH80" s="1502"/>
      <c r="AI80" s="1502"/>
      <c r="AJ80" s="1502"/>
      <c r="AK80" s="1502"/>
      <c r="AL80" s="1502"/>
      <c r="AM80" s="1502"/>
      <c r="AN80" s="1502"/>
      <c r="AO80" s="1502"/>
      <c r="AP80" s="1502"/>
      <c r="AQ80" s="1502"/>
      <c r="AR80" s="1502"/>
      <c r="AS80" s="1502"/>
      <c r="AT80" s="1502"/>
      <c r="AU80" s="20"/>
      <c r="AV80" s="20"/>
      <c r="AW80" s="20"/>
      <c r="AX80" s="20"/>
      <c r="AY80" s="20"/>
      <c r="AZ80" s="20"/>
      <c r="BD80" s="1252" t="s">
        <v>2576</v>
      </c>
      <c r="BE80" s="1253">
        <f>'Points System'!AF817</f>
        <v>10</v>
      </c>
    </row>
    <row r="81" spans="1:57" ht="12.95" customHeight="1">
      <c r="A81" s="1502"/>
      <c r="B81" s="1502"/>
      <c r="C81" s="1502"/>
      <c r="D81" s="1502"/>
      <c r="E81" s="1502"/>
      <c r="F81" s="1502"/>
      <c r="G81" s="1502"/>
      <c r="H81" s="1502"/>
      <c r="I81" s="1502"/>
      <c r="J81" s="1502"/>
      <c r="K81" s="1502"/>
      <c r="L81" s="1502"/>
      <c r="M81" s="1502"/>
      <c r="N81" s="1502"/>
      <c r="O81" s="1502"/>
      <c r="P81" s="1502"/>
      <c r="Q81" s="1502"/>
      <c r="R81" s="1502"/>
      <c r="S81" s="1502"/>
      <c r="T81" s="1502"/>
      <c r="U81" s="1502"/>
      <c r="V81" s="1502"/>
      <c r="W81" s="1502"/>
      <c r="X81" s="1502"/>
      <c r="Y81" s="1502"/>
      <c r="Z81" s="1502"/>
      <c r="AA81" s="1502"/>
      <c r="AB81" s="1502"/>
      <c r="AC81" s="1502"/>
      <c r="AD81" s="1502"/>
      <c r="AE81" s="1502"/>
      <c r="AF81" s="1502"/>
      <c r="AG81" s="1502"/>
      <c r="AH81" s="1502"/>
      <c r="AI81" s="1502"/>
      <c r="AJ81" s="1502"/>
      <c r="AK81" s="1502"/>
      <c r="AL81" s="1502"/>
      <c r="AM81" s="1502"/>
      <c r="AN81" s="1502"/>
      <c r="AO81" s="1502"/>
      <c r="AP81" s="1502"/>
      <c r="AQ81" s="1502"/>
      <c r="AR81" s="1502"/>
      <c r="AS81" s="1502"/>
      <c r="AT81" s="1502"/>
      <c r="AU81" s="20"/>
      <c r="AV81" s="20"/>
      <c r="AW81" s="20"/>
      <c r="AX81" s="20"/>
      <c r="AY81" s="20"/>
      <c r="AZ81" s="20"/>
      <c r="BD81" s="1251" t="s">
        <v>2577</v>
      </c>
      <c r="BE81" s="1253">
        <f>'Points System'!AF818</f>
        <v>12</v>
      </c>
    </row>
    <row r="82" spans="1:57" ht="12.95" customHeight="1">
      <c r="A82" s="520"/>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52" t="s">
        <v>2578</v>
      </c>
      <c r="BE82" s="1253">
        <f>'Points System'!AF819</f>
        <v>10</v>
      </c>
    </row>
    <row r="83" spans="1:57" ht="12.95" customHeight="1">
      <c r="A83" s="1262" t="s">
        <v>2163</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c r="BD83" s="1251" t="s">
        <v>2579</v>
      </c>
      <c r="BE83" s="1257">
        <f>'Tie Breaker'!H5</f>
        <v>2.3406128711943794</v>
      </c>
    </row>
    <row r="84" spans="1:57" ht="12.95"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c r="BD84" s="1252" t="s">
        <v>2580</v>
      </c>
      <c r="BE84" s="1253" t="str">
        <f>Application!O153</f>
        <v>City of San Jose</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51" t="s">
        <v>2581</v>
      </c>
      <c r="BE85" s="1253" t="str">
        <f>Application!O154</f>
        <v>Jacky Morales Ferrand</v>
      </c>
    </row>
    <row r="86" spans="1:57" ht="12.95" customHeight="1">
      <c r="A86" s="1262" t="s">
        <v>2164</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c r="BD86" s="1252" t="s">
        <v>2582</v>
      </c>
      <c r="BE86" s="1253" t="str">
        <f>Application!O155</f>
        <v>Director of Housing</v>
      </c>
    </row>
    <row r="87" spans="1:57" ht="12.95"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c r="BD87" s="1251" t="s">
        <v>2583</v>
      </c>
      <c r="BE87" s="1253" t="str">
        <f>Application!O156</f>
        <v>200 E. Santa Clara Street, 12th Floor</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52" t="s">
        <v>2584</v>
      </c>
      <c r="BE88" s="1253" t="str">
        <f>Application!O157</f>
        <v>San Jose</v>
      </c>
    </row>
    <row r="89" spans="1:57" ht="12.95" customHeight="1">
      <c r="A89" s="1529" t="s">
        <v>2165</v>
      </c>
      <c r="B89" s="1529"/>
      <c r="C89" s="1529"/>
      <c r="D89" s="1529"/>
      <c r="E89" s="1529"/>
      <c r="F89" s="1529"/>
      <c r="G89" s="1529"/>
      <c r="H89" s="1529"/>
      <c r="I89" s="1529"/>
      <c r="J89" s="1529"/>
      <c r="K89" s="1529"/>
      <c r="L89" s="1529"/>
      <c r="M89" s="1529"/>
      <c r="N89" s="1529"/>
      <c r="O89" s="1529"/>
      <c r="P89" s="1529"/>
      <c r="Q89" s="1529"/>
      <c r="R89" s="1529"/>
      <c r="S89" s="1529"/>
      <c r="T89" s="1529"/>
      <c r="U89" s="1529"/>
      <c r="V89" s="1529"/>
      <c r="W89" s="1529"/>
      <c r="X89" s="1529"/>
      <c r="Y89" s="1529"/>
      <c r="Z89" s="1529"/>
      <c r="AA89" s="1529"/>
      <c r="AB89" s="1529"/>
      <c r="AC89" s="1529"/>
      <c r="AD89" s="1529"/>
      <c r="AE89" s="1529"/>
      <c r="AF89" s="1529"/>
      <c r="AG89" s="1529"/>
      <c r="AH89" s="1529"/>
      <c r="AI89" s="1529"/>
      <c r="AJ89" s="1529"/>
      <c r="AK89" s="1529"/>
      <c r="AL89" s="1529"/>
      <c r="AM89" s="1529"/>
      <c r="AN89" s="1529"/>
      <c r="AO89" s="1529"/>
      <c r="AP89" s="1529"/>
      <c r="AQ89" s="1529"/>
      <c r="AR89" s="1529"/>
      <c r="AS89" s="1529"/>
      <c r="AT89" s="1529"/>
      <c r="AU89" s="17"/>
      <c r="AV89" s="17"/>
      <c r="AW89" s="17"/>
      <c r="AX89" s="17"/>
      <c r="AY89" s="17"/>
      <c r="AZ89" s="20"/>
      <c r="BD89" s="1251" t="s">
        <v>2585</v>
      </c>
      <c r="BE89" s="1253">
        <f>Application!O158</f>
        <v>95112</v>
      </c>
    </row>
    <row r="90" spans="1:57" ht="12.95" customHeight="1">
      <c r="A90" s="1529"/>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7"/>
      <c r="AV90" s="17"/>
      <c r="AW90" s="17"/>
      <c r="AX90" s="17"/>
      <c r="AY90" s="17"/>
      <c r="AZ90" s="20"/>
      <c r="BD90" s="1252" t="s">
        <v>2586</v>
      </c>
      <c r="BE90" s="1253" t="str">
        <f>Application!H16</f>
        <v>Fairways Apartments,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51" t="s">
        <v>2587</v>
      </c>
      <c r="BE91" s="1253" t="str">
        <f>Application!M233</f>
        <v>13520 Evening Creek Drive N #160</v>
      </c>
    </row>
    <row r="92" spans="1:57" ht="12.95" customHeight="1">
      <c r="A92" s="1541" t="s">
        <v>2166</v>
      </c>
      <c r="B92" s="1541"/>
      <c r="C92" s="1541"/>
      <c r="D92" s="1541"/>
      <c r="E92" s="1541"/>
      <c r="F92" s="1541"/>
      <c r="G92" s="1541"/>
      <c r="H92" s="1541"/>
      <c r="I92" s="1541"/>
      <c r="J92" s="1541"/>
      <c r="K92" s="1541"/>
      <c r="L92" s="1541"/>
      <c r="M92" s="1541"/>
      <c r="N92" s="1541"/>
      <c r="O92" s="1541"/>
      <c r="P92" s="1541"/>
      <c r="Q92" s="1541"/>
      <c r="R92" s="1541"/>
      <c r="S92" s="1541"/>
      <c r="T92" s="1541"/>
      <c r="U92" s="1541"/>
      <c r="V92" s="1541"/>
      <c r="W92" s="1541"/>
      <c r="X92" s="1541"/>
      <c r="Y92" s="1541"/>
      <c r="Z92" s="1541"/>
      <c r="AA92" s="1541"/>
      <c r="AB92" s="1541"/>
      <c r="AC92" s="1541"/>
      <c r="AD92" s="1541"/>
      <c r="AE92" s="1541"/>
      <c r="AF92" s="1541"/>
      <c r="AG92" s="1541"/>
      <c r="AH92" s="1541"/>
      <c r="AI92" s="1541"/>
      <c r="AJ92" s="1541"/>
      <c r="AK92" s="1541"/>
      <c r="AL92" s="1541"/>
      <c r="AM92" s="1541"/>
      <c r="AN92" s="1541"/>
      <c r="AO92" s="1541"/>
      <c r="AP92" s="1541"/>
      <c r="AQ92" s="1541"/>
      <c r="AR92" s="1541"/>
      <c r="AS92" s="1541"/>
      <c r="AT92" s="1541"/>
      <c r="AU92" s="20"/>
      <c r="AV92" s="20"/>
      <c r="AW92" s="20"/>
      <c r="AX92" s="20"/>
      <c r="AY92" s="20"/>
      <c r="AZ92" s="20"/>
      <c r="BD92" s="1252" t="s">
        <v>2588</v>
      </c>
      <c r="BE92" s="1253" t="str">
        <f>Application!M234</f>
        <v>San Diego</v>
      </c>
    </row>
    <row r="93" spans="1:57" ht="12.95" customHeight="1">
      <c r="A93" s="1541"/>
      <c r="B93" s="1541"/>
      <c r="C93" s="1541"/>
      <c r="D93" s="1541"/>
      <c r="E93" s="1541"/>
      <c r="F93" s="1541"/>
      <c r="G93" s="1541"/>
      <c r="H93" s="1541"/>
      <c r="I93" s="1541"/>
      <c r="J93" s="1541"/>
      <c r="K93" s="1541"/>
      <c r="L93" s="1541"/>
      <c r="M93" s="1541"/>
      <c r="N93" s="1541"/>
      <c r="O93" s="1541"/>
      <c r="P93" s="1541"/>
      <c r="Q93" s="1541"/>
      <c r="R93" s="1541"/>
      <c r="S93" s="1541"/>
      <c r="T93" s="1541"/>
      <c r="U93" s="1541"/>
      <c r="V93" s="1541"/>
      <c r="W93" s="1541"/>
      <c r="X93" s="1541"/>
      <c r="Y93" s="1541"/>
      <c r="Z93" s="1541"/>
      <c r="AA93" s="1541"/>
      <c r="AB93" s="1541"/>
      <c r="AC93" s="1541"/>
      <c r="AD93" s="1541"/>
      <c r="AE93" s="1541"/>
      <c r="AF93" s="1541"/>
      <c r="AG93" s="1541"/>
      <c r="AH93" s="1541"/>
      <c r="AI93" s="1541"/>
      <c r="AJ93" s="1541"/>
      <c r="AK93" s="1541"/>
      <c r="AL93" s="1541"/>
      <c r="AM93" s="1541"/>
      <c r="AN93" s="1541"/>
      <c r="AO93" s="1541"/>
      <c r="AP93" s="1541"/>
      <c r="AQ93" s="1541"/>
      <c r="AR93" s="1541"/>
      <c r="AS93" s="1541"/>
      <c r="AT93" s="1541"/>
      <c r="AU93" s="20"/>
      <c r="AV93" s="20"/>
      <c r="AW93" s="20"/>
      <c r="AX93" s="20"/>
      <c r="AY93" s="20"/>
      <c r="AZ93" s="20"/>
      <c r="BD93" s="1251" t="s">
        <v>2589</v>
      </c>
      <c r="BE93" s="1253" t="str">
        <f>Application!W234</f>
        <v>CA</v>
      </c>
    </row>
    <row r="94" spans="1:57" ht="12.95" customHeight="1">
      <c r="A94" s="1541"/>
      <c r="B94" s="1541"/>
      <c r="C94" s="1541"/>
      <c r="D94" s="1541"/>
      <c r="E94" s="1541"/>
      <c r="F94" s="1541"/>
      <c r="G94" s="1541"/>
      <c r="H94" s="1541"/>
      <c r="I94" s="1541"/>
      <c r="J94" s="1541"/>
      <c r="K94" s="1541"/>
      <c r="L94" s="1541"/>
      <c r="M94" s="1541"/>
      <c r="N94" s="1541"/>
      <c r="O94" s="1541"/>
      <c r="P94" s="1541"/>
      <c r="Q94" s="1541"/>
      <c r="R94" s="1541"/>
      <c r="S94" s="1541"/>
      <c r="T94" s="1541"/>
      <c r="U94" s="1541"/>
      <c r="V94" s="1541"/>
      <c r="W94" s="1541"/>
      <c r="X94" s="1541"/>
      <c r="Y94" s="1541"/>
      <c r="Z94" s="1541"/>
      <c r="AA94" s="1541"/>
      <c r="AB94" s="1541"/>
      <c r="AC94" s="1541"/>
      <c r="AD94" s="1541"/>
      <c r="AE94" s="1541"/>
      <c r="AF94" s="1541"/>
      <c r="AG94" s="1541"/>
      <c r="AH94" s="1541"/>
      <c r="AI94" s="1541"/>
      <c r="AJ94" s="1541"/>
      <c r="AK94" s="1541"/>
      <c r="AL94" s="1541"/>
      <c r="AM94" s="1541"/>
      <c r="AN94" s="1541"/>
      <c r="AO94" s="1541"/>
      <c r="AP94" s="1541"/>
      <c r="AQ94" s="1541"/>
      <c r="AR94" s="1541"/>
      <c r="AS94" s="1541"/>
      <c r="AT94" s="1541"/>
      <c r="AU94" s="20"/>
      <c r="AV94" s="20"/>
      <c r="AW94" s="20"/>
      <c r="AX94" s="20"/>
      <c r="AY94" s="20"/>
      <c r="AZ94" s="20"/>
      <c r="BD94" s="1252" t="s">
        <v>2590</v>
      </c>
      <c r="BE94" s="1253">
        <f>Application!AC234</f>
        <v>92128</v>
      </c>
    </row>
    <row r="95" spans="1:57" ht="12.95" customHeight="1">
      <c r="A95" s="1541"/>
      <c r="B95" s="1541"/>
      <c r="C95" s="1541"/>
      <c r="D95" s="1541"/>
      <c r="E95" s="1541"/>
      <c r="F95" s="1541"/>
      <c r="G95" s="1541"/>
      <c r="H95" s="1541"/>
      <c r="I95" s="1541"/>
      <c r="J95" s="1541"/>
      <c r="K95" s="1541"/>
      <c r="L95" s="1541"/>
      <c r="M95" s="1541"/>
      <c r="N95" s="1541"/>
      <c r="O95" s="1541"/>
      <c r="P95" s="1541"/>
      <c r="Q95" s="1541"/>
      <c r="R95" s="1541"/>
      <c r="S95" s="1541"/>
      <c r="T95" s="1541"/>
      <c r="U95" s="1541"/>
      <c r="V95" s="1541"/>
      <c r="W95" s="1541"/>
      <c r="X95" s="1541"/>
      <c r="Y95" s="1541"/>
      <c r="Z95" s="1541"/>
      <c r="AA95" s="1541"/>
      <c r="AB95" s="1541"/>
      <c r="AC95" s="1541"/>
      <c r="AD95" s="1541"/>
      <c r="AE95" s="1541"/>
      <c r="AF95" s="1541"/>
      <c r="AG95" s="1541"/>
      <c r="AH95" s="1541"/>
      <c r="AI95" s="1541"/>
      <c r="AJ95" s="1541"/>
      <c r="AK95" s="1541"/>
      <c r="AL95" s="1541"/>
      <c r="AM95" s="1541"/>
      <c r="AN95" s="1541"/>
      <c r="AO95" s="1541"/>
      <c r="AP95" s="1541"/>
      <c r="AQ95" s="1541"/>
      <c r="AR95" s="1541"/>
      <c r="AS95" s="1541"/>
      <c r="AT95" s="1541"/>
      <c r="AU95" s="20"/>
      <c r="AV95" s="20"/>
      <c r="AW95" s="20"/>
      <c r="AX95" s="20"/>
      <c r="AY95" s="20"/>
      <c r="AZ95" s="20"/>
      <c r="BD95" s="1251" t="s">
        <v>2591</v>
      </c>
      <c r="BE95" s="1253" t="str">
        <f>Application!M235</f>
        <v>James P. Silverwood</v>
      </c>
    </row>
    <row r="96" spans="1:57" ht="12.95" customHeight="1">
      <c r="A96" s="1541"/>
      <c r="B96" s="1541"/>
      <c r="C96" s="1541"/>
      <c r="D96" s="1541"/>
      <c r="E96" s="1541"/>
      <c r="F96" s="1541"/>
      <c r="G96" s="1541"/>
      <c r="H96" s="1541"/>
      <c r="I96" s="1541"/>
      <c r="J96" s="1541"/>
      <c r="K96" s="1541"/>
      <c r="L96" s="1541"/>
      <c r="M96" s="1541"/>
      <c r="N96" s="1541"/>
      <c r="O96" s="1541"/>
      <c r="P96" s="1541"/>
      <c r="Q96" s="1541"/>
      <c r="R96" s="1541"/>
      <c r="S96" s="1541"/>
      <c r="T96" s="1541"/>
      <c r="U96" s="1541"/>
      <c r="V96" s="1541"/>
      <c r="W96" s="1541"/>
      <c r="X96" s="1541"/>
      <c r="Y96" s="1541"/>
      <c r="Z96" s="1541"/>
      <c r="AA96" s="1541"/>
      <c r="AB96" s="1541"/>
      <c r="AC96" s="1541"/>
      <c r="AD96" s="1541"/>
      <c r="AE96" s="1541"/>
      <c r="AF96" s="1541"/>
      <c r="AG96" s="1541"/>
      <c r="AH96" s="1541"/>
      <c r="AI96" s="1541"/>
      <c r="AJ96" s="1541"/>
      <c r="AK96" s="1541"/>
      <c r="AL96" s="1541"/>
      <c r="AM96" s="1541"/>
      <c r="AN96" s="1541"/>
      <c r="AO96" s="1541"/>
      <c r="AP96" s="1541"/>
      <c r="AQ96" s="1541"/>
      <c r="AR96" s="1541"/>
      <c r="AS96" s="1541"/>
      <c r="AT96" s="1541"/>
      <c r="AU96" s="20"/>
      <c r="AV96" s="20"/>
      <c r="AW96" s="20"/>
      <c r="AX96" s="20"/>
      <c r="AY96" s="20"/>
      <c r="AZ96" s="20"/>
      <c r="BD96" s="1252" t="s">
        <v>2592</v>
      </c>
      <c r="BE96" s="1253" t="str">
        <f>Application!M237</f>
        <v>james@affirmedhousing.com</v>
      </c>
    </row>
    <row r="97" spans="1:57" ht="12.95" customHeight="1">
      <c r="A97" s="1541"/>
      <c r="B97" s="1541"/>
      <c r="C97" s="1541"/>
      <c r="D97" s="1541"/>
      <c r="E97" s="1541"/>
      <c r="F97" s="1541"/>
      <c r="G97" s="1541"/>
      <c r="H97" s="1541"/>
      <c r="I97" s="1541"/>
      <c r="J97" s="1541"/>
      <c r="K97" s="1541"/>
      <c r="L97" s="1541"/>
      <c r="M97" s="1541"/>
      <c r="N97" s="1541"/>
      <c r="O97" s="1541"/>
      <c r="P97" s="1541"/>
      <c r="Q97" s="1541"/>
      <c r="R97" s="1541"/>
      <c r="S97" s="1541"/>
      <c r="T97" s="1541"/>
      <c r="U97" s="1541"/>
      <c r="V97" s="1541"/>
      <c r="W97" s="1541"/>
      <c r="X97" s="1541"/>
      <c r="Y97" s="1541"/>
      <c r="Z97" s="1541"/>
      <c r="AA97" s="1541"/>
      <c r="AB97" s="1541"/>
      <c r="AC97" s="1541"/>
      <c r="AD97" s="1541"/>
      <c r="AE97" s="1541"/>
      <c r="AF97" s="1541"/>
      <c r="AG97" s="1541"/>
      <c r="AH97" s="1541"/>
      <c r="AI97" s="1541"/>
      <c r="AJ97" s="1541"/>
      <c r="AK97" s="1541"/>
      <c r="AL97" s="1541"/>
      <c r="AM97" s="1541"/>
      <c r="AN97" s="1541"/>
      <c r="AO97" s="1541"/>
      <c r="AP97" s="1541"/>
      <c r="AQ97" s="1541"/>
      <c r="AR97" s="1541"/>
      <c r="AS97" s="1541"/>
      <c r="AT97" s="1541"/>
      <c r="AU97" s="20"/>
      <c r="AV97" s="20"/>
      <c r="AW97" s="20"/>
      <c r="AX97" s="20"/>
      <c r="AY97" s="20"/>
      <c r="AZ97" s="20"/>
      <c r="BD97" s="1251" t="s">
        <v>2593</v>
      </c>
      <c r="BE97" s="1253" t="str">
        <f>Application!M248</f>
        <v>james@affirmedhousing.com</v>
      </c>
    </row>
    <row r="98" spans="1:57" ht="12.95" customHeight="1">
      <c r="A98" s="1541"/>
      <c r="B98" s="1541"/>
      <c r="C98" s="1541"/>
      <c r="D98" s="1541"/>
      <c r="E98" s="1541"/>
      <c r="F98" s="1541"/>
      <c r="G98" s="1541"/>
      <c r="H98" s="1541"/>
      <c r="I98" s="1541"/>
      <c r="J98" s="1541"/>
      <c r="K98" s="1541"/>
      <c r="L98" s="1541"/>
      <c r="M98" s="1541"/>
      <c r="N98" s="1541"/>
      <c r="O98" s="1541"/>
      <c r="P98" s="1541"/>
      <c r="Q98" s="1541"/>
      <c r="R98" s="1541"/>
      <c r="S98" s="1541"/>
      <c r="T98" s="1541"/>
      <c r="U98" s="1541"/>
      <c r="V98" s="1541"/>
      <c r="W98" s="1541"/>
      <c r="X98" s="1541"/>
      <c r="Y98" s="1541"/>
      <c r="Z98" s="1541"/>
      <c r="AA98" s="1541"/>
      <c r="AB98" s="1541"/>
      <c r="AC98" s="1541"/>
      <c r="AD98" s="1541"/>
      <c r="AE98" s="1541"/>
      <c r="AF98" s="1541"/>
      <c r="AG98" s="1541"/>
      <c r="AH98" s="1541"/>
      <c r="AI98" s="1541"/>
      <c r="AJ98" s="1541"/>
      <c r="AK98" s="1541"/>
      <c r="AL98" s="1541"/>
      <c r="AM98" s="1541"/>
      <c r="AN98" s="1541"/>
      <c r="AO98" s="1541"/>
      <c r="AP98" s="1541"/>
      <c r="AQ98" s="1541"/>
      <c r="AR98" s="1541"/>
      <c r="AS98" s="1541"/>
      <c r="AT98" s="1541"/>
      <c r="AU98" s="20"/>
      <c r="AV98" s="20"/>
      <c r="AW98" s="20"/>
      <c r="AX98" s="20"/>
      <c r="AY98" s="20"/>
      <c r="AZ98" s="20"/>
      <c r="BD98" s="1252" t="s">
        <v>2594</v>
      </c>
      <c r="BE98" s="1253" t="str">
        <f>Application!M256</f>
        <v>robin@compassfah.org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51" t="s">
        <v>2595</v>
      </c>
      <c r="BE99" s="1253">
        <f>Application!M264</f>
        <v>0</v>
      </c>
    </row>
    <row r="100" spans="1:57" ht="12.95" customHeight="1">
      <c r="A100" s="1551" t="s">
        <v>2167</v>
      </c>
      <c r="B100" s="1551"/>
      <c r="C100" s="1551"/>
      <c r="D100" s="1551"/>
      <c r="E100" s="1551"/>
      <c r="F100" s="1551"/>
      <c r="G100" s="1551"/>
      <c r="H100" s="1551"/>
      <c r="I100" s="1551"/>
      <c r="J100" s="1551"/>
      <c r="K100" s="1551"/>
      <c r="L100" s="1551"/>
      <c r="M100" s="1551"/>
      <c r="N100" s="1551"/>
      <c r="O100" s="1551"/>
      <c r="P100" s="1551"/>
      <c r="Q100" s="1551"/>
      <c r="R100" s="1551"/>
      <c r="S100" s="1551"/>
      <c r="T100" s="1551"/>
      <c r="U100" s="1551"/>
      <c r="V100" s="1551"/>
      <c r="W100" s="1551"/>
      <c r="X100" s="1551"/>
      <c r="Y100" s="1551"/>
      <c r="Z100" s="1551"/>
      <c r="AA100" s="1551"/>
      <c r="AB100" s="1551"/>
      <c r="AC100" s="1551"/>
      <c r="AD100" s="1551"/>
      <c r="AE100" s="1551"/>
      <c r="AF100" s="1551"/>
      <c r="AG100" s="1551"/>
      <c r="AH100" s="1551"/>
      <c r="AI100" s="1551"/>
      <c r="AJ100" s="1551"/>
      <c r="AK100" s="1551"/>
      <c r="AL100" s="1551"/>
      <c r="AM100" s="1551"/>
      <c r="AN100" s="1551"/>
      <c r="AO100" s="1551"/>
      <c r="AP100" s="1551"/>
      <c r="AQ100" s="1551"/>
      <c r="AR100" s="1551"/>
      <c r="AS100" s="1551"/>
      <c r="AT100" s="1551"/>
      <c r="AU100" s="20"/>
      <c r="AV100" s="20"/>
      <c r="AW100" s="20"/>
      <c r="AX100" s="20"/>
      <c r="AY100" s="20"/>
      <c r="AZ100" s="20"/>
      <c r="BD100" s="1252" t="s">
        <v>2596</v>
      </c>
      <c r="BE100" s="1253" t="str">
        <f>Application!L279</f>
        <v>jose@affirmedhousing.com</v>
      </c>
    </row>
    <row r="101" spans="1:57" ht="12.95" customHeight="1">
      <c r="A101" s="1551"/>
      <c r="B101" s="1551"/>
      <c r="C101" s="1551"/>
      <c r="D101" s="1551"/>
      <c r="E101" s="1551"/>
      <c r="F101" s="1551"/>
      <c r="G101" s="1551"/>
      <c r="H101" s="1551"/>
      <c r="I101" s="1551"/>
      <c r="J101" s="1551"/>
      <c r="K101" s="1551"/>
      <c r="L101" s="1551"/>
      <c r="M101" s="1551"/>
      <c r="N101" s="1551"/>
      <c r="O101" s="1551"/>
      <c r="P101" s="1551"/>
      <c r="Q101" s="1551"/>
      <c r="R101" s="1551"/>
      <c r="S101" s="1551"/>
      <c r="T101" s="1551"/>
      <c r="U101" s="1551"/>
      <c r="V101" s="1551"/>
      <c r="W101" s="1551"/>
      <c r="X101" s="1551"/>
      <c r="Y101" s="1551"/>
      <c r="Z101" s="1551"/>
      <c r="AA101" s="1551"/>
      <c r="AB101" s="1551"/>
      <c r="AC101" s="1551"/>
      <c r="AD101" s="1551"/>
      <c r="AE101" s="1551"/>
      <c r="AF101" s="1551"/>
      <c r="AG101" s="1551"/>
      <c r="AH101" s="1551"/>
      <c r="AI101" s="1551"/>
      <c r="AJ101" s="1551"/>
      <c r="AK101" s="1551"/>
      <c r="AL101" s="1551"/>
      <c r="AM101" s="1551"/>
      <c r="AN101" s="1551"/>
      <c r="AO101" s="1551"/>
      <c r="AP101" s="1551"/>
      <c r="AQ101" s="1551"/>
      <c r="AR101" s="1551"/>
      <c r="AS101" s="1551"/>
      <c r="AT101" s="1551"/>
      <c r="AU101" s="20"/>
      <c r="AV101" s="20"/>
      <c r="AW101" s="20"/>
      <c r="AX101" s="20"/>
      <c r="AY101" s="20"/>
      <c r="AZ101" s="20"/>
      <c r="BD101" s="3" t="s">
        <v>2601</v>
      </c>
      <c r="BE101">
        <f>'Sources and Uses Budget'!C105</f>
        <v>33516886</v>
      </c>
    </row>
    <row r="102" spans="1:57" ht="12.95" customHeight="1">
      <c r="A102" s="1551"/>
      <c r="B102" s="1551"/>
      <c r="C102" s="1551"/>
      <c r="D102" s="1551"/>
      <c r="E102" s="1551"/>
      <c r="F102" s="1551"/>
      <c r="G102" s="1551"/>
      <c r="H102" s="1551"/>
      <c r="I102" s="1551"/>
      <c r="J102" s="1551"/>
      <c r="K102" s="1551"/>
      <c r="L102" s="1551"/>
      <c r="M102" s="1551"/>
      <c r="N102" s="1551"/>
      <c r="O102" s="1551"/>
      <c r="P102" s="1551"/>
      <c r="Q102" s="1551"/>
      <c r="R102" s="1551"/>
      <c r="S102" s="1551"/>
      <c r="T102" s="1551"/>
      <c r="U102" s="1551"/>
      <c r="V102" s="1551"/>
      <c r="W102" s="1551"/>
      <c r="X102" s="1551"/>
      <c r="Y102" s="1551"/>
      <c r="Z102" s="1551"/>
      <c r="AA102" s="1551"/>
      <c r="AB102" s="1551"/>
      <c r="AC102" s="1551"/>
      <c r="AD102" s="1551"/>
      <c r="AE102" s="1551"/>
      <c r="AF102" s="1551"/>
      <c r="AG102" s="1551"/>
      <c r="AH102" s="1551"/>
      <c r="AI102" s="1551"/>
      <c r="AJ102" s="1551"/>
      <c r="AK102" s="1551"/>
      <c r="AL102" s="1551"/>
      <c r="AM102" s="1551"/>
      <c r="AN102" s="1551"/>
      <c r="AO102" s="1551"/>
      <c r="AP102" s="1551"/>
      <c r="AQ102" s="1551"/>
      <c r="AR102" s="1551"/>
      <c r="AS102" s="1551"/>
      <c r="AT102" s="1551"/>
      <c r="AU102" s="20"/>
      <c r="AV102" s="20"/>
      <c r="AW102" s="20"/>
      <c r="AX102" s="20"/>
      <c r="AY102" s="20"/>
      <c r="AZ102" s="20"/>
      <c r="BD102" s="3" t="s">
        <v>2602</v>
      </c>
      <c r="BE102" t="b">
        <f>T197="Yes"</f>
        <v>0</v>
      </c>
    </row>
    <row r="103" spans="1:57" ht="12.95" customHeight="1">
      <c r="A103" s="1551"/>
      <c r="B103" s="1551"/>
      <c r="C103" s="1551"/>
      <c r="D103" s="1551"/>
      <c r="E103" s="1551"/>
      <c r="F103" s="1551"/>
      <c r="G103" s="1551"/>
      <c r="H103" s="1551"/>
      <c r="I103" s="1551"/>
      <c r="J103" s="1551"/>
      <c r="K103" s="1551"/>
      <c r="L103" s="1551"/>
      <c r="M103" s="1551"/>
      <c r="N103" s="1551"/>
      <c r="O103" s="1551"/>
      <c r="P103" s="1551"/>
      <c r="Q103" s="1551"/>
      <c r="R103" s="1551"/>
      <c r="S103" s="1551"/>
      <c r="T103" s="1551"/>
      <c r="U103" s="1551"/>
      <c r="V103" s="1551"/>
      <c r="W103" s="1551"/>
      <c r="X103" s="1551"/>
      <c r="Y103" s="1551"/>
      <c r="Z103" s="1551"/>
      <c r="AA103" s="1551"/>
      <c r="AB103" s="1551"/>
      <c r="AC103" s="1551"/>
      <c r="AD103" s="1551"/>
      <c r="AE103" s="1551"/>
      <c r="AF103" s="1551"/>
      <c r="AG103" s="1551"/>
      <c r="AH103" s="1551"/>
      <c r="AI103" s="1551"/>
      <c r="AJ103" s="1551"/>
      <c r="AK103" s="1551"/>
      <c r="AL103" s="1551"/>
      <c r="AM103" s="1551"/>
      <c r="AN103" s="1551"/>
      <c r="AO103" s="1551"/>
      <c r="AP103" s="1551"/>
      <c r="AQ103" s="1551"/>
      <c r="AR103" s="1551"/>
      <c r="AS103" s="1551"/>
      <c r="AT103" s="1551"/>
      <c r="AU103" s="20"/>
      <c r="AV103" s="20"/>
      <c r="AW103" s="20"/>
      <c r="AX103" s="20"/>
      <c r="AY103" s="20"/>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551" t="s">
        <v>2168</v>
      </c>
      <c r="B105" s="1551"/>
      <c r="C105" s="1551"/>
      <c r="D105" s="1551"/>
      <c r="E105" s="1551"/>
      <c r="F105" s="1551"/>
      <c r="G105" s="1551"/>
      <c r="H105" s="1551"/>
      <c r="I105" s="1551"/>
      <c r="J105" s="1551"/>
      <c r="K105" s="1551"/>
      <c r="L105" s="1551"/>
      <c r="M105" s="1551"/>
      <c r="N105" s="1551"/>
      <c r="O105" s="1551"/>
      <c r="P105" s="1551"/>
      <c r="Q105" s="1551"/>
      <c r="R105" s="1551"/>
      <c r="S105" s="1551"/>
      <c r="T105" s="1551"/>
      <c r="U105" s="1551"/>
      <c r="V105" s="1551"/>
      <c r="W105" s="1551"/>
      <c r="X105" s="1551"/>
      <c r="Y105" s="1551"/>
      <c r="Z105" s="1551"/>
      <c r="AA105" s="1551"/>
      <c r="AB105" s="1551"/>
      <c r="AC105" s="1551"/>
      <c r="AD105" s="1551"/>
      <c r="AE105" s="1551"/>
      <c r="AF105" s="1551"/>
      <c r="AG105" s="1551"/>
      <c r="AH105" s="1551"/>
      <c r="AI105" s="1551"/>
      <c r="AJ105" s="1551"/>
      <c r="AK105" s="1551"/>
      <c r="AL105" s="1551"/>
      <c r="AM105" s="1551"/>
      <c r="AN105" s="1551"/>
      <c r="AO105" s="1551"/>
      <c r="AP105" s="1551"/>
      <c r="AQ105" s="1551"/>
      <c r="AR105" s="1551"/>
      <c r="AS105" s="1551"/>
      <c r="AT105" s="1551"/>
      <c r="AU105" s="20"/>
      <c r="AV105" s="20"/>
      <c r="AW105" s="20"/>
      <c r="AX105" s="20"/>
      <c r="AY105" s="20"/>
    </row>
    <row r="106" spans="1:57" ht="12.95" customHeight="1">
      <c r="A106" s="1551"/>
      <c r="B106" s="1551"/>
      <c r="C106" s="1551"/>
      <c r="D106" s="1551"/>
      <c r="E106" s="1551"/>
      <c r="F106" s="1551"/>
      <c r="G106" s="1551"/>
      <c r="H106" s="1551"/>
      <c r="I106" s="1551"/>
      <c r="J106" s="1551"/>
      <c r="K106" s="1551"/>
      <c r="L106" s="1551"/>
      <c r="M106" s="1551"/>
      <c r="N106" s="1551"/>
      <c r="O106" s="1551"/>
      <c r="P106" s="1551"/>
      <c r="Q106" s="1551"/>
      <c r="R106" s="1551"/>
      <c r="S106" s="1551"/>
      <c r="T106" s="1551"/>
      <c r="U106" s="1551"/>
      <c r="V106" s="1551"/>
      <c r="W106" s="1551"/>
      <c r="X106" s="1551"/>
      <c r="Y106" s="1551"/>
      <c r="Z106" s="1551"/>
      <c r="AA106" s="1551"/>
      <c r="AB106" s="1551"/>
      <c r="AC106" s="1551"/>
      <c r="AD106" s="1551"/>
      <c r="AE106" s="1551"/>
      <c r="AF106" s="1551"/>
      <c r="AG106" s="1551"/>
      <c r="AH106" s="1551"/>
      <c r="AI106" s="1551"/>
      <c r="AJ106" s="1551"/>
      <c r="AK106" s="1551"/>
      <c r="AL106" s="1551"/>
      <c r="AM106" s="1551"/>
      <c r="AN106" s="1551"/>
      <c r="AO106" s="1551"/>
      <c r="AP106" s="1551"/>
      <c r="AQ106" s="1551"/>
      <c r="AR106" s="1551"/>
      <c r="AS106" s="1551"/>
      <c r="AT106" s="1551"/>
      <c r="AU106" s="20"/>
      <c r="AV106" s="20"/>
      <c r="AW106" s="20"/>
      <c r="AX106" s="20"/>
      <c r="AY106" s="20"/>
    </row>
    <row r="107" spans="1:57" ht="12.95" customHeight="1">
      <c r="A107" s="518"/>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8" t="s">
        <v>2169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8"/>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8"/>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8"/>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90"/>
      <c r="C113" s="3" t="s">
        <v>181</v>
      </c>
      <c r="G113" s="1543"/>
      <c r="H113" s="1543"/>
      <c r="I113" s="3" t="s">
        <v>182</v>
      </c>
      <c r="L113" s="1543"/>
      <c r="M113" s="1543"/>
      <c r="N113" s="1543"/>
      <c r="O113" s="1543"/>
      <c r="P113" s="1557" t="s">
        <v>2243</v>
      </c>
      <c r="Q113" s="1557"/>
      <c r="R113" s="1557"/>
      <c r="S113" s="1557"/>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544"/>
      <c r="D115" s="1544"/>
      <c r="E115" s="1544"/>
      <c r="F115" s="1544"/>
      <c r="G115" s="1544"/>
      <c r="H115" s="1544"/>
      <c r="I115" s="1544"/>
      <c r="J115" s="1544"/>
      <c r="K115" s="1544"/>
      <c r="L115" s="203"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543"/>
      <c r="Z117" s="1543"/>
      <c r="AA117" s="1543"/>
      <c r="AB117" s="1543"/>
      <c r="AC117" s="1543"/>
      <c r="AD117" s="1543"/>
      <c r="AE117" s="1543"/>
      <c r="AF117" s="1543"/>
      <c r="AG117" s="1543"/>
      <c r="AH117" s="1543"/>
      <c r="AI117" s="1543"/>
      <c r="AJ117" s="1543"/>
      <c r="AK117" s="1543"/>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43"/>
      <c r="Z120" s="1543"/>
      <c r="AA120" s="1543"/>
      <c r="AB120" s="1543"/>
      <c r="AC120" s="1543"/>
      <c r="AD120" s="1543"/>
      <c r="AE120" s="1543"/>
      <c r="AF120" s="1543"/>
      <c r="AG120" s="1543"/>
      <c r="AH120" s="1543"/>
      <c r="AI120" s="1543"/>
      <c r="AJ120" s="1543"/>
      <c r="AK120" s="1543"/>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701" t="s">
        <v>469</v>
      </c>
      <c r="CV122" s="1702"/>
      <c r="CW122" s="14"/>
      <c r="CX122" s="14" t="s">
        <v>634</v>
      </c>
      <c r="CY122" s="14"/>
      <c r="CZ122" s="14"/>
      <c r="DA122" s="14"/>
      <c r="DB122" s="14"/>
      <c r="DC122" s="14"/>
      <c r="DD122" s="14"/>
      <c r="DE122" s="14"/>
      <c r="DF122" s="14"/>
      <c r="DG122" s="1698" t="str">
        <f>T189</f>
        <v>Santa Clara</v>
      </c>
      <c r="DH122" s="1699"/>
      <c r="DI122" s="1699"/>
      <c r="DJ122" s="1699"/>
      <c r="DK122" s="1699"/>
      <c r="DL122" s="1699"/>
      <c r="DM122" s="1700"/>
    </row>
    <row r="123" spans="1:117" ht="12.95" customHeight="1">
      <c r="A123" s="3"/>
      <c r="B123" s="3"/>
      <c r="T123" s="3"/>
      <c r="U123" s="3"/>
      <c r="V123" s="3"/>
      <c r="W123" s="3"/>
      <c r="X123" s="3"/>
      <c r="Y123" s="1543"/>
      <c r="Z123" s="1543"/>
      <c r="AA123" s="1543"/>
      <c r="AB123" s="1543"/>
      <c r="AC123" s="1543"/>
      <c r="AD123" s="1543"/>
      <c r="AE123" s="1543"/>
      <c r="AF123" s="1543"/>
      <c r="AG123" s="1543"/>
      <c r="AH123" s="1543"/>
      <c r="AI123" s="1543"/>
      <c r="AJ123" s="1543"/>
      <c r="AK123" s="1543"/>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5"/>
      <c r="AL128" s="355"/>
      <c r="AM128" s="355"/>
      <c r="AN128" s="355"/>
      <c r="AO128" s="355"/>
      <c r="AP128" s="355"/>
      <c r="AQ128" s="355"/>
      <c r="AR128" s="355"/>
      <c r="AS128" s="355"/>
      <c r="AT128" s="355"/>
      <c r="AU128" s="355"/>
      <c r="AV128" s="355"/>
      <c r="AW128" s="355"/>
      <c r="AX128" s="355"/>
      <c r="AY128" s="355"/>
    </row>
    <row r="129" spans="1:51" ht="12.95" customHeight="1">
      <c r="A129" s="355"/>
      <c r="B129" s="4"/>
      <c r="R129" s="6"/>
      <c r="S129" s="6"/>
      <c r="T129" s="6"/>
      <c r="U129" s="6"/>
      <c r="V129" s="6"/>
      <c r="W129" s="6"/>
      <c r="AL129" s="355"/>
      <c r="AM129" s="355"/>
      <c r="AN129" s="355"/>
      <c r="AO129" s="355"/>
      <c r="AP129" s="355"/>
      <c r="AQ129" s="355"/>
      <c r="AR129" s="355"/>
      <c r="AS129" s="355"/>
      <c r="AT129" s="355"/>
      <c r="AU129" s="355"/>
      <c r="AV129" s="355"/>
      <c r="AW129" s="355"/>
      <c r="AX129" s="355"/>
      <c r="AY129" s="355"/>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3"/>
      <c r="G132" s="203"/>
      <c r="H132" s="203"/>
      <c r="I132" s="203"/>
      <c r="J132" s="203"/>
      <c r="K132" s="203"/>
      <c r="L132" s="203"/>
      <c r="M132" s="203"/>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6"/>
      <c r="U139" s="456"/>
      <c r="V139" s="456"/>
      <c r="W139" s="456"/>
      <c r="X139" s="456"/>
      <c r="Y139" s="456"/>
      <c r="Z139" s="456"/>
      <c r="AA139" s="456"/>
      <c r="AB139" s="456"/>
      <c r="AC139" s="456"/>
      <c r="AD139" s="456"/>
      <c r="AE139" s="456"/>
      <c r="AF139" s="456"/>
      <c r="AG139" s="456"/>
      <c r="AH139" s="456"/>
      <c r="AI139" s="456"/>
      <c r="AJ139" s="456"/>
      <c r="AK139" s="3"/>
      <c r="AL139" s="3"/>
      <c r="AM139" s="3"/>
      <c r="AN139" s="3"/>
      <c r="AO139" s="3"/>
      <c r="AP139" s="3"/>
      <c r="AQ139" s="3"/>
      <c r="AR139" s="3"/>
      <c r="AS139" s="3"/>
      <c r="AT139" s="3"/>
      <c r="AU139" s="3"/>
      <c r="AV139" s="3"/>
      <c r="AW139" s="3"/>
      <c r="AX139" s="3"/>
      <c r="AY139" s="3"/>
    </row>
    <row r="140" spans="1:51" ht="12.95" customHeight="1">
      <c r="A140" s="3"/>
      <c r="B140" s="119"/>
      <c r="C140" s="456"/>
      <c r="D140" s="456"/>
      <c r="E140" s="456"/>
      <c r="F140" s="456"/>
      <c r="G140" s="456"/>
      <c r="H140" s="456"/>
      <c r="I140" s="456"/>
      <c r="J140" s="456"/>
      <c r="K140" s="456"/>
      <c r="L140" s="456"/>
      <c r="M140" s="456"/>
      <c r="N140" s="456"/>
      <c r="O140" s="456"/>
      <c r="P140" s="456"/>
      <c r="Q140" s="456"/>
      <c r="R140" s="456"/>
      <c r="S140" s="456"/>
      <c r="T140" s="456"/>
      <c r="U140" s="456"/>
      <c r="V140" s="456"/>
      <c r="W140" s="456"/>
      <c r="X140" s="456"/>
      <c r="Y140" s="456"/>
      <c r="Z140" s="456"/>
      <c r="AA140" s="456"/>
      <c r="AB140" s="456"/>
      <c r="AC140" s="456"/>
      <c r="AD140" s="456"/>
      <c r="AE140" s="456"/>
      <c r="AF140" s="456"/>
      <c r="AG140" s="456"/>
      <c r="AH140" s="456"/>
      <c r="AI140" s="456"/>
      <c r="AJ140" s="456"/>
      <c r="AK140" s="3"/>
      <c r="AL140" s="3"/>
      <c r="AM140" s="3"/>
      <c r="AN140" s="3"/>
      <c r="AO140" s="3"/>
      <c r="AP140" s="3"/>
      <c r="AQ140" s="3"/>
      <c r="AR140" s="3"/>
      <c r="AS140" s="3"/>
      <c r="AT140" s="3"/>
      <c r="AU140" s="3"/>
      <c r="AV140" s="3"/>
      <c r="AW140" s="3"/>
      <c r="AX140" s="3"/>
      <c r="AY140" s="3"/>
    </row>
    <row r="141" spans="1:51" ht="12.95" customHeight="1">
      <c r="A141" s="3"/>
      <c r="B141" s="119"/>
      <c r="C141" s="456"/>
      <c r="D141" s="456"/>
      <c r="E141" s="456"/>
      <c r="F141" s="456"/>
      <c r="G141" s="456"/>
      <c r="H141" s="456"/>
      <c r="I141" s="456"/>
      <c r="J141" s="456"/>
      <c r="K141" s="456"/>
      <c r="L141" s="456"/>
      <c r="M141" s="456"/>
      <c r="N141" s="456"/>
      <c r="O141" s="456"/>
      <c r="P141" s="456"/>
      <c r="Q141" s="456"/>
      <c r="R141" s="456"/>
      <c r="S141" s="456"/>
      <c r="T141" s="456"/>
      <c r="U141" s="456"/>
      <c r="V141" s="456"/>
      <c r="W141" s="456"/>
      <c r="X141" s="456"/>
      <c r="Y141" s="456"/>
      <c r="Z141" s="456"/>
      <c r="AA141" s="456"/>
      <c r="AB141" s="456"/>
      <c r="AC141" s="456"/>
      <c r="AD141" s="456"/>
      <c r="AE141" s="456"/>
      <c r="AF141" s="456"/>
      <c r="AG141" s="456"/>
      <c r="AH141" s="456"/>
      <c r="AI141" s="456"/>
      <c r="AJ141" s="456"/>
      <c r="AK141" s="3"/>
      <c r="AL141" s="3"/>
      <c r="AM141" s="3"/>
      <c r="AN141" s="3"/>
      <c r="AO141" s="3"/>
      <c r="AP141" s="3"/>
      <c r="AQ141" s="3"/>
      <c r="AR141" s="3"/>
      <c r="AS141" s="3"/>
      <c r="AT141" s="3"/>
      <c r="AU141" s="3"/>
      <c r="AV141" s="3"/>
      <c r="AW141" s="3"/>
      <c r="AX141" s="3"/>
      <c r="AY141" s="3"/>
    </row>
    <row r="142" spans="1:51" ht="12.95" customHeight="1">
      <c r="A142" s="3"/>
      <c r="B142" s="119"/>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c r="AG142" s="442"/>
      <c r="AH142" s="442"/>
      <c r="AI142" s="442"/>
      <c r="AJ142" s="442"/>
      <c r="AK142" s="3"/>
      <c r="AL142" s="3"/>
      <c r="AM142" s="3"/>
      <c r="AN142" s="3"/>
      <c r="AO142" s="3"/>
      <c r="AP142" s="3"/>
      <c r="AQ142" s="3"/>
      <c r="AR142" s="3"/>
      <c r="AS142" s="3"/>
      <c r="AT142" s="3"/>
      <c r="AU142" s="3"/>
      <c r="AV142" s="3"/>
      <c r="AW142" s="3"/>
      <c r="AX142" s="3"/>
      <c r="AY142" s="3"/>
    </row>
    <row r="143" spans="1:51" ht="12.95" customHeight="1">
      <c r="A143" s="3"/>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c r="AG143" s="442"/>
      <c r="AH143" s="442"/>
      <c r="AI143" s="442"/>
      <c r="AJ143" s="442"/>
      <c r="AK143" s="3"/>
      <c r="AL143" s="3"/>
      <c r="AM143" s="3"/>
      <c r="AN143" s="3"/>
      <c r="AO143" s="3"/>
      <c r="AP143" s="3"/>
      <c r="AQ143" s="3"/>
      <c r="AR143" s="3"/>
      <c r="AS143" s="3"/>
      <c r="AT143" s="3"/>
      <c r="AU143" s="3"/>
      <c r="AV143" s="3"/>
      <c r="AW143" s="3"/>
      <c r="AX143" s="3"/>
      <c r="AY143" s="3"/>
    </row>
    <row r="144" spans="1:51" ht="12.95" customHeight="1">
      <c r="A144" s="3"/>
      <c r="B144" s="520"/>
      <c r="C144" s="442"/>
      <c r="D144" s="442"/>
      <c r="E144" s="442"/>
      <c r="F144" s="442"/>
      <c r="G144" s="442"/>
      <c r="H144" s="442"/>
      <c r="I144" s="442"/>
      <c r="J144" s="442"/>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2"/>
      <c r="AJ144" s="442"/>
      <c r="AK144" s="3"/>
      <c r="AL144" s="3"/>
      <c r="AM144" s="3"/>
      <c r="AN144" s="3"/>
      <c r="AO144" s="3"/>
      <c r="AP144" s="3"/>
      <c r="AQ144" s="3"/>
      <c r="AR144" s="3"/>
      <c r="AS144" s="3"/>
      <c r="AT144" s="3"/>
      <c r="AU144" s="3"/>
      <c r="AV144" s="3"/>
      <c r="AW144" s="3"/>
      <c r="AX144" s="3"/>
      <c r="AY144" s="3"/>
    </row>
    <row r="145" spans="1:108" ht="12.95" customHeight="1">
      <c r="A145" s="3"/>
      <c r="B145" s="3"/>
      <c r="C145" s="442"/>
      <c r="D145" s="442"/>
      <c r="E145" s="442"/>
      <c r="F145" s="442"/>
      <c r="G145" s="442"/>
      <c r="H145" s="442"/>
      <c r="I145" s="442"/>
      <c r="J145" s="442"/>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2"/>
      <c r="AJ145" s="442"/>
      <c r="AK145" s="3"/>
      <c r="AL145" s="3"/>
      <c r="AM145" s="3"/>
      <c r="AN145" s="3"/>
      <c r="AO145" s="3"/>
      <c r="AP145" s="3"/>
      <c r="AQ145" s="3"/>
      <c r="AR145" s="3"/>
      <c r="AS145" s="3"/>
      <c r="AT145" s="3"/>
      <c r="AU145" s="3"/>
      <c r="AV145" s="3"/>
      <c r="AW145" s="3"/>
      <c r="AX145" s="3"/>
      <c r="AY145" s="3"/>
    </row>
    <row r="146" spans="1:108" ht="12.95" customHeight="1">
      <c r="A146" s="3"/>
      <c r="D146" s="442"/>
      <c r="E146" s="442"/>
      <c r="F146" s="442"/>
      <c r="G146" s="442"/>
      <c r="H146" s="442"/>
      <c r="I146" s="442"/>
      <c r="J146" s="442"/>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2"/>
      <c r="AJ146" s="442"/>
      <c r="AK146" s="3"/>
      <c r="AL146" s="3"/>
      <c r="AM146" s="3"/>
      <c r="AN146" s="3"/>
      <c r="AO146" s="3"/>
      <c r="AP146" s="3"/>
      <c r="AQ146" s="3"/>
      <c r="AR146" s="3"/>
      <c r="AS146" s="3"/>
      <c r="AT146" s="3"/>
      <c r="AU146" s="3"/>
      <c r="AV146" s="3"/>
      <c r="AW146" s="3"/>
      <c r="AX146" s="3"/>
      <c r="AY146" s="3"/>
    </row>
    <row r="147" spans="1:108" ht="12.95" customHeight="1">
      <c r="A147" s="3"/>
      <c r="B147" s="520"/>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BN147" s="3" t="s">
        <v>307</v>
      </c>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t="s">
        <v>591</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409"/>
      <c r="G150" s="1409"/>
      <c r="H150" s="1409"/>
      <c r="I150" s="1409"/>
      <c r="J150" s="1409"/>
      <c r="K150" s="1409"/>
      <c r="L150" s="1409"/>
      <c r="M150" s="1409"/>
      <c r="N150" s="1409"/>
      <c r="O150" s="1409"/>
      <c r="P150" s="1409"/>
      <c r="Q150" s="1409"/>
      <c r="R150" s="1409"/>
      <c r="S150" s="1409"/>
      <c r="T150" s="140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2469</v>
      </c>
    </row>
    <row r="152" spans="1:108" ht="12.95" customHeight="1">
      <c r="BM152">
        <v>4</v>
      </c>
      <c r="BN152" s="3" t="s">
        <v>2468</v>
      </c>
    </row>
    <row r="153" spans="1:108" ht="12.95" customHeight="1">
      <c r="D153" t="s">
        <v>645</v>
      </c>
      <c r="O153" s="1497" t="s">
        <v>2612</v>
      </c>
      <c r="P153" s="1517"/>
      <c r="Q153" s="1517"/>
      <c r="R153" s="1517"/>
      <c r="S153" s="1517"/>
      <c r="T153" s="1517"/>
      <c r="U153" s="1517"/>
      <c r="V153" s="1517"/>
      <c r="W153" s="1517"/>
      <c r="X153" s="1517"/>
      <c r="Y153" s="1517"/>
      <c r="Z153" s="1517"/>
      <c r="AA153" s="1517"/>
      <c r="AB153" s="1517"/>
      <c r="AC153" s="1517"/>
      <c r="AD153" s="1517"/>
      <c r="AE153" s="1517"/>
      <c r="AF153" s="1517"/>
      <c r="AG153" s="1517"/>
      <c r="AH153" s="1517"/>
      <c r="BM153">
        <v>5</v>
      </c>
      <c r="BN153" s="3" t="s">
        <v>2470</v>
      </c>
      <c r="CR153" s="31" t="s">
        <v>2603</v>
      </c>
      <c r="CS153" s="32"/>
      <c r="CT153" s="32"/>
      <c r="CU153" s="32"/>
      <c r="CV153" s="32"/>
      <c r="CW153" s="32"/>
      <c r="CX153" s="14"/>
      <c r="CY153" s="31" t="s">
        <v>2604</v>
      </c>
      <c r="CZ153" s="14"/>
      <c r="DA153" s="14"/>
      <c r="DB153" s="14"/>
      <c r="DC153" s="14"/>
      <c r="DD153" s="14"/>
    </row>
    <row r="154" spans="1:108" ht="12.95" customHeight="1">
      <c r="D154" s="304" t="s">
        <v>440</v>
      </c>
      <c r="O154" s="1499" t="s">
        <v>2672</v>
      </c>
      <c r="P154" s="1397"/>
      <c r="Q154" s="1397"/>
      <c r="R154" s="1397"/>
      <c r="S154" s="1397"/>
      <c r="T154" s="1397"/>
      <c r="U154" s="1397"/>
      <c r="V154" s="1397"/>
      <c r="W154" s="1397"/>
      <c r="X154" s="1397"/>
      <c r="Y154" s="1397"/>
      <c r="Z154" s="1397"/>
      <c r="AA154" s="1397"/>
      <c r="AB154" s="1397"/>
      <c r="AC154" s="1397"/>
      <c r="AD154" s="1397"/>
      <c r="AE154" s="1397"/>
      <c r="AF154" s="1397"/>
      <c r="AG154" s="1397"/>
      <c r="AH154" s="1397"/>
      <c r="BM154">
        <v>6</v>
      </c>
      <c r="BN154" s="3" t="s">
        <v>2471</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534" t="s">
        <v>2673</v>
      </c>
      <c r="P155" s="1535"/>
      <c r="Q155" s="1535"/>
      <c r="R155" s="1535"/>
      <c r="S155" s="1535"/>
      <c r="T155" s="1535"/>
      <c r="U155" s="1535"/>
      <c r="V155" s="1535"/>
      <c r="W155" s="1535"/>
      <c r="X155" s="1535"/>
      <c r="Y155" s="1535"/>
      <c r="Z155" s="1535"/>
      <c r="AA155" s="1535"/>
      <c r="AB155" s="1535"/>
      <c r="AC155" s="1535"/>
      <c r="AD155" s="1535"/>
      <c r="AE155" s="1535"/>
      <c r="AF155" s="1535"/>
      <c r="AG155" s="1535"/>
      <c r="AH155" s="1535"/>
      <c r="BM155">
        <v>7</v>
      </c>
      <c r="CR155" s="31"/>
      <c r="CS155" s="32"/>
      <c r="CT155" s="32"/>
      <c r="CU155" s="32"/>
      <c r="CV155" s="32"/>
      <c r="CW155" s="32"/>
      <c r="CX155" s="14"/>
      <c r="CY155" s="31"/>
      <c r="CZ155" s="14"/>
      <c r="DA155" s="14"/>
      <c r="DB155" s="14"/>
      <c r="DC155" s="14"/>
      <c r="DD155" s="14"/>
    </row>
    <row r="156" spans="1:108" ht="12.95" customHeight="1">
      <c r="D156" t="s">
        <v>313</v>
      </c>
      <c r="O156" s="1399" t="s">
        <v>2613</v>
      </c>
      <c r="P156" s="1399"/>
      <c r="Q156" s="1399"/>
      <c r="R156" s="1399"/>
      <c r="S156" s="1399"/>
      <c r="T156" s="1399"/>
      <c r="U156" s="1399"/>
      <c r="V156" s="1399"/>
      <c r="W156" s="1399"/>
      <c r="X156" s="1399"/>
      <c r="Y156" s="1399"/>
      <c r="Z156" s="1399"/>
      <c r="AA156" s="1399"/>
      <c r="AB156" s="1399"/>
      <c r="AC156" s="1399"/>
      <c r="AD156" s="1399"/>
      <c r="AE156" s="1399"/>
      <c r="AF156" s="1399"/>
      <c r="AG156" s="1399"/>
      <c r="AH156" s="1399"/>
      <c r="BT156" t="s">
        <v>307</v>
      </c>
      <c r="CB156" s="195" t="s">
        <v>2226</v>
      </c>
      <c r="CC156" s="196"/>
      <c r="CD156" s="196"/>
      <c r="CE156" s="196"/>
      <c r="CF156" s="196"/>
      <c r="CG156" s="196"/>
      <c r="CH156" s="196"/>
      <c r="CI156" s="3"/>
      <c r="CJ156" s="195" t="s">
        <v>2227</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97" t="s">
        <v>2614</v>
      </c>
      <c r="P157" s="1517"/>
      <c r="Q157" s="1517"/>
      <c r="R157" s="1517"/>
      <c r="S157" s="1517"/>
      <c r="T157" s="1517"/>
      <c r="U157" s="1517"/>
      <c r="V157" s="1517"/>
      <c r="W157" s="1517"/>
      <c r="X157" s="1517"/>
      <c r="Y157" s="8"/>
      <c r="Z157" s="8"/>
      <c r="AA157" s="8"/>
      <c r="AB157" s="8"/>
      <c r="AC157" s="8"/>
      <c r="AD157" s="8"/>
      <c r="AE157" s="8"/>
      <c r="AF157" s="8"/>
      <c r="BN157" s="23" t="s">
        <v>636</v>
      </c>
      <c r="BS157">
        <v>2</v>
      </c>
      <c r="BT157" t="s">
        <v>476</v>
      </c>
      <c r="CB157" s="287" t="s">
        <v>647</v>
      </c>
      <c r="CC157" s="196"/>
      <c r="CD157" s="196"/>
      <c r="CE157" s="196"/>
      <c r="CF157" s="196"/>
      <c r="CG157" s="196"/>
      <c r="CH157" s="196"/>
      <c r="CI157" s="3"/>
      <c r="CJ157" s="287" t="s">
        <v>1933</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554">
        <v>95112</v>
      </c>
      <c r="P158" s="1554"/>
      <c r="Q158" s="1554"/>
      <c r="R158" s="1554"/>
      <c r="S158" s="9"/>
      <c r="T158" s="9"/>
      <c r="U158" s="9"/>
      <c r="V158" s="9"/>
      <c r="W158" s="9"/>
      <c r="X158" s="9"/>
      <c r="Y158" s="9"/>
      <c r="Z158" s="9"/>
      <c r="AA158" s="9"/>
      <c r="AB158" s="9"/>
      <c r="AC158" s="9"/>
      <c r="AD158" s="9"/>
      <c r="AE158" s="9"/>
      <c r="AF158" s="9"/>
      <c r="BN158" s="23" t="s">
        <v>637</v>
      </c>
      <c r="BS158">
        <v>7</v>
      </c>
      <c r="BT158" t="s">
        <v>477</v>
      </c>
      <c r="CB158" s="285"/>
      <c r="CC158" s="197"/>
      <c r="CD158" s="286"/>
      <c r="CE158" s="286"/>
      <c r="CF158" s="286"/>
      <c r="CG158" s="286"/>
      <c r="CH158" s="286"/>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548" t="s">
        <v>2674</v>
      </c>
      <c r="P159" s="1549"/>
      <c r="Q159" s="1549"/>
      <c r="R159" s="1549"/>
      <c r="S159" s="1549"/>
      <c r="T159" s="1549"/>
      <c r="V159" s="97" t="s">
        <v>271</v>
      </c>
      <c r="W159" s="1555"/>
      <c r="X159" s="1555"/>
      <c r="Y159" s="10"/>
      <c r="Z159" s="10"/>
      <c r="AA159" s="10"/>
      <c r="AB159" s="10"/>
      <c r="AC159" s="10"/>
      <c r="AD159" s="10"/>
      <c r="AE159" s="10"/>
      <c r="AF159" s="10"/>
      <c r="BN159" s="23" t="s">
        <v>339</v>
      </c>
      <c r="BS159">
        <v>7</v>
      </c>
      <c r="BT159" t="s">
        <v>478</v>
      </c>
      <c r="CB159" s="348" t="s">
        <v>648</v>
      </c>
      <c r="CC159" s="349" t="s">
        <v>324</v>
      </c>
      <c r="CD159" s="349" t="s">
        <v>325</v>
      </c>
      <c r="CE159" s="349" t="s">
        <v>163</v>
      </c>
      <c r="CF159" s="349" t="s">
        <v>164</v>
      </c>
      <c r="CG159" s="349" t="s">
        <v>165</v>
      </c>
      <c r="CH159" s="349" t="s">
        <v>30</v>
      </c>
      <c r="CI159" s="3"/>
      <c r="CJ159" s="349" t="s">
        <v>324</v>
      </c>
      <c r="CK159" s="349" t="s">
        <v>325</v>
      </c>
      <c r="CL159" s="349" t="s">
        <v>163</v>
      </c>
      <c r="CM159" s="349" t="s">
        <v>164</v>
      </c>
      <c r="CN159" s="349"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2.95" customHeight="1">
      <c r="D160" t="s">
        <v>317</v>
      </c>
      <c r="O160" s="1548" t="s">
        <v>2675</v>
      </c>
      <c r="P160" s="1549"/>
      <c r="Q160" s="1549"/>
      <c r="R160" s="1549"/>
      <c r="S160" s="1549"/>
      <c r="T160" s="1549"/>
      <c r="U160" s="10"/>
      <c r="V160" s="10"/>
      <c r="W160" s="10"/>
      <c r="X160" s="10"/>
      <c r="Y160" s="10"/>
      <c r="Z160" s="10"/>
      <c r="AA160" s="10"/>
      <c r="AB160" s="10"/>
      <c r="AC160" s="10"/>
      <c r="AD160" s="10"/>
      <c r="AE160" s="10"/>
      <c r="AF160" s="10"/>
      <c r="BN160" s="23" t="s">
        <v>660</v>
      </c>
      <c r="BS160">
        <v>6</v>
      </c>
      <c r="BT160" t="s">
        <v>479</v>
      </c>
      <c r="CB160" s="350" t="s">
        <v>476</v>
      </c>
      <c r="CC160" s="458">
        <v>2724</v>
      </c>
      <c r="CD160" s="459">
        <v>2920</v>
      </c>
      <c r="CE160" s="460">
        <v>3504</v>
      </c>
      <c r="CF160" s="459">
        <v>4048</v>
      </c>
      <c r="CG160" s="460">
        <v>4516</v>
      </c>
      <c r="CH160" s="461">
        <v>4982</v>
      </c>
      <c r="CI160" s="3"/>
      <c r="CJ160" s="862">
        <v>1825</v>
      </c>
      <c r="CK160" s="862">
        <v>2131</v>
      </c>
      <c r="CL160" s="862">
        <v>2590</v>
      </c>
      <c r="CM160" s="862">
        <v>3342</v>
      </c>
      <c r="CN160" s="862">
        <v>3954</v>
      </c>
      <c r="CR160" s="23" t="s">
        <v>636</v>
      </c>
      <c r="CS160" s="324">
        <v>473390</v>
      </c>
      <c r="CT160" s="324">
        <v>545814</v>
      </c>
      <c r="CU160" s="324">
        <v>658400</v>
      </c>
      <c r="CV160" s="324">
        <v>842752</v>
      </c>
      <c r="CW160" s="324">
        <v>938878</v>
      </c>
      <c r="CX160" s="14"/>
      <c r="CY160" s="23" t="s">
        <v>636</v>
      </c>
      <c r="CZ160" s="324">
        <v>473390</v>
      </c>
      <c r="DA160" s="324">
        <v>545814</v>
      </c>
      <c r="DB160" s="324">
        <v>658400</v>
      </c>
      <c r="DC160" s="324">
        <v>842752</v>
      </c>
      <c r="DD160" s="324">
        <v>938878</v>
      </c>
    </row>
    <row r="161" spans="1:108" ht="12.95" customHeight="1">
      <c r="D161" t="s">
        <v>318</v>
      </c>
      <c r="O161" s="1532" t="s">
        <v>2676</v>
      </c>
      <c r="P161" s="1532"/>
      <c r="Q161" s="1532"/>
      <c r="R161" s="1532"/>
      <c r="S161" s="1532"/>
      <c r="T161" s="1532"/>
      <c r="U161" s="1532"/>
      <c r="V161" s="1532"/>
      <c r="W161" s="1532"/>
      <c r="X161" s="1532"/>
      <c r="Y161" s="1532"/>
      <c r="Z161" s="1532"/>
      <c r="AA161" s="1532"/>
      <c r="AB161" s="1532"/>
      <c r="AC161" s="1532"/>
      <c r="AD161" s="1532"/>
      <c r="AE161" s="1532"/>
      <c r="AF161" s="1532"/>
      <c r="AG161" s="1532"/>
      <c r="AH161" s="1532"/>
      <c r="BJ161" t="s">
        <v>669</v>
      </c>
      <c r="BN161" s="23" t="s">
        <v>661</v>
      </c>
      <c r="BS161">
        <v>7</v>
      </c>
      <c r="BT161" t="s">
        <v>480</v>
      </c>
      <c r="CB161" s="351" t="s">
        <v>477</v>
      </c>
      <c r="CC161" s="462">
        <v>1850</v>
      </c>
      <c r="CD161" s="463">
        <v>1980</v>
      </c>
      <c r="CE161" s="462">
        <v>2376</v>
      </c>
      <c r="CF161" s="463">
        <v>2746</v>
      </c>
      <c r="CG161" s="463">
        <v>3064</v>
      </c>
      <c r="CH161" s="464">
        <v>3382</v>
      </c>
      <c r="CI161" s="3"/>
      <c r="CJ161" s="862">
        <v>911</v>
      </c>
      <c r="CK161" s="862">
        <v>1005</v>
      </c>
      <c r="CL161" s="862">
        <v>1321</v>
      </c>
      <c r="CM161" s="862">
        <v>1862</v>
      </c>
      <c r="CN161" s="862">
        <v>2168</v>
      </c>
      <c r="CR161" s="23" t="s">
        <v>637</v>
      </c>
      <c r="CS161" s="322">
        <v>352022</v>
      </c>
      <c r="CT161" s="322">
        <v>405878</v>
      </c>
      <c r="CU161" s="322">
        <v>489600</v>
      </c>
      <c r="CV161" s="322">
        <v>626688</v>
      </c>
      <c r="CW161" s="322">
        <v>698170</v>
      </c>
      <c r="CX161" s="14"/>
      <c r="CY161" s="23" t="s">
        <v>637</v>
      </c>
      <c r="CZ161" s="322">
        <v>352022</v>
      </c>
      <c r="DA161" s="322">
        <v>405878</v>
      </c>
      <c r="DB161" s="322">
        <v>489600</v>
      </c>
      <c r="DC161" s="322">
        <v>626688</v>
      </c>
      <c r="DD161" s="322">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1" t="s">
        <v>478</v>
      </c>
      <c r="CC162" s="465">
        <v>1764</v>
      </c>
      <c r="CD162" s="466">
        <v>1890</v>
      </c>
      <c r="CE162" s="465">
        <v>2270</v>
      </c>
      <c r="CF162" s="466">
        <v>2620</v>
      </c>
      <c r="CG162" s="466">
        <v>2924</v>
      </c>
      <c r="CH162" s="467">
        <v>3226</v>
      </c>
      <c r="CI162" s="3"/>
      <c r="CJ162" s="862">
        <v>1128</v>
      </c>
      <c r="CK162" s="862">
        <v>1135</v>
      </c>
      <c r="CL162" s="862">
        <v>1347</v>
      </c>
      <c r="CM162" s="862">
        <v>1898</v>
      </c>
      <c r="CN162" s="862">
        <v>2286</v>
      </c>
      <c r="CR162" s="23" t="s">
        <v>339</v>
      </c>
      <c r="CS162" s="324">
        <v>352022</v>
      </c>
      <c r="CT162" s="324">
        <v>405878</v>
      </c>
      <c r="CU162" s="324">
        <v>489600</v>
      </c>
      <c r="CV162" s="324">
        <v>626688</v>
      </c>
      <c r="CW162" s="324">
        <v>698170</v>
      </c>
      <c r="CX162" s="14"/>
      <c r="CY162" s="23" t="s">
        <v>339</v>
      </c>
      <c r="CZ162" s="324">
        <v>352022</v>
      </c>
      <c r="DA162" s="324">
        <v>405878</v>
      </c>
      <c r="DB162" s="324">
        <v>489600</v>
      </c>
      <c r="DC162" s="324">
        <v>626688</v>
      </c>
      <c r="DD162" s="324">
        <v>698170</v>
      </c>
    </row>
    <row r="163" spans="1:108" ht="12.95" customHeight="1">
      <c r="C163" s="27" t="s">
        <v>82</v>
      </c>
      <c r="D163" s="3" t="s">
        <v>2098</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1" t="s">
        <v>479</v>
      </c>
      <c r="CC163" s="465">
        <v>1586</v>
      </c>
      <c r="CD163" s="466">
        <v>1700</v>
      </c>
      <c r="CE163" s="465">
        <v>2042</v>
      </c>
      <c r="CF163" s="466">
        <v>2358</v>
      </c>
      <c r="CG163" s="466">
        <v>2630</v>
      </c>
      <c r="CH163" s="467">
        <v>2902</v>
      </c>
      <c r="CI163" s="3"/>
      <c r="CJ163" s="862">
        <v>1049</v>
      </c>
      <c r="CK163" s="862">
        <v>1091</v>
      </c>
      <c r="CL163" s="862">
        <v>1428</v>
      </c>
      <c r="CM163" s="862">
        <v>2012</v>
      </c>
      <c r="CN163" s="862">
        <v>2423</v>
      </c>
      <c r="CR163" s="23" t="s">
        <v>660</v>
      </c>
      <c r="CS163" s="322">
        <v>319236</v>
      </c>
      <c r="CT163" s="322">
        <v>368076</v>
      </c>
      <c r="CU163" s="322">
        <v>444000</v>
      </c>
      <c r="CV163" s="322">
        <v>568320</v>
      </c>
      <c r="CW163" s="322">
        <v>633144</v>
      </c>
      <c r="CX163" s="14"/>
      <c r="CY163" s="23" t="s">
        <v>660</v>
      </c>
      <c r="CZ163" s="322">
        <v>319236</v>
      </c>
      <c r="DA163" s="322">
        <v>368076</v>
      </c>
      <c r="DB163" s="322">
        <v>444000</v>
      </c>
      <c r="DC163" s="322">
        <v>568320</v>
      </c>
      <c r="DD163" s="322">
        <v>633144</v>
      </c>
    </row>
    <row r="164" spans="1:108" ht="12.95" customHeight="1">
      <c r="C164" s="27"/>
      <c r="D164" s="1545" t="s">
        <v>2218</v>
      </c>
      <c r="E164" s="1545"/>
      <c r="F164" s="1545"/>
      <c r="G164" s="1545"/>
      <c r="H164" s="1545"/>
      <c r="I164" s="1545"/>
      <c r="J164" s="1545"/>
      <c r="K164" s="1545"/>
      <c r="L164" s="1545"/>
      <c r="M164" s="1545"/>
      <c r="N164" s="1545"/>
      <c r="O164" s="1545"/>
      <c r="P164" s="1545"/>
      <c r="Q164" s="1545"/>
      <c r="R164" s="1545"/>
      <c r="S164" s="1545"/>
      <c r="T164" s="1545"/>
      <c r="U164" s="1545"/>
      <c r="V164" s="1545"/>
      <c r="W164" s="1545"/>
      <c r="X164" s="1545"/>
      <c r="Y164" s="1545"/>
      <c r="Z164" s="1545"/>
      <c r="AA164" s="1545"/>
      <c r="AB164" s="1545"/>
      <c r="AC164" s="1545"/>
      <c r="AD164" s="1545"/>
      <c r="AE164" s="1545"/>
      <c r="AF164" s="1545"/>
      <c r="AG164" s="1545"/>
      <c r="AH164" s="1545"/>
      <c r="BN164" s="23" t="s">
        <v>664</v>
      </c>
      <c r="BS164">
        <v>7</v>
      </c>
      <c r="BT164" t="s">
        <v>483</v>
      </c>
      <c r="CB164" s="351" t="s">
        <v>480</v>
      </c>
      <c r="CC164" s="465">
        <v>1656</v>
      </c>
      <c r="CD164" s="466">
        <v>1774</v>
      </c>
      <c r="CE164" s="465">
        <v>2130</v>
      </c>
      <c r="CF164" s="466">
        <v>2460</v>
      </c>
      <c r="CG164" s="466">
        <v>2744</v>
      </c>
      <c r="CH164" s="467">
        <v>3028</v>
      </c>
      <c r="CI164" s="3"/>
      <c r="CJ164" s="862">
        <v>1049</v>
      </c>
      <c r="CK164" s="862">
        <v>1055</v>
      </c>
      <c r="CL164" s="862">
        <v>1309</v>
      </c>
      <c r="CM164" s="862">
        <v>1845</v>
      </c>
      <c r="CN164" s="862">
        <v>2135</v>
      </c>
      <c r="CR164" s="23" t="s">
        <v>661</v>
      </c>
      <c r="CS164" s="324">
        <v>352022</v>
      </c>
      <c r="CT164" s="324">
        <v>405878</v>
      </c>
      <c r="CU164" s="324">
        <v>489600</v>
      </c>
      <c r="CV164" s="324">
        <v>626688</v>
      </c>
      <c r="CW164" s="324">
        <v>698170</v>
      </c>
      <c r="CX164" s="14"/>
      <c r="CY164" s="23" t="s">
        <v>661</v>
      </c>
      <c r="CZ164" s="324">
        <v>352022</v>
      </c>
      <c r="DA164" s="324">
        <v>405878</v>
      </c>
      <c r="DB164" s="324">
        <v>489600</v>
      </c>
      <c r="DC164" s="324">
        <v>626688</v>
      </c>
      <c r="DD164" s="324">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1" t="s">
        <v>481</v>
      </c>
      <c r="CC165" s="465">
        <v>1540</v>
      </c>
      <c r="CD165" s="466">
        <v>1650</v>
      </c>
      <c r="CE165" s="465">
        <v>1980</v>
      </c>
      <c r="CF165" s="466">
        <v>2286</v>
      </c>
      <c r="CG165" s="466">
        <v>2550</v>
      </c>
      <c r="CH165" s="467">
        <v>2812</v>
      </c>
      <c r="CI165" s="3"/>
      <c r="CJ165" s="862">
        <v>823</v>
      </c>
      <c r="CK165" s="862">
        <v>829</v>
      </c>
      <c r="CL165" s="862">
        <v>1089</v>
      </c>
      <c r="CM165" s="862">
        <v>1519</v>
      </c>
      <c r="CN165" s="862">
        <v>1525</v>
      </c>
      <c r="CR165" s="23" t="s">
        <v>662</v>
      </c>
      <c r="CS165" s="322">
        <v>352022</v>
      </c>
      <c r="CT165" s="322">
        <v>405878</v>
      </c>
      <c r="CU165" s="322">
        <v>489600</v>
      </c>
      <c r="CV165" s="322">
        <v>626688</v>
      </c>
      <c r="CW165" s="322">
        <v>698170</v>
      </c>
      <c r="CX165" s="14"/>
      <c r="CY165" s="23" t="s">
        <v>662</v>
      </c>
      <c r="CZ165" s="322">
        <v>352022</v>
      </c>
      <c r="DA165" s="322">
        <v>405878</v>
      </c>
      <c r="DB165" s="322">
        <v>489600</v>
      </c>
      <c r="DC165" s="322">
        <v>626688</v>
      </c>
      <c r="DD165" s="322">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1" t="s">
        <v>482</v>
      </c>
      <c r="CC166" s="465">
        <v>2724</v>
      </c>
      <c r="CD166" s="466">
        <v>2920</v>
      </c>
      <c r="CE166" s="465">
        <v>3504</v>
      </c>
      <c r="CF166" s="466">
        <v>4048</v>
      </c>
      <c r="CG166" s="466">
        <v>4516</v>
      </c>
      <c r="CH166" s="467">
        <v>4982</v>
      </c>
      <c r="CI166" s="3"/>
      <c r="CJ166" s="862">
        <v>1825</v>
      </c>
      <c r="CK166" s="862">
        <v>2131</v>
      </c>
      <c r="CL166" s="862">
        <v>2590</v>
      </c>
      <c r="CM166" s="862">
        <v>3342</v>
      </c>
      <c r="CN166" s="862">
        <v>3954</v>
      </c>
      <c r="CR166" s="23" t="s">
        <v>663</v>
      </c>
      <c r="CS166" s="324">
        <v>473390</v>
      </c>
      <c r="CT166" s="324">
        <v>545814</v>
      </c>
      <c r="CU166" s="324">
        <v>658400</v>
      </c>
      <c r="CV166" s="324">
        <v>842752</v>
      </c>
      <c r="CW166" s="324">
        <v>938878</v>
      </c>
      <c r="CX166" s="14"/>
      <c r="CY166" s="23" t="s">
        <v>663</v>
      </c>
      <c r="CZ166" s="324">
        <v>473390</v>
      </c>
      <c r="DA166" s="324">
        <v>545814</v>
      </c>
      <c r="DB166" s="324">
        <v>658400</v>
      </c>
      <c r="DC166" s="324">
        <v>842752</v>
      </c>
      <c r="DD166" s="324">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1" t="s">
        <v>483</v>
      </c>
      <c r="CC167" s="465">
        <v>1540</v>
      </c>
      <c r="CD167" s="466">
        <v>1650</v>
      </c>
      <c r="CE167" s="465">
        <v>1980</v>
      </c>
      <c r="CF167" s="466">
        <v>2286</v>
      </c>
      <c r="CG167" s="466">
        <v>2550</v>
      </c>
      <c r="CH167" s="467">
        <v>2812</v>
      </c>
      <c r="CI167" s="3"/>
      <c r="CJ167" s="862">
        <v>791</v>
      </c>
      <c r="CK167" s="862">
        <v>970</v>
      </c>
      <c r="CL167" s="862">
        <v>1147</v>
      </c>
      <c r="CM167" s="862">
        <v>1616</v>
      </c>
      <c r="CN167" s="862">
        <v>1946</v>
      </c>
      <c r="CR167" s="23" t="s">
        <v>664</v>
      </c>
      <c r="CS167" s="322">
        <v>352022</v>
      </c>
      <c r="CT167" s="322">
        <v>405878</v>
      </c>
      <c r="CU167" s="322">
        <v>489600</v>
      </c>
      <c r="CV167" s="322">
        <v>626688</v>
      </c>
      <c r="CW167" s="322">
        <v>698170</v>
      </c>
      <c r="CX167" s="14"/>
      <c r="CY167" s="23" t="s">
        <v>664</v>
      </c>
      <c r="CZ167" s="322">
        <v>352022</v>
      </c>
      <c r="DA167" s="322">
        <v>405878</v>
      </c>
      <c r="DB167" s="322">
        <v>489600</v>
      </c>
      <c r="DC167" s="322">
        <v>626688</v>
      </c>
      <c r="DD167" s="322">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1" t="s">
        <v>484</v>
      </c>
      <c r="CC168" s="465">
        <v>2064</v>
      </c>
      <c r="CD168" s="466">
        <v>2210</v>
      </c>
      <c r="CE168" s="465">
        <v>2652</v>
      </c>
      <c r="CF168" s="466">
        <v>3064</v>
      </c>
      <c r="CG168" s="466">
        <v>3420</v>
      </c>
      <c r="CH168" s="467">
        <v>3772</v>
      </c>
      <c r="CI168" s="3"/>
      <c r="CJ168" s="862">
        <v>1543</v>
      </c>
      <c r="CK168" s="862">
        <v>1666</v>
      </c>
      <c r="CL168" s="862">
        <v>2072</v>
      </c>
      <c r="CM168" s="862">
        <v>2884</v>
      </c>
      <c r="CN168" s="862">
        <v>3321</v>
      </c>
      <c r="CR168" s="23" t="s">
        <v>665</v>
      </c>
      <c r="CS168" s="324">
        <v>331890</v>
      </c>
      <c r="CT168" s="324">
        <v>382666</v>
      </c>
      <c r="CU168" s="324">
        <v>461600</v>
      </c>
      <c r="CV168" s="324">
        <v>590848</v>
      </c>
      <c r="CW168" s="324">
        <v>658242</v>
      </c>
      <c r="CX168" s="14"/>
      <c r="CY168" s="23" t="s">
        <v>665</v>
      </c>
      <c r="CZ168" s="324">
        <v>331890</v>
      </c>
      <c r="DA168" s="324">
        <v>382666</v>
      </c>
      <c r="DB168" s="324">
        <v>461600</v>
      </c>
      <c r="DC168" s="324">
        <v>590848</v>
      </c>
      <c r="DD168" s="324">
        <v>658242</v>
      </c>
    </row>
    <row r="169" spans="1:108" ht="12.95" customHeight="1">
      <c r="A169" s="1537" t="s">
        <v>539</v>
      </c>
      <c r="B169" s="1537"/>
      <c r="C169" s="1537"/>
      <c r="D169" s="1537"/>
      <c r="E169" s="1537"/>
      <c r="F169" s="1537"/>
      <c r="G169" s="1537"/>
      <c r="H169" s="1537"/>
      <c r="I169" s="1537"/>
      <c r="J169" s="1537"/>
      <c r="K169" s="1537"/>
      <c r="L169" s="1537"/>
      <c r="M169" s="1537"/>
      <c r="N169" s="1537"/>
      <c r="O169" s="1537"/>
      <c r="P169" s="1537"/>
      <c r="Q169" s="1537"/>
      <c r="R169" s="1537"/>
      <c r="S169" s="1537"/>
      <c r="T169" s="1537"/>
      <c r="U169" s="1537"/>
      <c r="V169" s="1537"/>
      <c r="W169" s="1537"/>
      <c r="X169" s="1537"/>
      <c r="Y169" s="1537"/>
      <c r="Z169" s="1537"/>
      <c r="AA169" s="1537"/>
      <c r="AB169" s="1537"/>
      <c r="AC169" s="1537"/>
      <c r="AD169" s="1537"/>
      <c r="AE169" s="1537"/>
      <c r="AF169" s="1537"/>
      <c r="AG169" s="1537"/>
      <c r="AH169" s="1537"/>
      <c r="AI169" s="1537"/>
      <c r="AJ169" s="1537"/>
      <c r="AK169" s="1537"/>
      <c r="AL169" s="1537"/>
      <c r="AM169" s="1537"/>
      <c r="AN169" s="1537"/>
      <c r="AO169" s="1537"/>
      <c r="AP169" s="1537"/>
      <c r="AQ169" s="1537"/>
      <c r="AR169" s="1537"/>
      <c r="AS169" s="1537"/>
      <c r="AT169" s="1537"/>
      <c r="AU169" s="95"/>
      <c r="AV169" s="95"/>
      <c r="AW169" s="95"/>
      <c r="AX169" s="95"/>
      <c r="AY169" s="95"/>
      <c r="BN169" s="23" t="s">
        <v>673</v>
      </c>
      <c r="BS169">
        <v>5</v>
      </c>
      <c r="BT169" t="s">
        <v>488</v>
      </c>
      <c r="CB169" s="351" t="s">
        <v>485</v>
      </c>
      <c r="CC169" s="465">
        <v>1540</v>
      </c>
      <c r="CD169" s="466">
        <v>1650</v>
      </c>
      <c r="CE169" s="465">
        <v>1980</v>
      </c>
      <c r="CF169" s="466">
        <v>2286</v>
      </c>
      <c r="CG169" s="466">
        <v>2550</v>
      </c>
      <c r="CH169" s="467">
        <v>2812</v>
      </c>
      <c r="CI169" s="3"/>
      <c r="CJ169" s="862">
        <v>1149</v>
      </c>
      <c r="CK169" s="862">
        <v>1157</v>
      </c>
      <c r="CL169" s="862">
        <v>1443</v>
      </c>
      <c r="CM169" s="862">
        <v>2033</v>
      </c>
      <c r="CN169" s="862">
        <v>2330</v>
      </c>
      <c r="CR169" s="23" t="s">
        <v>667</v>
      </c>
      <c r="CS169" s="322">
        <v>307732</v>
      </c>
      <c r="CT169" s="322">
        <v>354812</v>
      </c>
      <c r="CU169" s="322">
        <v>428000</v>
      </c>
      <c r="CV169" s="322">
        <v>547840</v>
      </c>
      <c r="CW169" s="322">
        <v>610328</v>
      </c>
      <c r="CX169" s="14"/>
      <c r="CY169" s="23" t="s">
        <v>667</v>
      </c>
      <c r="CZ169" s="322">
        <v>307732</v>
      </c>
      <c r="DA169" s="322">
        <v>354812</v>
      </c>
      <c r="DB169" s="322">
        <v>428000</v>
      </c>
      <c r="DC169" s="322">
        <v>547840</v>
      </c>
      <c r="DD169" s="322">
        <v>610328</v>
      </c>
    </row>
    <row r="170" spans="1:108" ht="12.95" customHeight="1">
      <c r="A170" s="1537"/>
      <c r="B170" s="1537"/>
      <c r="C170" s="1537"/>
      <c r="D170" s="1537"/>
      <c r="E170" s="1537"/>
      <c r="F170" s="1537"/>
      <c r="G170" s="1537"/>
      <c r="H170" s="1537"/>
      <c r="I170" s="1537"/>
      <c r="J170" s="1537"/>
      <c r="K170" s="1537"/>
      <c r="L170" s="1537"/>
      <c r="M170" s="1537"/>
      <c r="N170" s="1537"/>
      <c r="O170" s="1537"/>
      <c r="P170" s="1537"/>
      <c r="Q170" s="1537"/>
      <c r="R170" s="1537"/>
      <c r="S170" s="1537"/>
      <c r="T170" s="1537"/>
      <c r="U170" s="1537"/>
      <c r="V170" s="1537"/>
      <c r="W170" s="1537"/>
      <c r="X170" s="1537"/>
      <c r="Y170" s="1537"/>
      <c r="Z170" s="1537"/>
      <c r="AA170" s="1537"/>
      <c r="AB170" s="1537"/>
      <c r="AC170" s="1537"/>
      <c r="AD170" s="1537"/>
      <c r="AE170" s="1537"/>
      <c r="AF170" s="1537"/>
      <c r="AG170" s="1537"/>
      <c r="AH170" s="1537"/>
      <c r="AI170" s="1537"/>
      <c r="AJ170" s="1537"/>
      <c r="AK170" s="1537"/>
      <c r="AL170" s="1537"/>
      <c r="AM170" s="1537"/>
      <c r="AN170" s="1537"/>
      <c r="AO170" s="1537"/>
      <c r="AP170" s="1537"/>
      <c r="AQ170" s="1537"/>
      <c r="AR170" s="1537"/>
      <c r="AS170" s="1537"/>
      <c r="AT170" s="1537"/>
      <c r="AU170" s="95"/>
      <c r="AV170" s="95"/>
      <c r="AW170" s="95"/>
      <c r="AX170" s="95"/>
      <c r="AY170" s="95"/>
      <c r="BN170" s="23" t="s">
        <v>674</v>
      </c>
      <c r="BS170">
        <v>7</v>
      </c>
      <c r="BT170" t="s">
        <v>489</v>
      </c>
      <c r="CB170" s="351" t="s">
        <v>486</v>
      </c>
      <c r="CC170" s="465">
        <v>1540</v>
      </c>
      <c r="CD170" s="466">
        <v>1650</v>
      </c>
      <c r="CE170" s="465">
        <v>1980</v>
      </c>
      <c r="CF170" s="466">
        <v>2286</v>
      </c>
      <c r="CG170" s="466">
        <v>2550</v>
      </c>
      <c r="CH170" s="467">
        <v>2812</v>
      </c>
      <c r="CI170" s="3"/>
      <c r="CJ170" s="862">
        <v>771</v>
      </c>
      <c r="CK170" s="862">
        <v>866</v>
      </c>
      <c r="CL170" s="862">
        <v>1138</v>
      </c>
      <c r="CM170" s="862">
        <v>1484</v>
      </c>
      <c r="CN170" s="862">
        <v>1846</v>
      </c>
      <c r="CR170" s="23" t="s">
        <v>670</v>
      </c>
      <c r="CS170" s="324">
        <v>352022</v>
      </c>
      <c r="CT170" s="324">
        <v>405878</v>
      </c>
      <c r="CU170" s="324">
        <v>489600</v>
      </c>
      <c r="CV170" s="324">
        <v>626688</v>
      </c>
      <c r="CW170" s="324">
        <v>698170</v>
      </c>
      <c r="CX170" s="14"/>
      <c r="CY170" s="23" t="s">
        <v>670</v>
      </c>
      <c r="CZ170" s="324">
        <v>352022</v>
      </c>
      <c r="DA170" s="324">
        <v>405878</v>
      </c>
      <c r="DB170" s="324">
        <v>489600</v>
      </c>
      <c r="DC170" s="324">
        <v>626688</v>
      </c>
      <c r="DD170" s="324">
        <v>698170</v>
      </c>
    </row>
    <row r="171" spans="1:108" ht="12.95" customHeight="1">
      <c r="BN171" s="23" t="s">
        <v>211</v>
      </c>
      <c r="BS171">
        <v>5</v>
      </c>
      <c r="BT171" t="s">
        <v>490</v>
      </c>
      <c r="CB171" s="351" t="s">
        <v>487</v>
      </c>
      <c r="CC171" s="465">
        <v>1546</v>
      </c>
      <c r="CD171" s="466">
        <v>1656</v>
      </c>
      <c r="CE171" s="465">
        <v>1986</v>
      </c>
      <c r="CF171" s="466">
        <v>2296</v>
      </c>
      <c r="CG171" s="466">
        <v>2562</v>
      </c>
      <c r="CH171" s="467">
        <v>2826</v>
      </c>
      <c r="CI171" s="3"/>
      <c r="CJ171" s="862">
        <v>950</v>
      </c>
      <c r="CK171" s="862">
        <v>1032</v>
      </c>
      <c r="CL171" s="862">
        <v>1352</v>
      </c>
      <c r="CM171" s="862">
        <v>1905</v>
      </c>
      <c r="CN171" s="862">
        <v>2294</v>
      </c>
      <c r="CR171" s="23" t="s">
        <v>671</v>
      </c>
      <c r="CS171" s="322">
        <v>352022</v>
      </c>
      <c r="CT171" s="322">
        <v>405878</v>
      </c>
      <c r="CU171" s="322">
        <v>489600</v>
      </c>
      <c r="CV171" s="322">
        <v>626688</v>
      </c>
      <c r="CW171" s="322">
        <v>698170</v>
      </c>
      <c r="CX171" s="14"/>
      <c r="CY171" s="23" t="s">
        <v>671</v>
      </c>
      <c r="CZ171" s="322">
        <v>352022</v>
      </c>
      <c r="DA171" s="322">
        <v>405878</v>
      </c>
      <c r="DB171" s="322">
        <v>489600</v>
      </c>
      <c r="DC171" s="322">
        <v>626688</v>
      </c>
      <c r="DD171" s="322">
        <v>698170</v>
      </c>
    </row>
    <row r="172" spans="1:108" ht="12.95" customHeight="1">
      <c r="A172" s="2" t="s">
        <v>319</v>
      </c>
      <c r="C172" s="2" t="s">
        <v>320</v>
      </c>
      <c r="BN172" s="23" t="s">
        <v>213</v>
      </c>
      <c r="BS172">
        <v>5</v>
      </c>
      <c r="BT172" t="s">
        <v>491</v>
      </c>
      <c r="CB172" s="351" t="s">
        <v>488</v>
      </c>
      <c r="CC172" s="465">
        <v>1540</v>
      </c>
      <c r="CD172" s="466">
        <v>1650</v>
      </c>
      <c r="CE172" s="465">
        <v>1980</v>
      </c>
      <c r="CF172" s="466">
        <v>2286</v>
      </c>
      <c r="CG172" s="466">
        <v>2550</v>
      </c>
      <c r="CH172" s="467">
        <v>2812</v>
      </c>
      <c r="CI172" s="3"/>
      <c r="CJ172" s="862">
        <v>872</v>
      </c>
      <c r="CK172" s="862">
        <v>1001</v>
      </c>
      <c r="CL172" s="862">
        <v>1286</v>
      </c>
      <c r="CM172" s="862">
        <v>1771</v>
      </c>
      <c r="CN172" s="862">
        <v>2138</v>
      </c>
      <c r="CR172" s="23" t="s">
        <v>673</v>
      </c>
      <c r="CS172" s="324">
        <v>324988</v>
      </c>
      <c r="CT172" s="324">
        <v>374708</v>
      </c>
      <c r="CU172" s="324">
        <v>452000</v>
      </c>
      <c r="CV172" s="324">
        <v>578560</v>
      </c>
      <c r="CW172" s="324">
        <v>644552</v>
      </c>
      <c r="CX172" s="14"/>
      <c r="CY172" s="23" t="s">
        <v>673</v>
      </c>
      <c r="CZ172" s="324">
        <v>324988</v>
      </c>
      <c r="DA172" s="324">
        <v>374708</v>
      </c>
      <c r="DB172" s="324">
        <v>452000</v>
      </c>
      <c r="DC172" s="324">
        <v>578560</v>
      </c>
      <c r="DD172" s="324">
        <v>644552</v>
      </c>
    </row>
    <row r="173" spans="1:108" ht="12.95" customHeight="1">
      <c r="C173" s="24"/>
      <c r="D173" t="s">
        <v>321</v>
      </c>
      <c r="J173" s="1533" t="s">
        <v>371</v>
      </c>
      <c r="K173" s="1533"/>
      <c r="L173" s="1533"/>
      <c r="M173" s="1533"/>
      <c r="N173" s="1533"/>
      <c r="O173" s="1533"/>
      <c r="P173" s="1533"/>
      <c r="Q173" s="1533"/>
      <c r="R173" s="1533"/>
      <c r="S173" s="1533"/>
      <c r="U173" s="25"/>
      <c r="X173" s="25"/>
      <c r="BB173" s="3" t="s">
        <v>307</v>
      </c>
      <c r="BN173" s="23" t="s">
        <v>214</v>
      </c>
      <c r="BS173">
        <v>7</v>
      </c>
      <c r="BT173" t="s">
        <v>492</v>
      </c>
      <c r="CB173" s="351" t="s">
        <v>489</v>
      </c>
      <c r="CC173" s="465">
        <v>1540</v>
      </c>
      <c r="CD173" s="466">
        <v>1650</v>
      </c>
      <c r="CE173" s="465">
        <v>1980</v>
      </c>
      <c r="CF173" s="466">
        <v>2286</v>
      </c>
      <c r="CG173" s="466">
        <v>2550</v>
      </c>
      <c r="CH173" s="467">
        <v>2812</v>
      </c>
      <c r="CI173" s="3"/>
      <c r="CJ173" s="862">
        <v>924</v>
      </c>
      <c r="CK173" s="862">
        <v>1079</v>
      </c>
      <c r="CL173" s="862">
        <v>1363</v>
      </c>
      <c r="CM173" s="862">
        <v>1648</v>
      </c>
      <c r="CN173" s="862">
        <v>2237</v>
      </c>
      <c r="CR173" s="23" t="s">
        <v>674</v>
      </c>
      <c r="CS173" s="322">
        <v>352022</v>
      </c>
      <c r="CT173" s="322">
        <v>405878</v>
      </c>
      <c r="CU173" s="322">
        <v>489600</v>
      </c>
      <c r="CV173" s="322">
        <v>626688</v>
      </c>
      <c r="CW173" s="322">
        <v>698170</v>
      </c>
      <c r="CX173" s="14"/>
      <c r="CY173" s="23" t="s">
        <v>674</v>
      </c>
      <c r="CZ173" s="322">
        <v>352022</v>
      </c>
      <c r="DA173" s="322">
        <v>405878</v>
      </c>
      <c r="DB173" s="322">
        <v>489600</v>
      </c>
      <c r="DC173" s="322">
        <v>626688</v>
      </c>
      <c r="DD173" s="322">
        <v>698170</v>
      </c>
    </row>
    <row r="174" spans="1:108" ht="12.95" customHeight="1">
      <c r="C174" s="24"/>
      <c r="D174" s="3" t="s">
        <v>1202</v>
      </c>
      <c r="J174" s="1399" t="s">
        <v>2103</v>
      </c>
      <c r="K174" s="1399"/>
      <c r="L174" s="1399"/>
      <c r="M174" s="1399"/>
      <c r="N174" s="1399"/>
      <c r="O174" s="1399"/>
      <c r="P174" s="1399"/>
      <c r="Q174" s="1399"/>
      <c r="R174" s="1399"/>
      <c r="S174" s="1399"/>
      <c r="T174" s="1399"/>
      <c r="U174" s="1399"/>
      <c r="V174" s="1399"/>
      <c r="W174" s="1399"/>
      <c r="X174" s="1399"/>
      <c r="Y174" s="1399"/>
      <c r="Z174" s="1399"/>
      <c r="AA174" s="1399"/>
      <c r="AB174" s="1399"/>
      <c r="BB174" t="s">
        <v>1970</v>
      </c>
      <c r="BN174" s="23" t="s">
        <v>216</v>
      </c>
      <c r="BS174">
        <v>7</v>
      </c>
      <c r="BT174" t="s">
        <v>493</v>
      </c>
      <c r="CB174" s="351" t="s">
        <v>490</v>
      </c>
      <c r="CC174" s="465">
        <v>1540</v>
      </c>
      <c r="CD174" s="466">
        <v>1650</v>
      </c>
      <c r="CE174" s="465">
        <v>1980</v>
      </c>
      <c r="CF174" s="466">
        <v>2286</v>
      </c>
      <c r="CG174" s="466">
        <v>2550</v>
      </c>
      <c r="CH174" s="467">
        <v>2812</v>
      </c>
      <c r="CI174" s="3"/>
      <c r="CJ174" s="862">
        <v>960</v>
      </c>
      <c r="CK174" s="862">
        <v>967</v>
      </c>
      <c r="CL174" s="862">
        <v>1258</v>
      </c>
      <c r="CM174" s="862">
        <v>1773</v>
      </c>
      <c r="CN174" s="862">
        <v>2135</v>
      </c>
      <c r="CR174" s="23" t="s">
        <v>211</v>
      </c>
      <c r="CS174" s="324">
        <v>307732</v>
      </c>
      <c r="CT174" s="324">
        <v>354812</v>
      </c>
      <c r="CU174" s="324">
        <v>428000</v>
      </c>
      <c r="CV174" s="324">
        <v>547840</v>
      </c>
      <c r="CW174" s="324">
        <v>610328</v>
      </c>
      <c r="CX174" s="14"/>
      <c r="CY174" s="23" t="s">
        <v>211</v>
      </c>
      <c r="CZ174" s="324">
        <v>307732</v>
      </c>
      <c r="DA174" s="324">
        <v>354812</v>
      </c>
      <c r="DB174" s="324">
        <v>428000</v>
      </c>
      <c r="DC174" s="324">
        <v>547840</v>
      </c>
      <c r="DD174" s="324">
        <v>610328</v>
      </c>
    </row>
    <row r="175" spans="1:108" ht="12.95" customHeight="1">
      <c r="C175" s="8"/>
      <c r="D175" s="3" t="s">
        <v>322</v>
      </c>
      <c r="O175" s="27"/>
      <c r="U175" s="1418" t="s">
        <v>669</v>
      </c>
      <c r="V175" s="1418"/>
      <c r="BB175" t="s">
        <v>1938</v>
      </c>
      <c r="BN175" s="23" t="s">
        <v>217</v>
      </c>
      <c r="BS175">
        <v>1</v>
      </c>
      <c r="BT175" t="s">
        <v>494</v>
      </c>
      <c r="CB175" s="351" t="s">
        <v>491</v>
      </c>
      <c r="CC175" s="465">
        <v>1540</v>
      </c>
      <c r="CD175" s="466">
        <v>1650</v>
      </c>
      <c r="CE175" s="465">
        <v>1980</v>
      </c>
      <c r="CF175" s="466">
        <v>2286</v>
      </c>
      <c r="CG175" s="466">
        <v>2550</v>
      </c>
      <c r="CH175" s="467">
        <v>2812</v>
      </c>
      <c r="CI175" s="3"/>
      <c r="CJ175" s="862">
        <v>1080</v>
      </c>
      <c r="CK175" s="862">
        <v>1087</v>
      </c>
      <c r="CL175" s="862">
        <v>1371</v>
      </c>
      <c r="CM175" s="862">
        <v>1932</v>
      </c>
      <c r="CN175" s="862">
        <v>2310</v>
      </c>
      <c r="CR175" s="23" t="s">
        <v>213</v>
      </c>
      <c r="CS175" s="322">
        <v>307732</v>
      </c>
      <c r="CT175" s="322">
        <v>354812</v>
      </c>
      <c r="CU175" s="322">
        <v>428000</v>
      </c>
      <c r="CV175" s="322">
        <v>547840</v>
      </c>
      <c r="CW175" s="322">
        <v>610328</v>
      </c>
      <c r="CX175" s="14"/>
      <c r="CY175" s="23" t="s">
        <v>213</v>
      </c>
      <c r="CZ175" s="322">
        <v>307732</v>
      </c>
      <c r="DA175" s="322">
        <v>354812</v>
      </c>
      <c r="DB175" s="322">
        <v>428000</v>
      </c>
      <c r="DC175" s="322">
        <v>547840</v>
      </c>
      <c r="DD175" s="322">
        <v>610328</v>
      </c>
    </row>
    <row r="176" spans="1:108" ht="12.95" customHeight="1">
      <c r="C176" s="8"/>
      <c r="D176" s="26"/>
      <c r="E176" t="s">
        <v>304</v>
      </c>
      <c r="O176" s="27"/>
      <c r="P176" t="s">
        <v>2081</v>
      </c>
      <c r="T176" s="27" t="s">
        <v>305</v>
      </c>
      <c r="U176" s="1495"/>
      <c r="V176" s="1495"/>
      <c r="W176" s="1" t="s">
        <v>306</v>
      </c>
      <c r="X176" s="1564"/>
      <c r="Y176" s="1564"/>
      <c r="BB176" t="s">
        <v>1971</v>
      </c>
      <c r="BN176" s="23" t="s">
        <v>219</v>
      </c>
      <c r="BS176">
        <v>5</v>
      </c>
      <c r="BT176" t="s">
        <v>495</v>
      </c>
      <c r="CB176" s="351" t="s">
        <v>492</v>
      </c>
      <c r="CC176" s="465">
        <v>1540</v>
      </c>
      <c r="CD176" s="466">
        <v>1650</v>
      </c>
      <c r="CE176" s="465">
        <v>1980</v>
      </c>
      <c r="CF176" s="466">
        <v>2286</v>
      </c>
      <c r="CG176" s="466">
        <v>2550</v>
      </c>
      <c r="CH176" s="467">
        <v>2812</v>
      </c>
      <c r="CI176" s="3"/>
      <c r="CJ176" s="862">
        <v>928</v>
      </c>
      <c r="CK176" s="862">
        <v>964</v>
      </c>
      <c r="CL176" s="862">
        <v>1267</v>
      </c>
      <c r="CM176" s="862">
        <v>1785</v>
      </c>
      <c r="CN176" s="862">
        <v>2150</v>
      </c>
      <c r="CR176" s="23" t="s">
        <v>214</v>
      </c>
      <c r="CS176" s="324">
        <v>352022</v>
      </c>
      <c r="CT176" s="324">
        <v>405878</v>
      </c>
      <c r="CU176" s="324">
        <v>489600</v>
      </c>
      <c r="CV176" s="324">
        <v>626688</v>
      </c>
      <c r="CW176" s="324">
        <v>698170</v>
      </c>
      <c r="CX176" s="14"/>
      <c r="CY176" s="23" t="s">
        <v>214</v>
      </c>
      <c r="CZ176" s="324">
        <v>352022</v>
      </c>
      <c r="DA176" s="324">
        <v>405878</v>
      </c>
      <c r="DB176" s="324">
        <v>489600</v>
      </c>
      <c r="DC176" s="324">
        <v>626688</v>
      </c>
      <c r="DD176" s="324">
        <v>698170</v>
      </c>
    </row>
    <row r="177" spans="1:108" ht="12.95" customHeight="1">
      <c r="C177" s="24"/>
      <c r="D177" t="s">
        <v>249</v>
      </c>
      <c r="R177" s="1418" t="s">
        <v>669</v>
      </c>
      <c r="S177" s="1418"/>
      <c r="BB177" t="s">
        <v>2215</v>
      </c>
      <c r="BN177" s="23" t="s">
        <v>220</v>
      </c>
      <c r="BS177">
        <v>2</v>
      </c>
      <c r="BT177" t="s">
        <v>496</v>
      </c>
      <c r="CB177" s="351" t="s">
        <v>493</v>
      </c>
      <c r="CC177" s="465">
        <v>1540</v>
      </c>
      <c r="CD177" s="466">
        <v>1650</v>
      </c>
      <c r="CE177" s="465">
        <v>1980</v>
      </c>
      <c r="CF177" s="466">
        <v>2286</v>
      </c>
      <c r="CG177" s="466">
        <v>2550</v>
      </c>
      <c r="CH177" s="467">
        <v>2812</v>
      </c>
      <c r="CI177" s="3"/>
      <c r="CJ177" s="862">
        <v>760</v>
      </c>
      <c r="CK177" s="862">
        <v>853</v>
      </c>
      <c r="CL177" s="862">
        <v>1121</v>
      </c>
      <c r="CM177" s="862">
        <v>1580</v>
      </c>
      <c r="CN177" s="862">
        <v>1789</v>
      </c>
      <c r="CR177" s="23" t="s">
        <v>216</v>
      </c>
      <c r="CS177" s="322">
        <v>352022</v>
      </c>
      <c r="CT177" s="322">
        <v>405878</v>
      </c>
      <c r="CU177" s="322">
        <v>489600</v>
      </c>
      <c r="CV177" s="322">
        <v>626688</v>
      </c>
      <c r="CW177" s="322">
        <v>698170</v>
      </c>
      <c r="CX177" s="14"/>
      <c r="CY177" s="23" t="s">
        <v>216</v>
      </c>
      <c r="CZ177" s="322">
        <v>352022</v>
      </c>
      <c r="DA177" s="322">
        <v>405878</v>
      </c>
      <c r="DB177" s="322">
        <v>489600</v>
      </c>
      <c r="DC177" s="322">
        <v>626688</v>
      </c>
      <c r="DD177" s="322">
        <v>698170</v>
      </c>
    </row>
    <row r="178" spans="1:108" ht="12.95" customHeight="1">
      <c r="C178" s="24"/>
      <c r="D178" s="3" t="s">
        <v>1203</v>
      </c>
      <c r="AA178" t="s">
        <v>2081</v>
      </c>
      <c r="AE178" s="27" t="s">
        <v>305</v>
      </c>
      <c r="AF178" s="1563"/>
      <c r="AG178" s="1563"/>
      <c r="AH178" s="1" t="s">
        <v>306</v>
      </c>
      <c r="AI178" s="1518"/>
      <c r="AJ178" s="1518"/>
      <c r="AK178" s="1518"/>
      <c r="BB178" t="s">
        <v>2216</v>
      </c>
      <c r="BN178" s="23" t="s">
        <v>221</v>
      </c>
      <c r="BS178">
        <v>7</v>
      </c>
      <c r="BT178" t="s">
        <v>53</v>
      </c>
      <c r="CB178" s="351" t="s">
        <v>494</v>
      </c>
      <c r="CC178" s="465">
        <v>2426</v>
      </c>
      <c r="CD178" s="466">
        <v>2600</v>
      </c>
      <c r="CE178" s="465">
        <v>3120</v>
      </c>
      <c r="CF178" s="466">
        <v>3606</v>
      </c>
      <c r="CG178" s="466">
        <v>4022</v>
      </c>
      <c r="CH178" s="467">
        <v>4438</v>
      </c>
      <c r="CI178" s="3"/>
      <c r="CJ178" s="862">
        <v>1777</v>
      </c>
      <c r="CK178" s="862">
        <v>2006</v>
      </c>
      <c r="CL178" s="862">
        <v>2544</v>
      </c>
      <c r="CM178" s="862">
        <v>3263</v>
      </c>
      <c r="CN178" s="862">
        <v>3600</v>
      </c>
      <c r="CR178" s="23" t="s">
        <v>217</v>
      </c>
      <c r="CS178" s="324">
        <v>437727</v>
      </c>
      <c r="CT178" s="324">
        <v>504695</v>
      </c>
      <c r="CU178" s="324">
        <v>608800</v>
      </c>
      <c r="CV178" s="324">
        <v>779264</v>
      </c>
      <c r="CW178" s="324">
        <v>868149</v>
      </c>
      <c r="CX178" s="14"/>
      <c r="CY178" s="23" t="s">
        <v>217</v>
      </c>
      <c r="CZ178" s="324">
        <v>437727</v>
      </c>
      <c r="DA178" s="324">
        <v>504695</v>
      </c>
      <c r="DB178" s="324">
        <v>608800</v>
      </c>
      <c r="DC178" s="324">
        <v>779264</v>
      </c>
      <c r="DD178" s="324">
        <v>868149</v>
      </c>
    </row>
    <row r="179" spans="1:108" ht="12.95" customHeight="1">
      <c r="C179" s="24"/>
      <c r="BN179" s="23" t="s">
        <v>222</v>
      </c>
      <c r="BS179">
        <v>7</v>
      </c>
      <c r="BT179" t="s">
        <v>54</v>
      </c>
      <c r="CB179" s="351" t="s">
        <v>495</v>
      </c>
      <c r="CC179" s="465">
        <v>1540</v>
      </c>
      <c r="CD179" s="466">
        <v>1650</v>
      </c>
      <c r="CE179" s="465">
        <v>1980</v>
      </c>
      <c r="CF179" s="466">
        <v>2286</v>
      </c>
      <c r="CG179" s="466">
        <v>2550</v>
      </c>
      <c r="CH179" s="467">
        <v>2812</v>
      </c>
      <c r="CI179" s="3"/>
      <c r="CJ179" s="862">
        <v>1083</v>
      </c>
      <c r="CK179" s="862">
        <v>1090</v>
      </c>
      <c r="CL179" s="862">
        <v>1432</v>
      </c>
      <c r="CM179" s="862">
        <v>1998</v>
      </c>
      <c r="CN179" s="862">
        <v>2208</v>
      </c>
      <c r="CR179" s="23" t="s">
        <v>219</v>
      </c>
      <c r="CS179" s="322">
        <v>307732</v>
      </c>
      <c r="CT179" s="322">
        <v>354812</v>
      </c>
      <c r="CU179" s="322">
        <v>428000</v>
      </c>
      <c r="CV179" s="322">
        <v>547840</v>
      </c>
      <c r="CW179" s="322">
        <v>610328</v>
      </c>
      <c r="CX179" s="14"/>
      <c r="CY179" s="23" t="s">
        <v>219</v>
      </c>
      <c r="CZ179" s="322">
        <v>307732</v>
      </c>
      <c r="DA179" s="322">
        <v>354812</v>
      </c>
      <c r="DB179" s="322">
        <v>428000</v>
      </c>
      <c r="DC179" s="322">
        <v>547840</v>
      </c>
      <c r="DD179" s="322">
        <v>610328</v>
      </c>
    </row>
    <row r="180" spans="1:108" ht="12.95" customHeight="1">
      <c r="C180" s="24"/>
      <c r="D180" t="s">
        <v>2082</v>
      </c>
      <c r="X180" s="1418" t="s">
        <v>545</v>
      </c>
      <c r="Y180" s="1418"/>
      <c r="BN180" s="23" t="s">
        <v>224</v>
      </c>
      <c r="BS180">
        <v>5</v>
      </c>
      <c r="BT180" t="s">
        <v>55</v>
      </c>
      <c r="CB180" s="351" t="s">
        <v>496</v>
      </c>
      <c r="CC180" s="465">
        <v>3426</v>
      </c>
      <c r="CD180" s="466">
        <v>3672</v>
      </c>
      <c r="CE180" s="465">
        <v>4406</v>
      </c>
      <c r="CF180" s="466">
        <v>5090</v>
      </c>
      <c r="CG180" s="466">
        <v>5680</v>
      </c>
      <c r="CH180" s="467">
        <v>6266</v>
      </c>
      <c r="CI180" s="3"/>
      <c r="CJ180" s="862">
        <v>2292</v>
      </c>
      <c r="CK180" s="862">
        <v>2818</v>
      </c>
      <c r="CL180" s="862">
        <v>3359</v>
      </c>
      <c r="CM180" s="862">
        <v>4112</v>
      </c>
      <c r="CN180" s="862">
        <v>4473</v>
      </c>
      <c r="CR180" s="23" t="s">
        <v>220</v>
      </c>
      <c r="CS180" s="324">
        <v>384234</v>
      </c>
      <c r="CT180" s="324">
        <v>443018</v>
      </c>
      <c r="CU180" s="324">
        <v>534400</v>
      </c>
      <c r="CV180" s="324">
        <v>684032</v>
      </c>
      <c r="CW180" s="324">
        <v>762054</v>
      </c>
      <c r="CX180" s="14"/>
      <c r="CY180" s="23" t="s">
        <v>220</v>
      </c>
      <c r="CZ180" s="324">
        <v>384234</v>
      </c>
      <c r="DA180" s="324">
        <v>443018</v>
      </c>
      <c r="DB180" s="324">
        <v>534400</v>
      </c>
      <c r="DC180" s="324">
        <v>684032</v>
      </c>
      <c r="DD180" s="324">
        <v>762054</v>
      </c>
    </row>
    <row r="181" spans="1:108" ht="12.95" customHeight="1">
      <c r="C181" s="8"/>
      <c r="E181" s="4" t="s">
        <v>976</v>
      </c>
      <c r="BN181" s="23" t="s">
        <v>225</v>
      </c>
      <c r="BS181">
        <v>7</v>
      </c>
      <c r="BT181" t="s">
        <v>56</v>
      </c>
      <c r="CB181" s="351" t="s">
        <v>53</v>
      </c>
      <c r="CC181" s="465">
        <v>1540</v>
      </c>
      <c r="CD181" s="466">
        <v>1650</v>
      </c>
      <c r="CE181" s="465">
        <v>1980</v>
      </c>
      <c r="CF181" s="466">
        <v>2286</v>
      </c>
      <c r="CG181" s="466">
        <v>2550</v>
      </c>
      <c r="CH181" s="467">
        <v>2812</v>
      </c>
      <c r="CI181" s="3"/>
      <c r="CJ181" s="862">
        <v>891</v>
      </c>
      <c r="CK181" s="862">
        <v>1010</v>
      </c>
      <c r="CL181" s="862">
        <v>1218</v>
      </c>
      <c r="CM181" s="862">
        <v>1716</v>
      </c>
      <c r="CN181" s="862">
        <v>2067</v>
      </c>
      <c r="CR181" s="23" t="s">
        <v>221</v>
      </c>
      <c r="CS181" s="322">
        <v>352022</v>
      </c>
      <c r="CT181" s="322">
        <v>405878</v>
      </c>
      <c r="CU181" s="322">
        <v>489600</v>
      </c>
      <c r="CV181" s="322">
        <v>626688</v>
      </c>
      <c r="CW181" s="322">
        <v>698170</v>
      </c>
      <c r="CX181" s="14"/>
      <c r="CY181" s="23" t="s">
        <v>221</v>
      </c>
      <c r="CZ181" s="322">
        <v>352022</v>
      </c>
      <c r="DA181" s="322">
        <v>405878</v>
      </c>
      <c r="DB181" s="322">
        <v>489600</v>
      </c>
      <c r="DC181" s="322">
        <v>626688</v>
      </c>
      <c r="DD181" s="322">
        <v>698170</v>
      </c>
    </row>
    <row r="182" spans="1:108" ht="12.95" customHeight="1">
      <c r="C182" s="531"/>
      <c r="BN182" s="23" t="s">
        <v>226</v>
      </c>
      <c r="BS182">
        <v>7</v>
      </c>
      <c r="BT182" t="s">
        <v>60</v>
      </c>
      <c r="CB182" s="351" t="s">
        <v>54</v>
      </c>
      <c r="CC182" s="465">
        <v>1582</v>
      </c>
      <c r="CD182" s="466">
        <v>1696</v>
      </c>
      <c r="CE182" s="465">
        <v>2034</v>
      </c>
      <c r="CF182" s="466">
        <v>2350</v>
      </c>
      <c r="CG182" s="466">
        <v>2622</v>
      </c>
      <c r="CH182" s="467">
        <v>2892</v>
      </c>
      <c r="CI182" s="3"/>
      <c r="CJ182" s="862">
        <v>1119</v>
      </c>
      <c r="CK182" s="862">
        <v>1132</v>
      </c>
      <c r="CL182" s="862">
        <v>1488</v>
      </c>
      <c r="CM182" s="862">
        <v>2097</v>
      </c>
      <c r="CN182" s="862">
        <v>2525</v>
      </c>
      <c r="CR182" s="23" t="s">
        <v>222</v>
      </c>
      <c r="CS182" s="324">
        <v>352022</v>
      </c>
      <c r="CT182" s="324">
        <v>405878</v>
      </c>
      <c r="CU182" s="324">
        <v>489600</v>
      </c>
      <c r="CV182" s="324">
        <v>626688</v>
      </c>
      <c r="CW182" s="324">
        <v>698170</v>
      </c>
      <c r="CX182" s="14"/>
      <c r="CY182" s="23" t="s">
        <v>222</v>
      </c>
      <c r="CZ182" s="324">
        <v>352022</v>
      </c>
      <c r="DA182" s="324">
        <v>405878</v>
      </c>
      <c r="DB182" s="324">
        <v>489600</v>
      </c>
      <c r="DC182" s="324">
        <v>626688</v>
      </c>
      <c r="DD182" s="324">
        <v>698170</v>
      </c>
    </row>
    <row r="183" spans="1:108" ht="12.95" customHeight="1">
      <c r="A183" s="2" t="s">
        <v>576</v>
      </c>
      <c r="C183" s="2" t="s">
        <v>577</v>
      </c>
      <c r="BN183" s="23" t="s">
        <v>228</v>
      </c>
      <c r="BS183">
        <v>4</v>
      </c>
      <c r="BT183" t="s">
        <v>61</v>
      </c>
      <c r="CB183" s="351" t="s">
        <v>55</v>
      </c>
      <c r="CC183" s="465">
        <v>1540</v>
      </c>
      <c r="CD183" s="466">
        <v>1650</v>
      </c>
      <c r="CE183" s="465">
        <v>1980</v>
      </c>
      <c r="CF183" s="466">
        <v>2286</v>
      </c>
      <c r="CG183" s="466">
        <v>2550</v>
      </c>
      <c r="CH183" s="467">
        <v>2812</v>
      </c>
      <c r="CI183" s="3"/>
      <c r="CJ183" s="862">
        <v>994</v>
      </c>
      <c r="CK183" s="862">
        <v>1159</v>
      </c>
      <c r="CL183" s="862">
        <v>1420</v>
      </c>
      <c r="CM183" s="862">
        <v>1995</v>
      </c>
      <c r="CN183" s="862">
        <v>2410</v>
      </c>
      <c r="CR183" s="23" t="s">
        <v>224</v>
      </c>
      <c r="CS183" s="322">
        <v>307732</v>
      </c>
      <c r="CT183" s="322">
        <v>354812</v>
      </c>
      <c r="CU183" s="322">
        <v>428000</v>
      </c>
      <c r="CV183" s="322">
        <v>547840</v>
      </c>
      <c r="CW183" s="322">
        <v>610328</v>
      </c>
      <c r="CX183" s="14"/>
      <c r="CY183" s="23" t="s">
        <v>224</v>
      </c>
      <c r="CZ183" s="322">
        <v>307732</v>
      </c>
      <c r="DA183" s="322">
        <v>354812</v>
      </c>
      <c r="DB183" s="322">
        <v>428000</v>
      </c>
      <c r="DC183" s="322">
        <v>547840</v>
      </c>
      <c r="DD183" s="322">
        <v>610328</v>
      </c>
    </row>
    <row r="184" spans="1:108" ht="12.95" customHeight="1">
      <c r="C184" s="21"/>
      <c r="D184" t="s">
        <v>578</v>
      </c>
      <c r="I184" s="1489" t="str">
        <f>H18</f>
        <v>Fairways at San Antonio Court</v>
      </c>
      <c r="J184" s="1489"/>
      <c r="K184" s="1489"/>
      <c r="L184" s="1489"/>
      <c r="M184" s="1489"/>
      <c r="N184" s="1489"/>
      <c r="O184" s="1489"/>
      <c r="P184" s="1489"/>
      <c r="Q184" s="1489"/>
      <c r="R184" s="1489"/>
      <c r="S184" s="1489"/>
      <c r="T184" s="1489"/>
      <c r="U184" s="1489"/>
      <c r="V184" s="1489"/>
      <c r="W184" s="1489"/>
      <c r="X184" s="1489"/>
      <c r="Y184" s="1489"/>
      <c r="Z184" s="1489"/>
      <c r="AA184" s="1489"/>
      <c r="AB184" s="1489"/>
      <c r="AC184" s="1489"/>
      <c r="AD184" s="1489"/>
      <c r="AE184" s="1489"/>
      <c r="BC184" t="s">
        <v>587</v>
      </c>
      <c r="BN184" s="23" t="s">
        <v>230</v>
      </c>
      <c r="BS184">
        <v>4</v>
      </c>
      <c r="BT184" t="s">
        <v>62</v>
      </c>
      <c r="CB184" s="351" t="s">
        <v>56</v>
      </c>
      <c r="CC184" s="465">
        <v>1540</v>
      </c>
      <c r="CD184" s="466">
        <v>1650</v>
      </c>
      <c r="CE184" s="465">
        <v>1980</v>
      </c>
      <c r="CF184" s="466">
        <v>2286</v>
      </c>
      <c r="CG184" s="466">
        <v>2550</v>
      </c>
      <c r="CH184" s="467">
        <v>2812</v>
      </c>
      <c r="CI184" s="3"/>
      <c r="CJ184" s="862">
        <v>660</v>
      </c>
      <c r="CK184" s="862">
        <v>802</v>
      </c>
      <c r="CL184" s="862">
        <v>958</v>
      </c>
      <c r="CM184" s="862">
        <v>1158</v>
      </c>
      <c r="CN184" s="862">
        <v>1572</v>
      </c>
      <c r="CR184" s="23" t="s">
        <v>225</v>
      </c>
      <c r="CS184" s="324">
        <v>352022</v>
      </c>
      <c r="CT184" s="324">
        <v>405878</v>
      </c>
      <c r="CU184" s="324">
        <v>489600</v>
      </c>
      <c r="CV184" s="324">
        <v>626688</v>
      </c>
      <c r="CW184" s="324">
        <v>698170</v>
      </c>
      <c r="CX184" s="14"/>
      <c r="CY184" s="23" t="s">
        <v>225</v>
      </c>
      <c r="CZ184" s="324">
        <v>352022</v>
      </c>
      <c r="DA184" s="324">
        <v>405878</v>
      </c>
      <c r="DB184" s="324">
        <v>489600</v>
      </c>
      <c r="DC184" s="324">
        <v>626688</v>
      </c>
      <c r="DD184" s="324">
        <v>698170</v>
      </c>
    </row>
    <row r="185" spans="1:108" ht="12.95" customHeight="1">
      <c r="C185" s="21"/>
      <c r="D185" t="s">
        <v>579</v>
      </c>
      <c r="I185" s="1420" t="s">
        <v>2615</v>
      </c>
      <c r="J185" s="1420"/>
      <c r="K185" s="1420"/>
      <c r="L185" s="1420"/>
      <c r="M185" s="1420"/>
      <c r="N185" s="1420"/>
      <c r="O185" s="1420"/>
      <c r="P185" s="1420"/>
      <c r="Q185" s="1420"/>
      <c r="R185" s="1420"/>
      <c r="S185" s="1420"/>
      <c r="T185" s="1420"/>
      <c r="U185" s="1420"/>
      <c r="V185" s="1420"/>
      <c r="W185" s="1420"/>
      <c r="X185" s="1420"/>
      <c r="Y185" s="1420"/>
      <c r="Z185" s="1420"/>
      <c r="AA185" s="1420"/>
      <c r="AB185" s="1420"/>
      <c r="AC185" s="1420"/>
      <c r="AD185" s="1420"/>
      <c r="AE185" s="1420"/>
      <c r="BC185" t="s">
        <v>588</v>
      </c>
      <c r="BN185" s="23" t="s">
        <v>231</v>
      </c>
      <c r="BS185">
        <v>7</v>
      </c>
      <c r="BT185" t="s">
        <v>63</v>
      </c>
      <c r="CB185" s="351" t="s">
        <v>60</v>
      </c>
      <c r="CC185" s="465">
        <v>1634</v>
      </c>
      <c r="CD185" s="466">
        <v>1752</v>
      </c>
      <c r="CE185" s="465">
        <v>2102</v>
      </c>
      <c r="CF185" s="466">
        <v>2430</v>
      </c>
      <c r="CG185" s="466">
        <v>2710</v>
      </c>
      <c r="CH185" s="467">
        <v>2990</v>
      </c>
      <c r="CI185" s="3"/>
      <c r="CJ185" s="862">
        <v>1000</v>
      </c>
      <c r="CK185" s="862">
        <v>1292</v>
      </c>
      <c r="CL185" s="862">
        <v>1450</v>
      </c>
      <c r="CM185" s="862">
        <v>2043</v>
      </c>
      <c r="CN185" s="862">
        <v>2380</v>
      </c>
      <c r="CR185" s="23" t="s">
        <v>226</v>
      </c>
      <c r="CS185" s="322">
        <v>352022</v>
      </c>
      <c r="CT185" s="322">
        <v>405878</v>
      </c>
      <c r="CU185" s="322">
        <v>489600</v>
      </c>
      <c r="CV185" s="322">
        <v>626688</v>
      </c>
      <c r="CW185" s="322">
        <v>698170</v>
      </c>
      <c r="CX185" s="14"/>
      <c r="CY185" s="23" t="s">
        <v>226</v>
      </c>
      <c r="CZ185" s="322">
        <v>352022</v>
      </c>
      <c r="DA185" s="322">
        <v>405878</v>
      </c>
      <c r="DB185" s="322">
        <v>489600</v>
      </c>
      <c r="DC185" s="322">
        <v>626688</v>
      </c>
      <c r="DD185" s="322">
        <v>698170</v>
      </c>
    </row>
    <row r="186" spans="1:108" ht="12.95" customHeight="1">
      <c r="C186" s="21"/>
      <c r="E186" t="s">
        <v>168</v>
      </c>
      <c r="BN186" s="23" t="s">
        <v>232</v>
      </c>
      <c r="BS186">
        <v>4</v>
      </c>
      <c r="BT186" t="s">
        <v>64</v>
      </c>
      <c r="CB186" s="351" t="s">
        <v>61</v>
      </c>
      <c r="CC186" s="465">
        <v>2316</v>
      </c>
      <c r="CD186" s="466">
        <v>2482</v>
      </c>
      <c r="CE186" s="465">
        <v>2980</v>
      </c>
      <c r="CF186" s="466">
        <v>3442</v>
      </c>
      <c r="CG186" s="466">
        <v>3840</v>
      </c>
      <c r="CH186" s="467">
        <v>4236</v>
      </c>
      <c r="CI186" s="3"/>
      <c r="CJ186" s="862">
        <v>2340</v>
      </c>
      <c r="CK186" s="862">
        <v>2367</v>
      </c>
      <c r="CL186" s="862">
        <v>2879</v>
      </c>
      <c r="CM186" s="862">
        <v>3990</v>
      </c>
      <c r="CN186" s="862">
        <v>4400</v>
      </c>
      <c r="CR186" s="23" t="s">
        <v>228</v>
      </c>
      <c r="CS186" s="324">
        <v>404366</v>
      </c>
      <c r="CT186" s="324">
        <v>466230</v>
      </c>
      <c r="CU186" s="324">
        <v>562400</v>
      </c>
      <c r="CV186" s="324">
        <v>719872</v>
      </c>
      <c r="CW186" s="324">
        <v>801982</v>
      </c>
      <c r="CX186" s="14"/>
      <c r="CY186" s="23" t="s">
        <v>228</v>
      </c>
      <c r="CZ186" s="324">
        <v>404366</v>
      </c>
      <c r="DA186" s="324">
        <v>466230</v>
      </c>
      <c r="DB186" s="324">
        <v>562400</v>
      </c>
      <c r="DC186" s="324">
        <v>719872</v>
      </c>
      <c r="DD186" s="324">
        <v>801982</v>
      </c>
    </row>
    <row r="187" spans="1:108" ht="12.95" customHeight="1">
      <c r="C187" s="21"/>
      <c r="E187" s="1522"/>
      <c r="F187" s="1522"/>
      <c r="G187" s="1522"/>
      <c r="H187" s="1522"/>
      <c r="I187" s="1522"/>
      <c r="J187" s="1522"/>
      <c r="K187" s="1522"/>
      <c r="L187" s="1522"/>
      <c r="M187" s="1522"/>
      <c r="N187" s="1522"/>
      <c r="O187" s="1522"/>
      <c r="P187" s="1522"/>
      <c r="Q187" s="1522"/>
      <c r="R187" s="1522"/>
      <c r="S187" s="1522"/>
      <c r="T187" s="1522"/>
      <c r="U187" s="1522"/>
      <c r="V187" s="1522"/>
      <c r="W187" s="1522"/>
      <c r="X187" s="1522"/>
      <c r="Y187" s="1522"/>
      <c r="Z187" s="1522"/>
      <c r="AA187" s="1522"/>
      <c r="AB187" s="1522"/>
      <c r="AC187" s="1522"/>
      <c r="AD187" s="1522"/>
      <c r="AE187" s="1522"/>
      <c r="BN187" s="23" t="s">
        <v>233</v>
      </c>
      <c r="BS187">
        <v>6</v>
      </c>
      <c r="BT187" t="s">
        <v>65</v>
      </c>
      <c r="CB187" s="351" t="s">
        <v>62</v>
      </c>
      <c r="CC187" s="465">
        <v>2570</v>
      </c>
      <c r="CD187" s="466">
        <v>2752</v>
      </c>
      <c r="CE187" s="465">
        <v>3304</v>
      </c>
      <c r="CF187" s="466">
        <v>3816</v>
      </c>
      <c r="CG187" s="466">
        <v>4256</v>
      </c>
      <c r="CH187" s="467">
        <v>4698</v>
      </c>
      <c r="CI187" s="3"/>
      <c r="CJ187" s="862">
        <v>1819</v>
      </c>
      <c r="CK187" s="862">
        <v>2043</v>
      </c>
      <c r="CL187" s="862">
        <v>2684</v>
      </c>
      <c r="CM187" s="862">
        <v>3634</v>
      </c>
      <c r="CN187" s="862">
        <v>3915</v>
      </c>
      <c r="CR187" s="23" t="s">
        <v>230</v>
      </c>
      <c r="CS187" s="322">
        <v>384234</v>
      </c>
      <c r="CT187" s="322">
        <v>443018</v>
      </c>
      <c r="CU187" s="322">
        <v>534400</v>
      </c>
      <c r="CV187" s="322">
        <v>684032</v>
      </c>
      <c r="CW187" s="322">
        <v>762054</v>
      </c>
      <c r="CX187" s="14"/>
      <c r="CY187" s="23" t="s">
        <v>230</v>
      </c>
      <c r="CZ187" s="322">
        <v>384234</v>
      </c>
      <c r="DA187" s="322">
        <v>443018</v>
      </c>
      <c r="DB187" s="322">
        <v>534400</v>
      </c>
      <c r="DC187" s="322">
        <v>684032</v>
      </c>
      <c r="DD187" s="322">
        <v>762054</v>
      </c>
    </row>
    <row r="188" spans="1:108" ht="12.95" customHeight="1">
      <c r="C188" s="21"/>
      <c r="E188" s="1523"/>
      <c r="F188" s="1523"/>
      <c r="G188" s="1523"/>
      <c r="H188" s="1523"/>
      <c r="I188" s="1523"/>
      <c r="J188" s="1523"/>
      <c r="K188" s="1523"/>
      <c r="L188" s="1523"/>
      <c r="M188" s="1523"/>
      <c r="N188" s="1523"/>
      <c r="O188" s="1523"/>
      <c r="P188" s="1523"/>
      <c r="Q188" s="1523"/>
      <c r="R188" s="1523"/>
      <c r="S188" s="1523"/>
      <c r="T188" s="1523"/>
      <c r="U188" s="1523"/>
      <c r="V188" s="1523"/>
      <c r="W188" s="1523"/>
      <c r="X188" s="1523"/>
      <c r="Y188" s="1523"/>
      <c r="Z188" s="1523"/>
      <c r="AA188" s="1523"/>
      <c r="AB188" s="1523"/>
      <c r="AC188" s="1523"/>
      <c r="AD188" s="1523"/>
      <c r="AE188" s="1523"/>
      <c r="BN188" s="23" t="s">
        <v>235</v>
      </c>
      <c r="BS188">
        <v>7</v>
      </c>
      <c r="BT188" t="s">
        <v>66</v>
      </c>
      <c r="CB188" s="351" t="s">
        <v>63</v>
      </c>
      <c r="CC188" s="465">
        <v>1824</v>
      </c>
      <c r="CD188" s="466">
        <v>1954</v>
      </c>
      <c r="CE188" s="465">
        <v>2344</v>
      </c>
      <c r="CF188" s="466">
        <v>2710</v>
      </c>
      <c r="CG188" s="466">
        <v>3022</v>
      </c>
      <c r="CH188" s="467">
        <v>3336</v>
      </c>
      <c r="CI188" s="3"/>
      <c r="CJ188" s="862">
        <v>1209</v>
      </c>
      <c r="CK188" s="862">
        <v>1217</v>
      </c>
      <c r="CL188" s="862">
        <v>1596</v>
      </c>
      <c r="CM188" s="862">
        <v>2249</v>
      </c>
      <c r="CN188" s="862">
        <v>2708</v>
      </c>
      <c r="CR188" s="23" t="s">
        <v>231</v>
      </c>
      <c r="CS188" s="324">
        <v>352022</v>
      </c>
      <c r="CT188" s="324">
        <v>405878</v>
      </c>
      <c r="CU188" s="324">
        <v>489600</v>
      </c>
      <c r="CV188" s="324">
        <v>626688</v>
      </c>
      <c r="CW188" s="324">
        <v>698170</v>
      </c>
      <c r="CX188" s="14"/>
      <c r="CY188" s="23" t="s">
        <v>231</v>
      </c>
      <c r="CZ188" s="324">
        <v>352022</v>
      </c>
      <c r="DA188" s="324">
        <v>405878</v>
      </c>
      <c r="DB188" s="324">
        <v>489600</v>
      </c>
      <c r="DC188" s="324">
        <v>626688</v>
      </c>
      <c r="DD188" s="324">
        <v>698170</v>
      </c>
    </row>
    <row r="189" spans="1:108" ht="12.95" customHeight="1">
      <c r="C189" s="21"/>
      <c r="D189" t="s">
        <v>580</v>
      </c>
      <c r="I189" s="1497" t="s">
        <v>2614</v>
      </c>
      <c r="J189" s="1399"/>
      <c r="K189" s="1399"/>
      <c r="L189" s="1399"/>
      <c r="M189" s="1399"/>
      <c r="N189" s="1399"/>
      <c r="O189" s="1399"/>
      <c r="P189" s="1399"/>
      <c r="Q189" t="s">
        <v>582</v>
      </c>
      <c r="T189" s="1399" t="s">
        <v>192</v>
      </c>
      <c r="U189" s="1399"/>
      <c r="V189" s="1399"/>
      <c r="W189" s="1399"/>
      <c r="X189" s="1399"/>
      <c r="Y189" s="1399"/>
      <c r="Z189" s="1399"/>
      <c r="AA189" s="1399"/>
      <c r="AB189" s="1399"/>
      <c r="AC189" s="1399"/>
      <c r="AD189" s="1399"/>
      <c r="AE189" s="1399"/>
      <c r="BC189" t="s">
        <v>307</v>
      </c>
      <c r="BH189" s="3" t="s">
        <v>591</v>
      </c>
      <c r="BN189" s="23" t="s">
        <v>236</v>
      </c>
      <c r="BS189">
        <v>5</v>
      </c>
      <c r="BT189" t="s">
        <v>67</v>
      </c>
      <c r="CB189" s="351" t="s">
        <v>64</v>
      </c>
      <c r="CC189" s="465">
        <v>2762</v>
      </c>
      <c r="CD189" s="466">
        <v>2958</v>
      </c>
      <c r="CE189" s="465">
        <v>3552</v>
      </c>
      <c r="CF189" s="466">
        <v>4102</v>
      </c>
      <c r="CG189" s="466">
        <v>4576</v>
      </c>
      <c r="CH189" s="467">
        <v>5050</v>
      </c>
      <c r="CI189" s="34"/>
      <c r="CJ189" s="1042">
        <v>2200</v>
      </c>
      <c r="CK189" s="1042">
        <v>2344</v>
      </c>
      <c r="CL189" s="1042">
        <v>2783</v>
      </c>
      <c r="CM189" s="1042">
        <v>3769</v>
      </c>
      <c r="CN189" s="1042">
        <v>4467</v>
      </c>
      <c r="CR189" s="23" t="s">
        <v>232</v>
      </c>
      <c r="CS189" s="322">
        <v>396888</v>
      </c>
      <c r="CT189" s="322">
        <v>457608</v>
      </c>
      <c r="CU189" s="322">
        <v>552000</v>
      </c>
      <c r="CV189" s="322">
        <v>706560</v>
      </c>
      <c r="CW189" s="322">
        <v>787152</v>
      </c>
      <c r="CX189" s="14"/>
      <c r="CY189" s="23" t="s">
        <v>232</v>
      </c>
      <c r="CZ189" s="322">
        <v>396888</v>
      </c>
      <c r="DA189" s="322">
        <v>457608</v>
      </c>
      <c r="DB189" s="322">
        <v>552000</v>
      </c>
      <c r="DC189" s="322">
        <v>706560</v>
      </c>
      <c r="DD189" s="322">
        <v>787152</v>
      </c>
    </row>
    <row r="190" spans="1:108" ht="12.95" customHeight="1">
      <c r="C190" s="21"/>
      <c r="D190" t="s">
        <v>583</v>
      </c>
      <c r="I190" s="1420">
        <v>95116</v>
      </c>
      <c r="J190" s="1420"/>
      <c r="K190" s="1420"/>
      <c r="L190" s="1420"/>
      <c r="M190" s="1420"/>
      <c r="N190" s="1420"/>
      <c r="O190" t="s">
        <v>585</v>
      </c>
      <c r="T190" s="1552">
        <v>5036.0200000000004</v>
      </c>
      <c r="U190" s="1552"/>
      <c r="V190" s="1552"/>
      <c r="W190" s="1552"/>
      <c r="X190" s="1552"/>
      <c r="Y190" s="1552"/>
      <c r="Z190" s="1552"/>
      <c r="AA190" s="1552"/>
      <c r="AB190" s="1552"/>
      <c r="AC190" s="1552"/>
      <c r="AD190" s="1552"/>
      <c r="AE190" s="1552"/>
      <c r="BC190" t="s">
        <v>1041</v>
      </c>
      <c r="BH190" t="s">
        <v>1041</v>
      </c>
      <c r="BN190" s="23" t="s">
        <v>635</v>
      </c>
      <c r="BS190">
        <v>6</v>
      </c>
      <c r="BT190" t="s">
        <v>68</v>
      </c>
      <c r="CB190" s="351" t="s">
        <v>65</v>
      </c>
      <c r="CC190" s="465">
        <v>2064</v>
      </c>
      <c r="CD190" s="466">
        <v>2210</v>
      </c>
      <c r="CE190" s="465">
        <v>2652</v>
      </c>
      <c r="CF190" s="466">
        <v>3064</v>
      </c>
      <c r="CG190" s="466">
        <v>3420</v>
      </c>
      <c r="CH190" s="467">
        <v>3772</v>
      </c>
      <c r="CI190" s="34"/>
      <c r="CJ190" s="1042">
        <v>1543</v>
      </c>
      <c r="CK190" s="1042">
        <v>1666</v>
      </c>
      <c r="CL190" s="1042">
        <v>2072</v>
      </c>
      <c r="CM190" s="1042">
        <v>2884</v>
      </c>
      <c r="CN190" s="1042">
        <v>3321</v>
      </c>
      <c r="CR190" s="23" t="s">
        <v>233</v>
      </c>
      <c r="CS190" s="324">
        <v>331890</v>
      </c>
      <c r="CT190" s="324">
        <v>382666</v>
      </c>
      <c r="CU190" s="324">
        <v>461600</v>
      </c>
      <c r="CV190" s="324">
        <v>590848</v>
      </c>
      <c r="CW190" s="324">
        <v>658242</v>
      </c>
      <c r="CX190" s="14"/>
      <c r="CY190" s="23" t="s">
        <v>233</v>
      </c>
      <c r="CZ190" s="324">
        <v>331890</v>
      </c>
      <c r="DA190" s="324">
        <v>382666</v>
      </c>
      <c r="DB190" s="324">
        <v>461600</v>
      </c>
      <c r="DC190" s="324">
        <v>590848</v>
      </c>
      <c r="DD190" s="324">
        <v>658242</v>
      </c>
    </row>
    <row r="191" spans="1:108" ht="12.95" customHeight="1">
      <c r="C191" s="21"/>
      <c r="D191" t="s">
        <v>462</v>
      </c>
      <c r="N191" s="1522" t="s">
        <v>2616</v>
      </c>
      <c r="O191" s="1522"/>
      <c r="P191" s="1522"/>
      <c r="Q191" s="1522"/>
      <c r="R191" s="1522"/>
      <c r="S191" s="1522"/>
      <c r="T191" s="1522"/>
      <c r="U191" s="1522"/>
      <c r="V191" s="1522"/>
      <c r="W191" s="1522"/>
      <c r="X191" s="1522"/>
      <c r="Y191" s="1522"/>
      <c r="Z191" s="1522"/>
      <c r="AA191" s="1522"/>
      <c r="AB191" s="1522"/>
      <c r="AC191" s="1522"/>
      <c r="AD191" s="1522"/>
      <c r="AE191" s="1522"/>
      <c r="BC191" t="s">
        <v>1040</v>
      </c>
      <c r="BH191" t="s">
        <v>1040</v>
      </c>
      <c r="BN191" s="23" t="s">
        <v>688</v>
      </c>
      <c r="BS191">
        <v>4</v>
      </c>
      <c r="BT191" t="s">
        <v>727</v>
      </c>
      <c r="CB191" s="351" t="s">
        <v>66</v>
      </c>
      <c r="CC191" s="465">
        <v>1612</v>
      </c>
      <c r="CD191" s="466">
        <v>1726</v>
      </c>
      <c r="CE191" s="465">
        <v>2072</v>
      </c>
      <c r="CF191" s="466">
        <v>2394</v>
      </c>
      <c r="CG191" s="466">
        <v>2672</v>
      </c>
      <c r="CH191" s="467">
        <v>2948</v>
      </c>
      <c r="CI191" s="34"/>
      <c r="CJ191" s="1042">
        <v>803</v>
      </c>
      <c r="CK191" s="1042">
        <v>887</v>
      </c>
      <c r="CL191" s="1042">
        <v>1165</v>
      </c>
      <c r="CM191" s="1042">
        <v>1642</v>
      </c>
      <c r="CN191" s="1042">
        <v>1867</v>
      </c>
      <c r="CR191" s="23" t="s">
        <v>235</v>
      </c>
      <c r="CS191" s="322">
        <v>352022</v>
      </c>
      <c r="CT191" s="322">
        <v>405878</v>
      </c>
      <c r="CU191" s="322">
        <v>489600</v>
      </c>
      <c r="CV191" s="322">
        <v>626688</v>
      </c>
      <c r="CW191" s="322">
        <v>698170</v>
      </c>
      <c r="CX191" s="14"/>
      <c r="CY191" s="23" t="s">
        <v>235</v>
      </c>
      <c r="CZ191" s="322">
        <v>352022</v>
      </c>
      <c r="DA191" s="322">
        <v>405878</v>
      </c>
      <c r="DB191" s="322">
        <v>489600</v>
      </c>
      <c r="DC191" s="322">
        <v>626688</v>
      </c>
      <c r="DD191" s="322">
        <v>698170</v>
      </c>
    </row>
    <row r="192" spans="1:108" ht="12.95" customHeight="1">
      <c r="C192" s="21"/>
      <c r="M192" s="40"/>
      <c r="N192" s="1523"/>
      <c r="O192" s="1523"/>
      <c r="P192" s="1523"/>
      <c r="Q192" s="1523"/>
      <c r="R192" s="1523"/>
      <c r="S192" s="1523"/>
      <c r="T192" s="1523"/>
      <c r="U192" s="1523"/>
      <c r="V192" s="1523"/>
      <c r="W192" s="1523"/>
      <c r="X192" s="1523"/>
      <c r="Y192" s="1523"/>
      <c r="Z192" s="1523"/>
      <c r="AA192" s="1523"/>
      <c r="AB192" s="1523"/>
      <c r="AC192" s="1523"/>
      <c r="AD192" s="1523"/>
      <c r="AE192" s="1523"/>
      <c r="BC192" t="s">
        <v>1043</v>
      </c>
      <c r="BH192" s="3" t="s">
        <v>1364</v>
      </c>
      <c r="BN192" s="23" t="s">
        <v>689</v>
      </c>
      <c r="BS192">
        <v>5</v>
      </c>
      <c r="BT192" t="s">
        <v>728</v>
      </c>
      <c r="CB192" s="351" t="s">
        <v>67</v>
      </c>
      <c r="CC192" s="465">
        <v>1794</v>
      </c>
      <c r="CD192" s="466">
        <v>1922</v>
      </c>
      <c r="CE192" s="465">
        <v>2304</v>
      </c>
      <c r="CF192" s="466">
        <v>2664</v>
      </c>
      <c r="CG192" s="466">
        <v>2972</v>
      </c>
      <c r="CH192" s="467">
        <v>3280</v>
      </c>
      <c r="CI192" s="34"/>
      <c r="CJ192" s="1042">
        <v>1517</v>
      </c>
      <c r="CK192" s="1042">
        <v>1611</v>
      </c>
      <c r="CL192" s="1042">
        <v>2010</v>
      </c>
      <c r="CM192" s="1042">
        <v>2707</v>
      </c>
      <c r="CN192" s="1042">
        <v>3304</v>
      </c>
      <c r="CR192" s="23" t="s">
        <v>236</v>
      </c>
      <c r="CS192" s="324">
        <v>324988</v>
      </c>
      <c r="CT192" s="324">
        <v>374708</v>
      </c>
      <c r="CU192" s="324">
        <v>452000</v>
      </c>
      <c r="CV192" s="324">
        <v>578560</v>
      </c>
      <c r="CW192" s="324">
        <v>644552</v>
      </c>
      <c r="CX192" s="14"/>
      <c r="CY192" s="23" t="s">
        <v>236</v>
      </c>
      <c r="CZ192" s="324">
        <v>324988</v>
      </c>
      <c r="DA192" s="324">
        <v>374708</v>
      </c>
      <c r="DB192" s="324">
        <v>452000</v>
      </c>
      <c r="DC192" s="324">
        <v>578560</v>
      </c>
      <c r="DD192" s="324">
        <v>644552</v>
      </c>
    </row>
    <row r="193" spans="1:108" ht="12.95" customHeight="1">
      <c r="C193" s="21"/>
      <c r="D193" t="s">
        <v>2083</v>
      </c>
      <c r="M193" s="40"/>
      <c r="N193" s="895"/>
      <c r="O193" s="895"/>
      <c r="P193" s="895"/>
      <c r="Q193" s="895"/>
      <c r="R193" s="895"/>
      <c r="S193" s="895"/>
      <c r="T193" s="1556" t="s">
        <v>2215</v>
      </c>
      <c r="U193" s="1556"/>
      <c r="V193" s="1556"/>
      <c r="W193" s="1556"/>
      <c r="X193" s="1556"/>
      <c r="Y193" s="1556"/>
      <c r="Z193" s="1556"/>
      <c r="AA193" s="1556"/>
      <c r="AB193" s="1556"/>
      <c r="AC193" s="1556"/>
      <c r="AD193" s="1556"/>
      <c r="AE193" s="1556"/>
      <c r="AF193" s="1556"/>
      <c r="AG193" s="1556"/>
      <c r="AH193" s="1556"/>
      <c r="AI193" s="1556"/>
      <c r="BC193" t="s">
        <v>1042</v>
      </c>
      <c r="BH193" s="3" t="s">
        <v>1629</v>
      </c>
      <c r="BN193" s="23" t="s">
        <v>690</v>
      </c>
      <c r="BS193">
        <v>4</v>
      </c>
      <c r="BT193" t="s">
        <v>729</v>
      </c>
      <c r="CB193" s="351" t="s">
        <v>68</v>
      </c>
      <c r="CC193" s="465">
        <v>2064</v>
      </c>
      <c r="CD193" s="466">
        <v>2210</v>
      </c>
      <c r="CE193" s="465">
        <v>2652</v>
      </c>
      <c r="CF193" s="466">
        <v>3064</v>
      </c>
      <c r="CG193" s="466">
        <v>3420</v>
      </c>
      <c r="CH193" s="467">
        <v>3772</v>
      </c>
      <c r="CI193" s="34"/>
      <c r="CJ193" s="1042">
        <v>1543</v>
      </c>
      <c r="CK193" s="1042">
        <v>1666</v>
      </c>
      <c r="CL193" s="1042">
        <v>2072</v>
      </c>
      <c r="CM193" s="1042">
        <v>2884</v>
      </c>
      <c r="CN193" s="1042">
        <v>3321</v>
      </c>
      <c r="CR193" s="23" t="s">
        <v>635</v>
      </c>
      <c r="CS193" s="322">
        <v>331890</v>
      </c>
      <c r="CT193" s="322">
        <v>382666</v>
      </c>
      <c r="CU193" s="322">
        <v>461600</v>
      </c>
      <c r="CV193" s="322">
        <v>590848</v>
      </c>
      <c r="CW193" s="322">
        <v>658242</v>
      </c>
      <c r="CX193" s="14"/>
      <c r="CY193" s="23" t="s">
        <v>635</v>
      </c>
      <c r="CZ193" s="322">
        <v>331890</v>
      </c>
      <c r="DA193" s="322">
        <v>382666</v>
      </c>
      <c r="DB193" s="322">
        <v>461600</v>
      </c>
      <c r="DC193" s="322">
        <v>590848</v>
      </c>
      <c r="DD193" s="322">
        <v>658242</v>
      </c>
    </row>
    <row r="194" spans="1:108" ht="12.95" customHeight="1">
      <c r="C194" s="21"/>
      <c r="D194" s="3" t="s">
        <v>2217</v>
      </c>
      <c r="M194" s="40"/>
      <c r="N194" s="895"/>
      <c r="O194" s="895"/>
      <c r="P194" s="895"/>
      <c r="Q194" s="895"/>
      <c r="R194" s="895"/>
      <c r="S194" s="895"/>
      <c r="AH194" s="1418" t="s">
        <v>545</v>
      </c>
      <c r="AI194" s="1418"/>
      <c r="BC194" t="s">
        <v>1364</v>
      </c>
      <c r="BN194" s="23" t="s">
        <v>691</v>
      </c>
      <c r="BS194">
        <v>2</v>
      </c>
      <c r="BT194" t="s">
        <v>730</v>
      </c>
      <c r="CB194" s="351" t="s">
        <v>727</v>
      </c>
      <c r="CC194" s="465">
        <v>2142</v>
      </c>
      <c r="CD194" s="466">
        <v>2296</v>
      </c>
      <c r="CE194" s="465">
        <v>2754</v>
      </c>
      <c r="CF194" s="466">
        <v>3182</v>
      </c>
      <c r="CG194" s="466">
        <v>3550</v>
      </c>
      <c r="CH194" s="467">
        <v>3916</v>
      </c>
      <c r="CI194" s="34"/>
      <c r="CJ194" s="1042">
        <v>1707</v>
      </c>
      <c r="CK194" s="1042">
        <v>1917</v>
      </c>
      <c r="CL194" s="1042">
        <v>2519</v>
      </c>
      <c r="CM194" s="1042">
        <v>3550</v>
      </c>
      <c r="CN194" s="1042">
        <v>4121</v>
      </c>
      <c r="CR194" s="23" t="s">
        <v>688</v>
      </c>
      <c r="CS194" s="324">
        <v>352022</v>
      </c>
      <c r="CT194" s="324">
        <v>405878</v>
      </c>
      <c r="CU194" s="324">
        <v>489600</v>
      </c>
      <c r="CV194" s="324">
        <v>626688</v>
      </c>
      <c r="CW194" s="324">
        <v>698170</v>
      </c>
      <c r="CX194" s="14"/>
      <c r="CY194" s="23" t="s">
        <v>688</v>
      </c>
      <c r="CZ194" s="324">
        <v>352022</v>
      </c>
      <c r="DA194" s="324">
        <v>405878</v>
      </c>
      <c r="DB194" s="324">
        <v>489600</v>
      </c>
      <c r="DC194" s="324">
        <v>626688</v>
      </c>
      <c r="DD194" s="324">
        <v>698170</v>
      </c>
    </row>
    <row r="195" spans="1:108" ht="12.95" customHeight="1">
      <c r="C195" s="21"/>
      <c r="D195" t="s">
        <v>331</v>
      </c>
      <c r="T195" s="1418" t="s">
        <v>669</v>
      </c>
      <c r="U195" s="1418"/>
      <c r="W195" t="s">
        <v>684</v>
      </c>
      <c r="AH195" s="1418">
        <v>18</v>
      </c>
      <c r="AI195" s="1418"/>
      <c r="BC195" t="s">
        <v>1857</v>
      </c>
      <c r="BN195" s="23" t="s">
        <v>242</v>
      </c>
      <c r="BS195">
        <v>6</v>
      </c>
      <c r="BT195" t="s">
        <v>731</v>
      </c>
      <c r="CB195" s="351" t="s">
        <v>728</v>
      </c>
      <c r="CC195" s="465">
        <v>1794</v>
      </c>
      <c r="CD195" s="466">
        <v>1922</v>
      </c>
      <c r="CE195" s="465">
        <v>2304</v>
      </c>
      <c r="CF195" s="466">
        <v>2664</v>
      </c>
      <c r="CG195" s="466">
        <v>2972</v>
      </c>
      <c r="CH195" s="467">
        <v>3280</v>
      </c>
      <c r="CI195" s="34"/>
      <c r="CJ195" s="1042">
        <v>1517</v>
      </c>
      <c r="CK195" s="1042">
        <v>1611</v>
      </c>
      <c r="CL195" s="1042">
        <v>2010</v>
      </c>
      <c r="CM195" s="1042">
        <v>2707</v>
      </c>
      <c r="CN195" s="1042">
        <v>3304</v>
      </c>
      <c r="CR195" s="23" t="s">
        <v>689</v>
      </c>
      <c r="CS195" s="322">
        <v>324988</v>
      </c>
      <c r="CT195" s="322">
        <v>374708</v>
      </c>
      <c r="CU195" s="322">
        <v>452000</v>
      </c>
      <c r="CV195" s="322">
        <v>578560</v>
      </c>
      <c r="CW195" s="322">
        <v>644552</v>
      </c>
      <c r="CX195" s="14"/>
      <c r="CY195" s="23" t="s">
        <v>689</v>
      </c>
      <c r="CZ195" s="322">
        <v>324988</v>
      </c>
      <c r="DA195" s="322">
        <v>374708</v>
      </c>
      <c r="DB195" s="322">
        <v>452000</v>
      </c>
      <c r="DC195" s="322">
        <v>578560</v>
      </c>
      <c r="DD195" s="322">
        <v>644552</v>
      </c>
    </row>
    <row r="196" spans="1:108" ht="12.95" customHeight="1">
      <c r="C196" s="21"/>
      <c r="D196" t="s">
        <v>386</v>
      </c>
      <c r="T196" s="1400" t="s">
        <v>545</v>
      </c>
      <c r="U196" s="1400"/>
      <c r="W196" t="s">
        <v>685</v>
      </c>
      <c r="AH196" s="1418">
        <v>25</v>
      </c>
      <c r="AI196" s="1418"/>
      <c r="BN196" s="23" t="s">
        <v>243</v>
      </c>
      <c r="BS196">
        <v>4</v>
      </c>
      <c r="BT196" t="s">
        <v>69</v>
      </c>
      <c r="CB196" s="351" t="s">
        <v>729</v>
      </c>
      <c r="CC196" s="465">
        <v>2652</v>
      </c>
      <c r="CD196" s="466">
        <v>2840</v>
      </c>
      <c r="CE196" s="465">
        <v>3410</v>
      </c>
      <c r="CF196" s="466">
        <v>3940</v>
      </c>
      <c r="CG196" s="466">
        <v>4394</v>
      </c>
      <c r="CH196" s="467">
        <v>4848</v>
      </c>
      <c r="CI196" s="34"/>
      <c r="CJ196" s="1042">
        <v>2062</v>
      </c>
      <c r="CK196" s="1042">
        <v>2248</v>
      </c>
      <c r="CL196" s="1042">
        <v>2833</v>
      </c>
      <c r="CM196" s="1042">
        <v>3819</v>
      </c>
      <c r="CN196" s="1042">
        <v>4638</v>
      </c>
      <c r="CR196" s="23" t="s">
        <v>690</v>
      </c>
      <c r="CS196" s="324">
        <v>353173</v>
      </c>
      <c r="CT196" s="324">
        <v>407205</v>
      </c>
      <c r="CU196" s="324">
        <v>491200</v>
      </c>
      <c r="CV196" s="324">
        <v>628736</v>
      </c>
      <c r="CW196" s="324">
        <v>700451</v>
      </c>
      <c r="CX196" s="14"/>
      <c r="CY196" s="23" t="s">
        <v>690</v>
      </c>
      <c r="CZ196" s="324">
        <v>353173</v>
      </c>
      <c r="DA196" s="324">
        <v>407205</v>
      </c>
      <c r="DB196" s="324">
        <v>491200</v>
      </c>
      <c r="DC196" s="324">
        <v>628736</v>
      </c>
      <c r="DD196" s="324">
        <v>700451</v>
      </c>
    </row>
    <row r="197" spans="1:108" ht="12.95" customHeight="1">
      <c r="C197" s="21"/>
      <c r="D197" s="3" t="s">
        <v>169</v>
      </c>
      <c r="T197" s="1400" t="s">
        <v>669</v>
      </c>
      <c r="U197" s="1400"/>
      <c r="W197" t="s">
        <v>686</v>
      </c>
      <c r="AH197" s="1418">
        <v>15</v>
      </c>
      <c r="AI197" s="1418"/>
      <c r="BC197" t="s">
        <v>307</v>
      </c>
      <c r="BN197" s="23" t="s">
        <v>244</v>
      </c>
      <c r="BS197">
        <v>2</v>
      </c>
      <c r="BT197" t="s">
        <v>70</v>
      </c>
      <c r="CB197" s="351" t="s">
        <v>730</v>
      </c>
      <c r="CC197" s="465">
        <v>3426</v>
      </c>
      <c r="CD197" s="466">
        <v>3672</v>
      </c>
      <c r="CE197" s="465">
        <v>4406</v>
      </c>
      <c r="CF197" s="466">
        <v>5090</v>
      </c>
      <c r="CG197" s="466">
        <v>5680</v>
      </c>
      <c r="CH197" s="467">
        <v>6266</v>
      </c>
      <c r="CI197" s="34"/>
      <c r="CJ197" s="1042">
        <v>2292</v>
      </c>
      <c r="CK197" s="1042">
        <v>2818</v>
      </c>
      <c r="CL197" s="1042">
        <v>3359</v>
      </c>
      <c r="CM197" s="1042">
        <v>4112</v>
      </c>
      <c r="CN197" s="1042">
        <v>4473</v>
      </c>
      <c r="CR197" s="23" t="s">
        <v>691</v>
      </c>
      <c r="CS197" s="322">
        <v>689665</v>
      </c>
      <c r="CT197" s="322">
        <v>795177</v>
      </c>
      <c r="CU197" s="322">
        <v>959200</v>
      </c>
      <c r="CV197" s="322">
        <v>1227776</v>
      </c>
      <c r="CW197" s="322">
        <v>1367819</v>
      </c>
      <c r="CX197" s="14"/>
      <c r="CY197" s="23" t="s">
        <v>691</v>
      </c>
      <c r="CZ197" s="322">
        <v>689665</v>
      </c>
      <c r="DA197" s="322">
        <v>795177</v>
      </c>
      <c r="DB197" s="322">
        <v>959200</v>
      </c>
      <c r="DC197" s="322">
        <v>1227776</v>
      </c>
      <c r="DD197" s="322">
        <v>1367819</v>
      </c>
    </row>
    <row r="198" spans="1:108" s="14" customFormat="1" ht="12.95" customHeight="1">
      <c r="A198"/>
      <c r="B198"/>
      <c r="C198" s="21"/>
      <c r="D198" s="3" t="s">
        <v>1652</v>
      </c>
      <c r="E198"/>
      <c r="F198"/>
      <c r="G198"/>
      <c r="H198"/>
      <c r="I198"/>
      <c r="J198"/>
      <c r="K198"/>
      <c r="L198"/>
      <c r="M198"/>
      <c r="N198"/>
      <c r="O198"/>
      <c r="P198"/>
      <c r="Q198"/>
      <c r="R198"/>
      <c r="S198"/>
      <c r="T198" s="1400" t="s">
        <v>669</v>
      </c>
      <c r="U198" s="1400"/>
      <c r="V198"/>
      <c r="X198" s="1538" t="s">
        <v>2517</v>
      </c>
      <c r="Y198" s="1538"/>
      <c r="Z198" s="1538"/>
      <c r="AA198" s="1538"/>
      <c r="AB198" s="1538"/>
      <c r="AC198" s="1538"/>
      <c r="AD198" s="1538"/>
      <c r="AE198" s="1538"/>
      <c r="AF198" s="1538"/>
      <c r="AG198" s="1538"/>
      <c r="AH198" s="1538"/>
      <c r="AI198" s="1538"/>
      <c r="AJ198" s="1538"/>
      <c r="AK198" s="1538"/>
      <c r="AL198" s="1538"/>
      <c r="AM198" s="1538"/>
      <c r="AN198" s="1538"/>
      <c r="AO198" s="1538"/>
      <c r="AP198" s="1538"/>
      <c r="AQ198" s="1538"/>
      <c r="AR198" s="1538"/>
      <c r="AS198" s="1538"/>
      <c r="AT198" s="1538"/>
      <c r="AU198"/>
      <c r="AV198"/>
      <c r="AW198"/>
      <c r="AX198"/>
      <c r="AY198"/>
      <c r="AZ198" s="30"/>
      <c r="BA198" s="30"/>
      <c r="BC198" s="14" t="s">
        <v>591</v>
      </c>
      <c r="BD198"/>
      <c r="BN198" s="23" t="s">
        <v>697</v>
      </c>
      <c r="BO198"/>
      <c r="BP198"/>
      <c r="BQ198"/>
      <c r="BR198"/>
      <c r="BS198">
        <v>4</v>
      </c>
      <c r="BT198" t="s">
        <v>191</v>
      </c>
      <c r="BU198"/>
      <c r="BV198" s="31"/>
      <c r="CB198" s="351" t="s">
        <v>731</v>
      </c>
      <c r="CC198" s="465">
        <v>1686</v>
      </c>
      <c r="CD198" s="466">
        <v>1808</v>
      </c>
      <c r="CE198" s="465">
        <v>2170</v>
      </c>
      <c r="CF198" s="466">
        <v>2506</v>
      </c>
      <c r="CG198" s="466">
        <v>2796</v>
      </c>
      <c r="CH198" s="467">
        <v>3086</v>
      </c>
      <c r="CI198" s="3"/>
      <c r="CJ198" s="862">
        <v>1122</v>
      </c>
      <c r="CK198" s="862">
        <v>1245</v>
      </c>
      <c r="CL198" s="862">
        <v>1607</v>
      </c>
      <c r="CM198" s="862">
        <v>2265</v>
      </c>
      <c r="CN198" s="862">
        <v>2727</v>
      </c>
      <c r="CR198" s="23" t="s">
        <v>242</v>
      </c>
      <c r="CS198" s="324">
        <v>307732</v>
      </c>
      <c r="CT198" s="324">
        <v>354812</v>
      </c>
      <c r="CU198" s="324">
        <v>428000</v>
      </c>
      <c r="CV198" s="324">
        <v>547840</v>
      </c>
      <c r="CW198" s="324">
        <v>610328</v>
      </c>
      <c r="CY198" s="23" t="s">
        <v>242</v>
      </c>
      <c r="CZ198" s="324">
        <v>307732</v>
      </c>
      <c r="DA198" s="324">
        <v>354812</v>
      </c>
      <c r="DB198" s="324">
        <v>428000</v>
      </c>
      <c r="DC198" s="324">
        <v>547840</v>
      </c>
      <c r="DD198" s="324">
        <v>610328</v>
      </c>
    </row>
    <row r="199" spans="1:108" s="14" customFormat="1" ht="12.95" customHeight="1">
      <c r="A199"/>
      <c r="B199"/>
      <c r="C199" s="21"/>
      <c r="D199" s="118" t="s">
        <v>2520</v>
      </c>
      <c r="E199"/>
      <c r="F199"/>
      <c r="G199"/>
      <c r="H199"/>
      <c r="I199"/>
      <c r="J199"/>
      <c r="K199"/>
      <c r="L199"/>
      <c r="M199"/>
      <c r="N199"/>
      <c r="O199"/>
      <c r="P199"/>
      <c r="Q199"/>
      <c r="R199"/>
      <c r="S199"/>
      <c r="T199" s="1418" t="s">
        <v>669</v>
      </c>
      <c r="U199" s="1418"/>
      <c r="V199"/>
      <c r="W199"/>
      <c r="X199" s="1538"/>
      <c r="Y199" s="1538"/>
      <c r="Z199" s="1538"/>
      <c r="AA199" s="1538"/>
      <c r="AB199" s="1538"/>
      <c r="AC199" s="1538"/>
      <c r="AD199" s="1538"/>
      <c r="AE199" s="1538"/>
      <c r="AF199" s="1538"/>
      <c r="AG199" s="1538"/>
      <c r="AH199" s="1538"/>
      <c r="AI199" s="1538"/>
      <c r="AJ199" s="1538"/>
      <c r="AK199" s="1538"/>
      <c r="AL199" s="1538"/>
      <c r="AM199" s="1538"/>
      <c r="AN199" s="1538"/>
      <c r="AO199" s="1538"/>
      <c r="AP199" s="1538"/>
      <c r="AQ199" s="1538"/>
      <c r="AR199" s="1538"/>
      <c r="AS199" s="1538"/>
      <c r="AT199" s="1538"/>
      <c r="AU199"/>
      <c r="AV199"/>
      <c r="AW199"/>
      <c r="AX199"/>
      <c r="AY199"/>
      <c r="AZ199" s="30"/>
      <c r="BA199" s="30"/>
      <c r="BC199" t="s">
        <v>875</v>
      </c>
      <c r="BD199"/>
      <c r="BN199" s="23" t="s">
        <v>698</v>
      </c>
      <c r="BO199"/>
      <c r="BP199"/>
      <c r="BQ199"/>
      <c r="BR199"/>
      <c r="BS199">
        <v>2</v>
      </c>
      <c r="BT199" s="32" t="s">
        <v>192</v>
      </c>
      <c r="BU199"/>
      <c r="BV199" s="31"/>
      <c r="CB199" s="351" t="s">
        <v>69</v>
      </c>
      <c r="CC199" s="465">
        <v>2230</v>
      </c>
      <c r="CD199" s="466">
        <v>2388</v>
      </c>
      <c r="CE199" s="465">
        <v>2864</v>
      </c>
      <c r="CF199" s="466">
        <v>3310</v>
      </c>
      <c r="CG199" s="466">
        <v>3692</v>
      </c>
      <c r="CH199" s="467">
        <v>4074</v>
      </c>
      <c r="CI199" s="3"/>
      <c r="CJ199" s="862">
        <v>1541</v>
      </c>
      <c r="CK199" s="862">
        <v>1731</v>
      </c>
      <c r="CL199" s="862">
        <v>2274</v>
      </c>
      <c r="CM199" s="862">
        <v>3045</v>
      </c>
      <c r="CN199" s="862">
        <v>3465</v>
      </c>
      <c r="CR199" s="23" t="s">
        <v>243</v>
      </c>
      <c r="CS199" s="322">
        <v>404366</v>
      </c>
      <c r="CT199" s="322">
        <v>466230</v>
      </c>
      <c r="CU199" s="322">
        <v>562400</v>
      </c>
      <c r="CV199" s="322">
        <v>719872</v>
      </c>
      <c r="CW199" s="322">
        <v>801982</v>
      </c>
      <c r="CY199" s="23" t="s">
        <v>243</v>
      </c>
      <c r="CZ199" s="322">
        <v>404366</v>
      </c>
      <c r="DA199" s="322">
        <v>466230</v>
      </c>
      <c r="DB199" s="322">
        <v>562400</v>
      </c>
      <c r="DC199" s="322">
        <v>719872</v>
      </c>
      <c r="DD199" s="322">
        <v>801982</v>
      </c>
    </row>
    <row r="200" spans="1:108" s="14" customFormat="1" ht="12.95" customHeight="1">
      <c r="A200"/>
      <c r="B200"/>
      <c r="C200" s="21"/>
      <c r="D200" s="14" t="s">
        <v>2518</v>
      </c>
      <c r="T200" s="1418" t="s">
        <v>669</v>
      </c>
      <c r="U200" s="1418"/>
      <c r="V200"/>
      <c r="W200"/>
      <c r="X200"/>
      <c r="Y200"/>
      <c r="AA200"/>
      <c r="AB200" s="1254" t="s">
        <v>918</v>
      </c>
      <c r="AC200"/>
      <c r="AF200"/>
      <c r="AG200"/>
      <c r="AH200" s="1"/>
      <c r="AJ200"/>
      <c r="AK200"/>
      <c r="AL200"/>
      <c r="AM200"/>
      <c r="AN200"/>
      <c r="AO200"/>
      <c r="AP200"/>
      <c r="AQ200"/>
      <c r="AR200"/>
      <c r="AS200"/>
      <c r="AU200"/>
      <c r="AV200"/>
      <c r="AW200"/>
      <c r="AX200"/>
      <c r="AY200"/>
      <c r="AZ200" s="30"/>
      <c r="BA200" s="30"/>
      <c r="BC200" s="3" t="s">
        <v>874</v>
      </c>
      <c r="BD200" s="437"/>
      <c r="BN200" s="23" t="s">
        <v>699</v>
      </c>
      <c r="BO200"/>
      <c r="BP200"/>
      <c r="BQ200"/>
      <c r="BR200"/>
      <c r="BS200">
        <v>2</v>
      </c>
      <c r="BT200" s="32" t="s">
        <v>193</v>
      </c>
      <c r="BU200"/>
      <c r="CB200" s="351" t="s">
        <v>70</v>
      </c>
      <c r="CC200" s="465">
        <v>3426</v>
      </c>
      <c r="CD200" s="466">
        <v>3672</v>
      </c>
      <c r="CE200" s="465">
        <v>4406</v>
      </c>
      <c r="CF200" s="466">
        <v>5090</v>
      </c>
      <c r="CG200" s="466">
        <v>5680</v>
      </c>
      <c r="CH200" s="467">
        <v>6266</v>
      </c>
      <c r="CI200" s="3"/>
      <c r="CJ200" s="862">
        <v>2292</v>
      </c>
      <c r="CK200" s="862">
        <v>2818</v>
      </c>
      <c r="CL200" s="862">
        <v>3359</v>
      </c>
      <c r="CM200" s="862">
        <v>4112</v>
      </c>
      <c r="CN200" s="862">
        <v>4473</v>
      </c>
      <c r="CR200" s="23" t="s">
        <v>244</v>
      </c>
      <c r="CS200" s="323">
        <v>532060</v>
      </c>
      <c r="CT200" s="323">
        <v>613460</v>
      </c>
      <c r="CU200" s="324">
        <v>740000</v>
      </c>
      <c r="CV200" s="323">
        <v>947200</v>
      </c>
      <c r="CW200" s="323">
        <v>1055240</v>
      </c>
      <c r="CY200" s="23" t="s">
        <v>244</v>
      </c>
      <c r="CZ200" s="323">
        <v>532060</v>
      </c>
      <c r="DA200" s="323">
        <v>613460</v>
      </c>
      <c r="DB200" s="323">
        <v>740000</v>
      </c>
      <c r="DC200" s="323">
        <v>947200</v>
      </c>
      <c r="DD200" s="323">
        <v>1055240</v>
      </c>
    </row>
    <row r="201" spans="1:108" s="14" customFormat="1" ht="12.95" customHeight="1">
      <c r="A201"/>
      <c r="B201"/>
      <c r="C201" s="21"/>
      <c r="E201" s="3" t="s">
        <v>2519</v>
      </c>
      <c r="V201"/>
      <c r="X201"/>
      <c r="Y201"/>
      <c r="Z201"/>
      <c r="AB201" s="1254" t="s">
        <v>919</v>
      </c>
      <c r="AC201"/>
      <c r="AH201" s="1"/>
      <c r="AJ201"/>
      <c r="AK201"/>
      <c r="AL201"/>
      <c r="AM201"/>
      <c r="AN201"/>
      <c r="AO201"/>
      <c r="AP201"/>
      <c r="AQ201"/>
      <c r="AR201"/>
      <c r="AS201"/>
      <c r="AU201"/>
      <c r="AV201"/>
      <c r="AW201"/>
      <c r="AX201"/>
      <c r="AY201"/>
      <c r="AZ201" s="30"/>
      <c r="BA201" s="30"/>
      <c r="BC201" s="3" t="s">
        <v>1061</v>
      </c>
      <c r="BD201" s="437"/>
      <c r="BN201" s="23" t="s">
        <v>700</v>
      </c>
      <c r="BO201" s="31"/>
      <c r="BP201" s="32"/>
      <c r="BQ201" s="32"/>
      <c r="BR201" s="32"/>
      <c r="BS201">
        <v>6</v>
      </c>
      <c r="BT201" s="32" t="s">
        <v>194</v>
      </c>
      <c r="BU201"/>
      <c r="CB201" s="351" t="s">
        <v>191</v>
      </c>
      <c r="CC201" s="465">
        <v>2846</v>
      </c>
      <c r="CD201" s="466">
        <v>3050</v>
      </c>
      <c r="CE201" s="465">
        <v>3660</v>
      </c>
      <c r="CF201" s="466">
        <v>4228</v>
      </c>
      <c r="CG201" s="466">
        <v>4716</v>
      </c>
      <c r="CH201" s="467">
        <v>5204</v>
      </c>
      <c r="CI201" s="3"/>
      <c r="CJ201" s="862">
        <v>2330</v>
      </c>
      <c r="CK201" s="862">
        <v>2651</v>
      </c>
      <c r="CL201" s="862">
        <v>2994</v>
      </c>
      <c r="CM201" s="862">
        <v>3996</v>
      </c>
      <c r="CN201" s="862">
        <v>4528</v>
      </c>
      <c r="CR201" s="23" t="s">
        <v>697</v>
      </c>
      <c r="CS201" s="322">
        <v>404366</v>
      </c>
      <c r="CT201" s="322">
        <v>466230</v>
      </c>
      <c r="CU201" s="322">
        <v>562400</v>
      </c>
      <c r="CV201" s="322">
        <v>719872</v>
      </c>
      <c r="CW201" s="322">
        <v>801982</v>
      </c>
      <c r="CY201" s="23" t="s">
        <v>697</v>
      </c>
      <c r="CZ201" s="322">
        <v>404366</v>
      </c>
      <c r="DA201" s="322">
        <v>466230</v>
      </c>
      <c r="DB201" s="322">
        <v>562400</v>
      </c>
      <c r="DC201" s="322">
        <v>719872</v>
      </c>
      <c r="DD201" s="322">
        <v>801982</v>
      </c>
    </row>
    <row r="202" spans="1:108" ht="12.95" customHeight="1">
      <c r="C202" s="21"/>
      <c r="AE202" s="8"/>
      <c r="BC202" t="s">
        <v>611</v>
      </c>
      <c r="BD202" s="437"/>
      <c r="BN202" s="23" t="s">
        <v>701</v>
      </c>
      <c r="BO202" s="14"/>
      <c r="BP202" s="32"/>
      <c r="BQ202" s="32"/>
      <c r="BR202" s="32"/>
      <c r="BS202">
        <v>7</v>
      </c>
      <c r="BT202" s="32" t="s">
        <v>195</v>
      </c>
      <c r="CB202" s="351" t="s">
        <v>192</v>
      </c>
      <c r="CC202" s="465">
        <v>3226</v>
      </c>
      <c r="CD202" s="466">
        <v>3456</v>
      </c>
      <c r="CE202" s="465">
        <v>4146</v>
      </c>
      <c r="CF202" s="466">
        <v>4792</v>
      </c>
      <c r="CG202" s="466">
        <v>5344</v>
      </c>
      <c r="CH202" s="467">
        <v>5898</v>
      </c>
      <c r="CI202" s="3"/>
      <c r="CJ202" s="862">
        <v>2383</v>
      </c>
      <c r="CK202" s="862">
        <v>2694</v>
      </c>
      <c r="CL202" s="862">
        <v>3132</v>
      </c>
      <c r="CM202" s="862">
        <v>4011</v>
      </c>
      <c r="CN202" s="862">
        <v>4425</v>
      </c>
      <c r="CR202" s="23" t="s">
        <v>698</v>
      </c>
      <c r="CS202" s="323">
        <v>532060</v>
      </c>
      <c r="CT202" s="323">
        <v>613460</v>
      </c>
      <c r="CU202" s="323">
        <v>740000</v>
      </c>
      <c r="CV202" s="323">
        <v>947200</v>
      </c>
      <c r="CW202" s="323">
        <v>1055240</v>
      </c>
      <c r="CX202" s="14"/>
      <c r="CY202" s="23" t="s">
        <v>698</v>
      </c>
      <c r="CZ202" s="323">
        <v>532060</v>
      </c>
      <c r="DA202" s="323">
        <v>613460</v>
      </c>
      <c r="DB202" s="323">
        <v>740000</v>
      </c>
      <c r="DC202" s="323">
        <v>947200</v>
      </c>
      <c r="DD202" s="323">
        <v>1055240</v>
      </c>
    </row>
    <row r="203" spans="1:108" ht="12.95" customHeight="1">
      <c r="A203" s="2" t="s">
        <v>586</v>
      </c>
      <c r="C203" s="2" t="s">
        <v>136</v>
      </c>
      <c r="BC203" t="s">
        <v>1062</v>
      </c>
      <c r="BN203" s="23" t="s">
        <v>702</v>
      </c>
      <c r="BO203" s="14"/>
      <c r="BP203" s="32"/>
      <c r="BQ203" s="32"/>
      <c r="BR203" s="32"/>
      <c r="BS203">
        <v>7</v>
      </c>
      <c r="BT203" s="32" t="s">
        <v>196</v>
      </c>
      <c r="CB203" s="351" t="s">
        <v>193</v>
      </c>
      <c r="CC203" s="465">
        <v>3170</v>
      </c>
      <c r="CD203" s="466">
        <v>3396</v>
      </c>
      <c r="CE203" s="465">
        <v>4074</v>
      </c>
      <c r="CF203" s="466">
        <v>4708</v>
      </c>
      <c r="CG203" s="466">
        <v>5252</v>
      </c>
      <c r="CH203" s="467">
        <v>5796</v>
      </c>
      <c r="CI203" s="3"/>
      <c r="CJ203" s="862">
        <v>2849</v>
      </c>
      <c r="CK203" s="862">
        <v>3085</v>
      </c>
      <c r="CL203" s="862">
        <v>4054</v>
      </c>
      <c r="CM203" s="862">
        <v>5000</v>
      </c>
      <c r="CN203" s="862">
        <v>5504</v>
      </c>
      <c r="CR203" s="23" t="s">
        <v>699</v>
      </c>
      <c r="CS203" s="322">
        <v>404366</v>
      </c>
      <c r="CT203" s="322">
        <v>466230</v>
      </c>
      <c r="CU203" s="322">
        <v>562400</v>
      </c>
      <c r="CV203" s="322">
        <v>719872</v>
      </c>
      <c r="CW203" s="322">
        <v>801982</v>
      </c>
      <c r="CX203" s="14"/>
      <c r="CY203" s="23" t="s">
        <v>699</v>
      </c>
      <c r="CZ203" s="322">
        <v>404366</v>
      </c>
      <c r="DA203" s="322">
        <v>466230</v>
      </c>
      <c r="DB203" s="322">
        <v>562400</v>
      </c>
      <c r="DC203" s="322">
        <v>719872</v>
      </c>
      <c r="DD203" s="322">
        <v>801982</v>
      </c>
    </row>
    <row r="204" spans="1:108" ht="12.95" customHeight="1">
      <c r="D204" s="1489" t="s">
        <v>385</v>
      </c>
      <c r="E204" s="1489"/>
      <c r="F204" s="1489"/>
      <c r="G204" s="1489"/>
      <c r="H204" s="1489"/>
      <c r="I204" s="1489"/>
      <c r="J204" s="1489"/>
      <c r="K204" s="1489"/>
      <c r="L204" s="1489"/>
      <c r="M204" s="1489"/>
      <c r="P204" s="1546">
        <f>M26</f>
        <v>1289941</v>
      </c>
      <c r="Q204" s="1547"/>
      <c r="R204" s="1547"/>
      <c r="S204" s="1547"/>
      <c r="T204" s="1547"/>
      <c r="U204" s="1547"/>
      <c r="BC204" t="s">
        <v>1063</v>
      </c>
      <c r="BN204" s="23" t="s">
        <v>703</v>
      </c>
      <c r="BS204">
        <v>6</v>
      </c>
      <c r="BT204" s="32" t="s">
        <v>197</v>
      </c>
      <c r="BU204" s="14"/>
      <c r="CB204" s="351" t="s">
        <v>194</v>
      </c>
      <c r="CC204" s="465">
        <v>1560</v>
      </c>
      <c r="CD204" s="466">
        <v>1670</v>
      </c>
      <c r="CE204" s="465">
        <v>2004</v>
      </c>
      <c r="CF204" s="466">
        <v>2316</v>
      </c>
      <c r="CG204" s="466">
        <v>2584</v>
      </c>
      <c r="CH204" s="467">
        <v>2852</v>
      </c>
      <c r="CI204" s="3"/>
      <c r="CJ204" s="862">
        <v>1014</v>
      </c>
      <c r="CK204" s="862">
        <v>1132</v>
      </c>
      <c r="CL204" s="862">
        <v>1487</v>
      </c>
      <c r="CM204" s="862">
        <v>2095</v>
      </c>
      <c r="CN204" s="862">
        <v>2523</v>
      </c>
      <c r="CR204" s="23" t="s">
        <v>700</v>
      </c>
      <c r="CS204" s="324">
        <v>319236</v>
      </c>
      <c r="CT204" s="324">
        <v>368076</v>
      </c>
      <c r="CU204" s="324">
        <v>444000</v>
      </c>
      <c r="CV204" s="324">
        <v>568320</v>
      </c>
      <c r="CW204" s="324">
        <v>633144</v>
      </c>
      <c r="CX204" s="14"/>
      <c r="CY204" s="23" t="s">
        <v>700</v>
      </c>
      <c r="CZ204" s="324">
        <v>319236</v>
      </c>
      <c r="DA204" s="324">
        <v>368076</v>
      </c>
      <c r="DB204" s="324">
        <v>444000</v>
      </c>
      <c r="DC204" s="324">
        <v>568320</v>
      </c>
      <c r="DD204" s="324">
        <v>633144</v>
      </c>
    </row>
    <row r="205" spans="1:108" ht="12.95" customHeight="1">
      <c r="C205" s="21"/>
      <c r="D205" s="1540" t="s">
        <v>1247</v>
      </c>
      <c r="E205" s="1489"/>
      <c r="F205" s="1489"/>
      <c r="G205" s="1489"/>
      <c r="H205" s="1489"/>
      <c r="I205" s="1489"/>
      <c r="J205" s="1489"/>
      <c r="K205" s="1489"/>
      <c r="L205" s="1489"/>
      <c r="M205" s="1489"/>
      <c r="P205" s="1547">
        <f>M27</f>
        <v>0</v>
      </c>
      <c r="Q205" s="1547"/>
      <c r="R205" s="1547"/>
      <c r="S205" s="1547"/>
      <c r="T205" s="1547"/>
      <c r="U205" s="1547"/>
      <c r="V205" s="28"/>
      <c r="W205" s="3" t="s">
        <v>1720</v>
      </c>
      <c r="Z205" s="1536" t="s">
        <v>1184</v>
      </c>
      <c r="AA205" s="1536"/>
      <c r="AB205" s="1536"/>
      <c r="AC205" s="1536"/>
      <c r="AD205" s="1536"/>
      <c r="AE205" s="1536"/>
      <c r="AF205" s="1536"/>
      <c r="AG205" s="1536"/>
      <c r="AH205" s="1536"/>
      <c r="AI205" s="1536"/>
      <c r="AJ205" s="1536"/>
      <c r="AK205" s="1536"/>
      <c r="AL205" s="1536"/>
      <c r="AM205" s="1536"/>
      <c r="AN205" s="1536"/>
      <c r="AP205" s="1409"/>
      <c r="AQ205" s="1409"/>
      <c r="BC205" t="s">
        <v>610</v>
      </c>
      <c r="BN205" s="23" t="s">
        <v>109</v>
      </c>
      <c r="BS205">
        <v>4</v>
      </c>
      <c r="BT205" s="32" t="s">
        <v>174</v>
      </c>
      <c r="BU205" s="14"/>
      <c r="CB205" s="351" t="s">
        <v>195</v>
      </c>
      <c r="CC205" s="465">
        <v>1540</v>
      </c>
      <c r="CD205" s="466">
        <v>1650</v>
      </c>
      <c r="CE205" s="465">
        <v>1980</v>
      </c>
      <c r="CF205" s="466">
        <v>2286</v>
      </c>
      <c r="CG205" s="466">
        <v>2550</v>
      </c>
      <c r="CH205" s="467">
        <v>2812</v>
      </c>
      <c r="CI205" s="3"/>
      <c r="CJ205" s="862">
        <v>911</v>
      </c>
      <c r="CK205" s="862">
        <v>1005</v>
      </c>
      <c r="CL205" s="862">
        <v>1321</v>
      </c>
      <c r="CM205" s="862">
        <v>1862</v>
      </c>
      <c r="CN205" s="862">
        <v>2168</v>
      </c>
      <c r="CR205" s="23" t="s">
        <v>701</v>
      </c>
      <c r="CS205" s="322">
        <v>352022</v>
      </c>
      <c r="CT205" s="322">
        <v>405878</v>
      </c>
      <c r="CU205" s="322">
        <v>489600</v>
      </c>
      <c r="CV205" s="322">
        <v>626688</v>
      </c>
      <c r="CW205" s="322">
        <v>698170</v>
      </c>
      <c r="CX205" s="14"/>
      <c r="CY205" s="23" t="s">
        <v>701</v>
      </c>
      <c r="CZ205" s="322">
        <v>352022</v>
      </c>
      <c r="DA205" s="322">
        <v>405878</v>
      </c>
      <c r="DB205" s="322">
        <v>489600</v>
      </c>
      <c r="DC205" s="322">
        <v>626688</v>
      </c>
      <c r="DD205" s="322">
        <v>698170</v>
      </c>
    </row>
    <row r="206" spans="1:108" ht="12.95"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1" t="s">
        <v>196</v>
      </c>
      <c r="CC206" s="465">
        <v>1540</v>
      </c>
      <c r="CD206" s="466">
        <v>1650</v>
      </c>
      <c r="CE206" s="465">
        <v>1980</v>
      </c>
      <c r="CF206" s="466">
        <v>2286</v>
      </c>
      <c r="CG206" s="466">
        <v>2550</v>
      </c>
      <c r="CH206" s="467">
        <v>2812</v>
      </c>
      <c r="CI206" s="3"/>
      <c r="CJ206" s="862">
        <v>838</v>
      </c>
      <c r="CK206" s="862">
        <v>843</v>
      </c>
      <c r="CL206" s="862">
        <v>1089</v>
      </c>
      <c r="CM206" s="862">
        <v>1535</v>
      </c>
      <c r="CN206" s="862">
        <v>1620</v>
      </c>
      <c r="CR206" s="23" t="s">
        <v>702</v>
      </c>
      <c r="CS206" s="324">
        <v>352022</v>
      </c>
      <c r="CT206" s="324">
        <v>405878</v>
      </c>
      <c r="CU206" s="324">
        <v>489600</v>
      </c>
      <c r="CV206" s="324">
        <v>626688</v>
      </c>
      <c r="CW206" s="324">
        <v>698170</v>
      </c>
      <c r="CX206" s="14"/>
      <c r="CY206" s="23" t="s">
        <v>702</v>
      </c>
      <c r="CZ206" s="324">
        <v>352022</v>
      </c>
      <c r="DA206" s="324">
        <v>405878</v>
      </c>
      <c r="DB206" s="324">
        <v>489600</v>
      </c>
      <c r="DC206" s="324">
        <v>626688</v>
      </c>
      <c r="DD206" s="324">
        <v>698170</v>
      </c>
    </row>
    <row r="207" spans="1:108" ht="12.95" customHeight="1">
      <c r="A207" s="2" t="s">
        <v>589</v>
      </c>
      <c r="C207" s="2" t="s">
        <v>551</v>
      </c>
      <c r="BC207" s="438" t="s">
        <v>1064</v>
      </c>
      <c r="BN207" s="23" t="s">
        <v>45</v>
      </c>
      <c r="BS207">
        <v>6</v>
      </c>
      <c r="BT207" s="32" t="s">
        <v>199</v>
      </c>
      <c r="CB207" s="351" t="s">
        <v>197</v>
      </c>
      <c r="CC207" s="465">
        <v>2202</v>
      </c>
      <c r="CD207" s="466">
        <v>2360</v>
      </c>
      <c r="CE207" s="465">
        <v>2832</v>
      </c>
      <c r="CF207" s="466">
        <v>3270</v>
      </c>
      <c r="CG207" s="466">
        <v>3650</v>
      </c>
      <c r="CH207" s="467">
        <v>4026</v>
      </c>
      <c r="CI207" s="3"/>
      <c r="CJ207" s="862">
        <v>1652</v>
      </c>
      <c r="CK207" s="862">
        <v>1853</v>
      </c>
      <c r="CL207" s="862">
        <v>2308</v>
      </c>
      <c r="CM207" s="862">
        <v>3199</v>
      </c>
      <c r="CN207" s="862">
        <v>3643</v>
      </c>
      <c r="CR207" s="23" t="s">
        <v>703</v>
      </c>
      <c r="CS207" s="322">
        <v>384234</v>
      </c>
      <c r="CT207" s="322">
        <v>443018</v>
      </c>
      <c r="CU207" s="322">
        <v>534400</v>
      </c>
      <c r="CV207" s="322">
        <v>684032</v>
      </c>
      <c r="CW207" s="322">
        <v>762054</v>
      </c>
      <c r="CX207" s="14"/>
      <c r="CY207" s="23" t="s">
        <v>703</v>
      </c>
      <c r="CZ207" s="322">
        <v>384234</v>
      </c>
      <c r="DA207" s="322">
        <v>443018</v>
      </c>
      <c r="DB207" s="322">
        <v>534400</v>
      </c>
      <c r="DC207" s="322">
        <v>684032</v>
      </c>
      <c r="DD207" s="322">
        <v>762054</v>
      </c>
    </row>
    <row r="208" spans="1:108" ht="12.95" customHeight="1">
      <c r="C208" s="21"/>
      <c r="D208" s="1497" t="s">
        <v>2746</v>
      </c>
      <c r="E208" s="1517"/>
      <c r="F208" s="1517"/>
      <c r="G208" s="1517"/>
      <c r="H208" s="1517"/>
      <c r="I208" s="1517"/>
      <c r="J208" s="1517"/>
      <c r="K208" s="1517"/>
      <c r="L208" s="1517"/>
      <c r="M208" s="1517"/>
      <c r="BC208" s="3" t="s">
        <v>2208</v>
      </c>
      <c r="BN208" s="23" t="s">
        <v>46</v>
      </c>
      <c r="BS208">
        <v>7</v>
      </c>
      <c r="BT208" s="32" t="s">
        <v>200</v>
      </c>
      <c r="CB208" s="351" t="s">
        <v>174</v>
      </c>
      <c r="CC208" s="465">
        <v>2422</v>
      </c>
      <c r="CD208" s="466">
        <v>2594</v>
      </c>
      <c r="CE208" s="465">
        <v>3112</v>
      </c>
      <c r="CF208" s="466">
        <v>3596</v>
      </c>
      <c r="CG208" s="466">
        <v>4012</v>
      </c>
      <c r="CH208" s="467">
        <v>4426</v>
      </c>
      <c r="CI208" s="3"/>
      <c r="CJ208" s="862">
        <v>1611</v>
      </c>
      <c r="CK208" s="862">
        <v>1809</v>
      </c>
      <c r="CL208" s="862">
        <v>2377</v>
      </c>
      <c r="CM208" s="862">
        <v>3228</v>
      </c>
      <c r="CN208" s="862">
        <v>3425</v>
      </c>
      <c r="CR208" s="23" t="s">
        <v>109</v>
      </c>
      <c r="CS208" s="324">
        <v>384234</v>
      </c>
      <c r="CT208" s="324">
        <v>443018</v>
      </c>
      <c r="CU208" s="324">
        <v>534400</v>
      </c>
      <c r="CV208" s="324">
        <v>684032</v>
      </c>
      <c r="CW208" s="324">
        <v>762054</v>
      </c>
      <c r="CX208" s="14"/>
      <c r="CY208" s="23" t="s">
        <v>109</v>
      </c>
      <c r="CZ208" s="324">
        <v>384234</v>
      </c>
      <c r="DA208" s="324">
        <v>443018</v>
      </c>
      <c r="DB208" s="324">
        <v>534400</v>
      </c>
      <c r="DC208" s="324">
        <v>684032</v>
      </c>
      <c r="DD208" s="324">
        <v>762054</v>
      </c>
    </row>
    <row r="209" spans="1:108" ht="12.95" customHeight="1">
      <c r="BC209" t="s">
        <v>1065</v>
      </c>
      <c r="BN209" s="23" t="s">
        <v>47</v>
      </c>
      <c r="BS209">
        <v>7</v>
      </c>
      <c r="BT209" s="32" t="s">
        <v>201</v>
      </c>
      <c r="CB209" s="351" t="s">
        <v>198</v>
      </c>
      <c r="CC209" s="465">
        <v>1594</v>
      </c>
      <c r="CD209" s="466">
        <v>1708</v>
      </c>
      <c r="CE209" s="465">
        <v>2050</v>
      </c>
      <c r="CF209" s="466">
        <v>2368</v>
      </c>
      <c r="CG209" s="466">
        <v>2642</v>
      </c>
      <c r="CH209" s="467">
        <v>2916</v>
      </c>
      <c r="CI209" s="3"/>
      <c r="CJ209" s="862">
        <v>1143</v>
      </c>
      <c r="CK209" s="862">
        <v>1188</v>
      </c>
      <c r="CL209" s="862">
        <v>1528</v>
      </c>
      <c r="CM209" s="862">
        <v>2153</v>
      </c>
      <c r="CN209" s="862">
        <v>2536</v>
      </c>
      <c r="CR209" s="23" t="s">
        <v>110</v>
      </c>
      <c r="CS209" s="322">
        <v>307732</v>
      </c>
      <c r="CT209" s="322">
        <v>354812</v>
      </c>
      <c r="CU209" s="322">
        <v>428000</v>
      </c>
      <c r="CV209" s="322">
        <v>547840</v>
      </c>
      <c r="CW209" s="322">
        <v>610328</v>
      </c>
      <c r="CX209" s="14"/>
      <c r="CY209" s="23" t="s">
        <v>110</v>
      </c>
      <c r="CZ209" s="322">
        <v>307732</v>
      </c>
      <c r="DA209" s="322">
        <v>354812</v>
      </c>
      <c r="DB209" s="322">
        <v>428000</v>
      </c>
      <c r="DC209" s="322">
        <v>547840</v>
      </c>
      <c r="DD209" s="322">
        <v>610328</v>
      </c>
    </row>
    <row r="210" spans="1:108" ht="12.95" customHeight="1">
      <c r="A210" s="2" t="s">
        <v>590</v>
      </c>
      <c r="C210" s="2" t="s">
        <v>388</v>
      </c>
      <c r="BC210" t="s">
        <v>659</v>
      </c>
      <c r="BN210" s="23" t="s">
        <v>48</v>
      </c>
      <c r="BS210">
        <v>5</v>
      </c>
      <c r="BT210" s="32" t="s">
        <v>202</v>
      </c>
      <c r="CB210" s="351" t="s">
        <v>199</v>
      </c>
      <c r="CC210" s="465">
        <v>1540</v>
      </c>
      <c r="CD210" s="466">
        <v>1650</v>
      </c>
      <c r="CE210" s="465">
        <v>1980</v>
      </c>
      <c r="CF210" s="466">
        <v>2286</v>
      </c>
      <c r="CG210" s="466">
        <v>2550</v>
      </c>
      <c r="CH210" s="467">
        <v>2812</v>
      </c>
      <c r="CI210" s="3"/>
      <c r="CJ210" s="862">
        <v>1125</v>
      </c>
      <c r="CK210" s="862">
        <v>1132</v>
      </c>
      <c r="CL210" s="862">
        <v>1461</v>
      </c>
      <c r="CM210" s="862">
        <v>2059</v>
      </c>
      <c r="CN210" s="862">
        <v>2479</v>
      </c>
      <c r="CR210" s="23" t="s">
        <v>45</v>
      </c>
      <c r="CS210" s="324">
        <v>331890</v>
      </c>
      <c r="CT210" s="324">
        <v>382666</v>
      </c>
      <c r="CU210" s="324">
        <v>461600</v>
      </c>
      <c r="CV210" s="324">
        <v>590848</v>
      </c>
      <c r="CW210" s="324">
        <v>658242</v>
      </c>
      <c r="CX210" s="14"/>
      <c r="CY210" s="23" t="s">
        <v>45</v>
      </c>
      <c r="CZ210" s="324">
        <v>331890</v>
      </c>
      <c r="DA210" s="324">
        <v>382666</v>
      </c>
      <c r="DB210" s="324">
        <v>461600</v>
      </c>
      <c r="DC210" s="324">
        <v>590848</v>
      </c>
      <c r="DD210" s="324">
        <v>658242</v>
      </c>
    </row>
    <row r="211" spans="1:108" ht="12.95" customHeight="1">
      <c r="C211" s="21"/>
      <c r="D211" s="1517" t="s">
        <v>1857</v>
      </c>
      <c r="E211" s="1517"/>
      <c r="F211" s="1517"/>
      <c r="G211" s="1517"/>
      <c r="H211" s="1517"/>
      <c r="I211" s="1517"/>
      <c r="J211" s="1517"/>
      <c r="K211" s="1517"/>
      <c r="L211" s="1517"/>
      <c r="M211" s="1517"/>
      <c r="BN211" s="23" t="s">
        <v>129</v>
      </c>
      <c r="BS211">
        <v>7</v>
      </c>
      <c r="BT211" s="32" t="s">
        <v>130</v>
      </c>
      <c r="CB211" s="351" t="s">
        <v>200</v>
      </c>
      <c r="CC211" s="465">
        <v>1540</v>
      </c>
      <c r="CD211" s="466">
        <v>1650</v>
      </c>
      <c r="CE211" s="465">
        <v>1980</v>
      </c>
      <c r="CF211" s="466">
        <v>2286</v>
      </c>
      <c r="CG211" s="466">
        <v>2550</v>
      </c>
      <c r="CH211" s="467">
        <v>2812</v>
      </c>
      <c r="CI211" s="3"/>
      <c r="CJ211" s="862">
        <v>844</v>
      </c>
      <c r="CK211" s="862">
        <v>948</v>
      </c>
      <c r="CL211" s="862">
        <v>1245</v>
      </c>
      <c r="CM211" s="862">
        <v>1695</v>
      </c>
      <c r="CN211" s="862">
        <v>2010</v>
      </c>
      <c r="CR211" s="23" t="s">
        <v>46</v>
      </c>
      <c r="CS211" s="322">
        <v>352022</v>
      </c>
      <c r="CT211" s="322">
        <v>405878</v>
      </c>
      <c r="CU211" s="322">
        <v>489600</v>
      </c>
      <c r="CV211" s="322">
        <v>626688</v>
      </c>
      <c r="CW211" s="322">
        <v>698170</v>
      </c>
      <c r="CX211" s="14"/>
      <c r="CY211" s="23" t="s">
        <v>46</v>
      </c>
      <c r="CZ211" s="322">
        <v>352022</v>
      </c>
      <c r="DA211" s="322">
        <v>405878</v>
      </c>
      <c r="DB211" s="322">
        <v>489600</v>
      </c>
      <c r="DC211" s="322">
        <v>626688</v>
      </c>
      <c r="DD211" s="322">
        <v>698170</v>
      </c>
    </row>
    <row r="212" spans="1:108" ht="12.95" customHeight="1">
      <c r="C212" s="21"/>
      <c r="D212" s="3" t="s">
        <v>2234</v>
      </c>
      <c r="Q212" s="1418">
        <v>0</v>
      </c>
      <c r="R212" s="1418"/>
      <c r="T212" s="1558">
        <f>IFERROR(Q212/AG440,0)</f>
        <v>0</v>
      </c>
      <c r="U212" s="1559"/>
      <c r="BC212" t="s">
        <v>307</v>
      </c>
      <c r="BI212" t="s">
        <v>1184</v>
      </c>
      <c r="BN212" s="23" t="s">
        <v>49</v>
      </c>
      <c r="BS212">
        <v>4</v>
      </c>
      <c r="BT212" s="32" t="s">
        <v>203</v>
      </c>
      <c r="CB212" s="351" t="s">
        <v>201</v>
      </c>
      <c r="CC212" s="465">
        <v>1540</v>
      </c>
      <c r="CD212" s="466">
        <v>1650</v>
      </c>
      <c r="CE212" s="465">
        <v>1980</v>
      </c>
      <c r="CF212" s="466">
        <v>2286</v>
      </c>
      <c r="CG212" s="466">
        <v>2550</v>
      </c>
      <c r="CH212" s="467">
        <v>2812</v>
      </c>
      <c r="CI212" s="3"/>
      <c r="CJ212" s="862">
        <v>710</v>
      </c>
      <c r="CK212" s="862">
        <v>784</v>
      </c>
      <c r="CL212" s="862">
        <v>1030</v>
      </c>
      <c r="CM212" s="862">
        <v>1451</v>
      </c>
      <c r="CN212" s="862">
        <v>1657</v>
      </c>
      <c r="CR212" s="23" t="s">
        <v>47</v>
      </c>
      <c r="CS212" s="324">
        <v>352022</v>
      </c>
      <c r="CT212" s="324">
        <v>405878</v>
      </c>
      <c r="CU212" s="324">
        <v>489600</v>
      </c>
      <c r="CV212" s="324">
        <v>626688</v>
      </c>
      <c r="CW212" s="324">
        <v>698170</v>
      </c>
      <c r="CX212" s="14"/>
      <c r="CY212" s="23" t="s">
        <v>47</v>
      </c>
      <c r="CZ212" s="324">
        <v>352022</v>
      </c>
      <c r="DA212" s="324">
        <v>405878</v>
      </c>
      <c r="DB212" s="324">
        <v>489600</v>
      </c>
      <c r="DC212" s="324">
        <v>626688</v>
      </c>
      <c r="DD212" s="324">
        <v>698170</v>
      </c>
    </row>
    <row r="213" spans="1:108" ht="12.95" customHeight="1">
      <c r="D213" s="1147" t="s">
        <v>2477</v>
      </c>
      <c r="BC213" t="s">
        <v>526</v>
      </c>
      <c r="BI213" s="3" t="s">
        <v>2231</v>
      </c>
      <c r="BN213" s="23" t="s">
        <v>50</v>
      </c>
      <c r="BS213">
        <v>6</v>
      </c>
      <c r="BT213" s="32" t="s">
        <v>204</v>
      </c>
      <c r="CB213" s="351" t="s">
        <v>202</v>
      </c>
      <c r="CC213" s="465">
        <v>1540</v>
      </c>
      <c r="CD213" s="466">
        <v>1650</v>
      </c>
      <c r="CE213" s="465">
        <v>1980</v>
      </c>
      <c r="CF213" s="466">
        <v>2286</v>
      </c>
      <c r="CG213" s="466">
        <v>2550</v>
      </c>
      <c r="CH213" s="467">
        <v>2812</v>
      </c>
      <c r="CI213" s="3"/>
      <c r="CJ213" s="862">
        <v>977</v>
      </c>
      <c r="CK213" s="862">
        <v>989</v>
      </c>
      <c r="CL213" s="862">
        <v>1299</v>
      </c>
      <c r="CM213" s="862">
        <v>1809</v>
      </c>
      <c r="CN213" s="862">
        <v>2065</v>
      </c>
      <c r="CR213" s="23" t="s">
        <v>48</v>
      </c>
      <c r="CS213" s="322">
        <v>307732</v>
      </c>
      <c r="CT213" s="322">
        <v>354812</v>
      </c>
      <c r="CU213" s="322">
        <v>428000</v>
      </c>
      <c r="CV213" s="322">
        <v>547840</v>
      </c>
      <c r="CW213" s="322">
        <v>610328</v>
      </c>
      <c r="CX213" s="14"/>
      <c r="CY213" s="23" t="s">
        <v>48</v>
      </c>
      <c r="CZ213" s="322">
        <v>307732</v>
      </c>
      <c r="DA213" s="322">
        <v>354812</v>
      </c>
      <c r="DB213" s="322">
        <v>428000</v>
      </c>
      <c r="DC213" s="322">
        <v>547840</v>
      </c>
      <c r="DD213" s="322">
        <v>610328</v>
      </c>
    </row>
    <row r="214" spans="1:108" ht="12.95" customHeight="1">
      <c r="D214" s="1542" t="s">
        <v>591</v>
      </c>
      <c r="E214" s="1542"/>
      <c r="F214" s="1542"/>
      <c r="G214" s="1542"/>
      <c r="H214" s="1542"/>
      <c r="I214" s="1542"/>
      <c r="J214" s="1542"/>
      <c r="K214" s="1542"/>
      <c r="L214" s="1542"/>
      <c r="M214" s="1542"/>
      <c r="N214" s="1542"/>
      <c r="O214" s="1542"/>
      <c r="P214" s="1542"/>
      <c r="Q214" s="1542"/>
      <c r="R214" s="1542"/>
      <c r="S214" s="1542"/>
      <c r="T214" s="1542"/>
      <c r="U214" s="1542"/>
      <c r="V214" s="1542"/>
      <c r="W214" s="1542"/>
      <c r="X214" s="1542"/>
      <c r="Y214" s="1542"/>
      <c r="Z214" s="1542"/>
      <c r="AU214" s="21"/>
      <c r="AV214" s="21"/>
      <c r="AW214" s="21"/>
      <c r="AX214" s="21"/>
      <c r="AY214" s="21"/>
      <c r="BC214" t="s">
        <v>530</v>
      </c>
      <c r="BI214" s="3" t="s">
        <v>2222</v>
      </c>
      <c r="BN214" s="23" t="s">
        <v>326</v>
      </c>
      <c r="BS214">
        <v>6</v>
      </c>
      <c r="BT214" s="32" t="s">
        <v>205</v>
      </c>
      <c r="CB214" s="351" t="s">
        <v>130</v>
      </c>
      <c r="CC214" s="465">
        <v>1694</v>
      </c>
      <c r="CD214" s="466">
        <v>1816</v>
      </c>
      <c r="CE214" s="465">
        <v>2180</v>
      </c>
      <c r="CF214" s="466">
        <v>2520</v>
      </c>
      <c r="CG214" s="466">
        <v>2810</v>
      </c>
      <c r="CH214" s="467">
        <v>3100</v>
      </c>
      <c r="CI214" s="3"/>
      <c r="CJ214" s="862">
        <v>919</v>
      </c>
      <c r="CK214" s="862">
        <v>1032</v>
      </c>
      <c r="CL214" s="862">
        <v>1356</v>
      </c>
      <c r="CM214" s="862">
        <v>1795</v>
      </c>
      <c r="CN214" s="862">
        <v>2301</v>
      </c>
      <c r="CR214" s="23" t="s">
        <v>129</v>
      </c>
      <c r="CS214" s="324">
        <v>352022</v>
      </c>
      <c r="CT214" s="324">
        <v>405878</v>
      </c>
      <c r="CU214" s="324">
        <v>489600</v>
      </c>
      <c r="CV214" s="324">
        <v>626688</v>
      </c>
      <c r="CW214" s="324">
        <v>698170</v>
      </c>
      <c r="CX214" s="14"/>
      <c r="CY214" s="23" t="s">
        <v>129</v>
      </c>
      <c r="CZ214" s="324">
        <v>352022</v>
      </c>
      <c r="DA214" s="324">
        <v>405878</v>
      </c>
      <c r="DB214" s="324">
        <v>489600</v>
      </c>
      <c r="DC214" s="324">
        <v>626688</v>
      </c>
      <c r="DD214" s="324">
        <v>698170</v>
      </c>
    </row>
    <row r="215" spans="1:108" ht="12.95" customHeight="1">
      <c r="D215" s="3" t="s">
        <v>1653</v>
      </c>
      <c r="Z215" s="40"/>
      <c r="AB215" s="1516"/>
      <c r="AC215" s="1516"/>
      <c r="AD215" s="1516"/>
      <c r="AE215" s="1516"/>
      <c r="AF215" s="1516"/>
      <c r="AG215" s="1516"/>
      <c r="AH215" s="1516"/>
      <c r="AI215" s="1516"/>
      <c r="AJ215" s="1516"/>
      <c r="AK215" s="1516"/>
      <c r="AL215" s="1516"/>
      <c r="AM215" s="21"/>
      <c r="AN215" s="21"/>
      <c r="AO215" s="21"/>
      <c r="AP215" s="21"/>
      <c r="AQ215" s="21"/>
      <c r="AR215" s="21"/>
      <c r="AS215" s="21"/>
      <c r="AT215" s="21"/>
      <c r="AU215" s="21"/>
      <c r="AV215" s="21"/>
      <c r="AW215" s="21"/>
      <c r="AX215" s="21"/>
      <c r="AY215" s="21"/>
      <c r="BC215" t="s">
        <v>527</v>
      </c>
      <c r="BI215" s="3" t="s">
        <v>2223</v>
      </c>
      <c r="CB215" s="351" t="s">
        <v>203</v>
      </c>
      <c r="CC215" s="468">
        <v>2462</v>
      </c>
      <c r="CD215" s="469">
        <v>2638</v>
      </c>
      <c r="CE215" s="468">
        <v>3166</v>
      </c>
      <c r="CF215" s="469">
        <v>3658</v>
      </c>
      <c r="CG215" s="469">
        <v>4082</v>
      </c>
      <c r="CH215" s="470">
        <v>4502</v>
      </c>
      <c r="CI215" s="3"/>
      <c r="CJ215" s="862">
        <v>1725</v>
      </c>
      <c r="CK215" s="862">
        <v>2011</v>
      </c>
      <c r="CL215" s="862">
        <v>2414</v>
      </c>
      <c r="CM215" s="862">
        <v>3310</v>
      </c>
      <c r="CN215" s="862">
        <v>3867</v>
      </c>
      <c r="CR215" s="23" t="s">
        <v>49</v>
      </c>
      <c r="CS215" s="322">
        <v>404366</v>
      </c>
      <c r="CT215" s="322">
        <v>466230</v>
      </c>
      <c r="CU215" s="322">
        <v>562400</v>
      </c>
      <c r="CV215" s="322">
        <v>719872</v>
      </c>
      <c r="CW215" s="322">
        <v>801982</v>
      </c>
      <c r="CX215" s="14"/>
      <c r="CY215" s="23" t="s">
        <v>49</v>
      </c>
      <c r="CZ215" s="322">
        <v>404366</v>
      </c>
      <c r="DA215" s="322">
        <v>466230</v>
      </c>
      <c r="DB215" s="322">
        <v>562400</v>
      </c>
      <c r="DC215" s="322">
        <v>719872</v>
      </c>
      <c r="DD215" s="322">
        <v>801982</v>
      </c>
    </row>
    <row r="216" spans="1:108" ht="12.95" customHeight="1">
      <c r="D216" s="3" t="s">
        <v>1651</v>
      </c>
      <c r="Z216" s="40"/>
      <c r="AB216" s="1516"/>
      <c r="AC216" s="1516"/>
      <c r="AD216" s="1516"/>
      <c r="AE216" s="1516"/>
      <c r="AF216" s="1516"/>
      <c r="AG216" s="1516"/>
      <c r="AH216" s="1516"/>
      <c r="AI216" s="1516"/>
      <c r="AJ216" s="1516"/>
      <c r="AK216" s="1516"/>
      <c r="AL216" s="1516"/>
      <c r="AM216" s="21"/>
      <c r="AN216" s="21"/>
      <c r="AO216" s="21"/>
      <c r="AP216" s="21"/>
      <c r="AQ216" s="21"/>
      <c r="AR216" s="21"/>
      <c r="AS216" s="21"/>
      <c r="AT216" s="21"/>
      <c r="AU216" s="21"/>
      <c r="AV216" s="21"/>
      <c r="AW216" s="21"/>
      <c r="AX216" s="21"/>
      <c r="AY216" s="21"/>
      <c r="BC216" t="s">
        <v>566</v>
      </c>
      <c r="BI216" t="s">
        <v>2221</v>
      </c>
      <c r="CB216" s="351" t="s">
        <v>204</v>
      </c>
      <c r="CC216" s="471">
        <v>2020</v>
      </c>
      <c r="CD216" s="472">
        <v>2162</v>
      </c>
      <c r="CE216" s="471">
        <v>2594</v>
      </c>
      <c r="CF216" s="472">
        <v>2998</v>
      </c>
      <c r="CG216" s="472">
        <v>3344</v>
      </c>
      <c r="CH216" s="473">
        <v>3690</v>
      </c>
      <c r="CI216" s="3"/>
      <c r="CJ216" s="862">
        <v>1497</v>
      </c>
      <c r="CK216" s="862">
        <v>1507</v>
      </c>
      <c r="CL216" s="862">
        <v>1980</v>
      </c>
      <c r="CM216" s="862">
        <v>2717</v>
      </c>
      <c r="CN216" s="862">
        <v>3169</v>
      </c>
      <c r="CR216" s="23" t="s">
        <v>50</v>
      </c>
      <c r="CS216" s="324">
        <v>331890</v>
      </c>
      <c r="CT216" s="324">
        <v>382666</v>
      </c>
      <c r="CU216" s="324">
        <v>461600</v>
      </c>
      <c r="CV216" s="324">
        <v>590848</v>
      </c>
      <c r="CW216" s="324">
        <v>658242</v>
      </c>
      <c r="CX216" s="14"/>
      <c r="CY216" s="23" t="s">
        <v>50</v>
      </c>
      <c r="CZ216" s="324">
        <v>331890</v>
      </c>
      <c r="DA216" s="324">
        <v>382666</v>
      </c>
      <c r="DB216" s="324">
        <v>461600</v>
      </c>
      <c r="DC216" s="324">
        <v>590848</v>
      </c>
      <c r="DD216" s="324">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2225</v>
      </c>
      <c r="CB217" s="351" t="s">
        <v>205</v>
      </c>
      <c r="CC217" s="474">
        <v>1540</v>
      </c>
      <c r="CD217" s="475">
        <v>1650</v>
      </c>
      <c r="CE217" s="474">
        <v>1980</v>
      </c>
      <c r="CF217" s="475">
        <v>2286</v>
      </c>
      <c r="CG217" s="475">
        <v>2550</v>
      </c>
      <c r="CH217" s="476">
        <v>2812</v>
      </c>
      <c r="CI217" s="3"/>
      <c r="CJ217" s="862">
        <v>1125</v>
      </c>
      <c r="CK217" s="862">
        <v>1132</v>
      </c>
      <c r="CL217" s="862">
        <v>1461</v>
      </c>
      <c r="CM217" s="862">
        <v>2059</v>
      </c>
      <c r="CN217" s="862">
        <v>2479</v>
      </c>
      <c r="CR217" s="23" t="s">
        <v>326</v>
      </c>
      <c r="CS217" s="322">
        <v>331890</v>
      </c>
      <c r="CT217" s="322">
        <v>382666</v>
      </c>
      <c r="CU217" s="322">
        <v>461600</v>
      </c>
      <c r="CV217" s="322">
        <v>590848</v>
      </c>
      <c r="CW217" s="322">
        <v>658242</v>
      </c>
      <c r="CX217" s="14"/>
      <c r="CY217" s="23" t="s">
        <v>326</v>
      </c>
      <c r="CZ217" s="322">
        <v>331890</v>
      </c>
      <c r="DA217" s="322">
        <v>382666</v>
      </c>
      <c r="DB217" s="322">
        <v>461600</v>
      </c>
      <c r="DC217" s="322">
        <v>590848</v>
      </c>
      <c r="DD217" s="322">
        <v>658242</v>
      </c>
    </row>
    <row r="218" spans="1:108" ht="12.95" customHeight="1">
      <c r="A218" s="2" t="s">
        <v>592</v>
      </c>
      <c r="C218" s="2" t="s">
        <v>2237</v>
      </c>
      <c r="D218" s="28"/>
      <c r="AC218" s="2" t="s">
        <v>2466</v>
      </c>
      <c r="BC218" t="s">
        <v>529</v>
      </c>
    </row>
    <row r="219" spans="1:108" ht="12.95" customHeight="1">
      <c r="A219" s="2"/>
      <c r="C219" s="2"/>
      <c r="D219" s="3" t="s">
        <v>2467</v>
      </c>
      <c r="AZ219" s="3"/>
      <c r="BA219" s="3"/>
      <c r="BC219" t="s">
        <v>377</v>
      </c>
    </row>
    <row r="220" spans="1:108" ht="12.95" customHeight="1">
      <c r="A220" s="2"/>
      <c r="C220" s="2"/>
      <c r="D220" s="1517" t="s">
        <v>1026</v>
      </c>
      <c r="E220" s="1517"/>
      <c r="F220" s="1517"/>
      <c r="G220" s="1517"/>
      <c r="H220" s="1517"/>
      <c r="I220" s="1517"/>
      <c r="J220" s="1517"/>
      <c r="K220" s="1517"/>
      <c r="L220" s="1517"/>
      <c r="M220" s="1517"/>
      <c r="N220" s="1517"/>
      <c r="O220" s="1517"/>
      <c r="P220" s="1517"/>
      <c r="Q220" s="1517"/>
      <c r="R220" s="1517"/>
      <c r="S220" s="1517"/>
      <c r="T220" s="1517"/>
      <c r="U220" s="1517"/>
      <c r="V220" s="1517"/>
      <c r="W220" s="1517"/>
      <c r="X220" s="1517"/>
      <c r="Y220" s="1517"/>
      <c r="Z220" s="1517"/>
      <c r="AC220" s="1539" t="s">
        <v>2469</v>
      </c>
      <c r="AD220" s="1539"/>
      <c r="AE220" s="1539"/>
      <c r="AF220" s="1539"/>
      <c r="AG220" s="1539"/>
      <c r="AH220" s="1539"/>
      <c r="AI220" s="1539"/>
      <c r="AJ220" s="1539"/>
      <c r="AK220" s="1539"/>
      <c r="AL220" s="1539"/>
      <c r="AM220" s="1539"/>
      <c r="AN220" s="1539"/>
      <c r="AO220" s="1539"/>
      <c r="AP220" s="1539"/>
      <c r="AQ220" s="1539"/>
      <c r="BA220" s="3"/>
      <c r="BC220" t="s">
        <v>300</v>
      </c>
    </row>
    <row r="221" spans="1:108" ht="12.95" customHeight="1">
      <c r="A221" s="2"/>
      <c r="B221" s="14"/>
      <c r="C221" s="2"/>
      <c r="BA221" s="3"/>
    </row>
    <row r="222" spans="1:108" ht="12.95" customHeight="1">
      <c r="A222" s="1537" t="s">
        <v>540</v>
      </c>
      <c r="B222" s="1537"/>
      <c r="C222" s="1537"/>
      <c r="D222" s="1537"/>
      <c r="E222" s="1537"/>
      <c r="F222" s="1537"/>
      <c r="G222" s="1537"/>
      <c r="H222" s="1537"/>
      <c r="I222" s="1537"/>
      <c r="J222" s="1537"/>
      <c r="K222" s="1537"/>
      <c r="L222" s="1537"/>
      <c r="M222" s="1537"/>
      <c r="N222" s="1537"/>
      <c r="O222" s="1537"/>
      <c r="P222" s="1537"/>
      <c r="Q222" s="1537"/>
      <c r="R222" s="1537"/>
      <c r="S222" s="1537"/>
      <c r="T222" s="1537"/>
      <c r="U222" s="1537"/>
      <c r="V222" s="1537"/>
      <c r="W222" s="1537"/>
      <c r="X222" s="1537"/>
      <c r="Y222" s="1537"/>
      <c r="Z222" s="1537"/>
      <c r="AA222" s="1537"/>
      <c r="AB222" s="1537"/>
      <c r="AC222" s="1537"/>
      <c r="AD222" s="1537"/>
      <c r="AE222" s="1537"/>
      <c r="AF222" s="1537"/>
      <c r="AG222" s="1537"/>
      <c r="AH222" s="1537"/>
      <c r="AI222" s="1537"/>
      <c r="AJ222" s="1537"/>
      <c r="AK222" s="1537"/>
      <c r="AL222" s="1537"/>
      <c r="AM222" s="1537"/>
      <c r="AN222" s="1537"/>
      <c r="AO222" s="1537"/>
      <c r="AP222" s="1537"/>
      <c r="AQ222" s="1537"/>
      <c r="AR222" s="1537"/>
      <c r="AS222" s="1537"/>
      <c r="AT222" s="1537"/>
      <c r="AU222" s="95"/>
      <c r="AV222" s="95"/>
      <c r="AW222" s="95"/>
      <c r="AX222" s="95"/>
      <c r="AY222" s="95"/>
      <c r="AZ222" s="3"/>
      <c r="BA222" s="3"/>
      <c r="BP222" s="34"/>
    </row>
    <row r="223" spans="1:108" ht="12.95" customHeight="1">
      <c r="A223" s="1537"/>
      <c r="B223" s="1537"/>
      <c r="C223" s="1537"/>
      <c r="D223" s="1537"/>
      <c r="E223" s="1537"/>
      <c r="F223" s="1537"/>
      <c r="G223" s="1537"/>
      <c r="H223" s="1537"/>
      <c r="I223" s="1537"/>
      <c r="J223" s="1537"/>
      <c r="K223" s="1537"/>
      <c r="L223" s="1537"/>
      <c r="M223" s="1537"/>
      <c r="N223" s="1537"/>
      <c r="O223" s="1537"/>
      <c r="P223" s="1537"/>
      <c r="Q223" s="1537"/>
      <c r="R223" s="1537"/>
      <c r="S223" s="1537"/>
      <c r="T223" s="1537"/>
      <c r="U223" s="1537"/>
      <c r="V223" s="1537"/>
      <c r="W223" s="1537"/>
      <c r="X223" s="1537"/>
      <c r="Y223" s="1537"/>
      <c r="Z223" s="1537"/>
      <c r="AA223" s="1537"/>
      <c r="AB223" s="1537"/>
      <c r="AC223" s="1537"/>
      <c r="AD223" s="1537"/>
      <c r="AE223" s="1537"/>
      <c r="AF223" s="1537"/>
      <c r="AG223" s="1537"/>
      <c r="AH223" s="1537"/>
      <c r="AI223" s="1537"/>
      <c r="AJ223" s="1537"/>
      <c r="AK223" s="1537"/>
      <c r="AL223" s="1537"/>
      <c r="AM223" s="1537"/>
      <c r="AN223" s="1537"/>
      <c r="AO223" s="1537"/>
      <c r="AP223" s="1537"/>
      <c r="AQ223" s="1537"/>
      <c r="AR223" s="1537"/>
      <c r="AS223" s="1537"/>
      <c r="AT223" s="1537"/>
      <c r="BA223" s="3"/>
      <c r="BB223" s="3"/>
      <c r="BQ223" s="34"/>
    </row>
    <row r="224" spans="1:108" ht="12.95" customHeight="1">
      <c r="AZ224" s="4"/>
      <c r="BA224" s="3"/>
      <c r="BB224" s="3"/>
      <c r="BQ224" s="34"/>
    </row>
    <row r="225" spans="1:59" ht="12.95" customHeight="1">
      <c r="A225" s="2" t="s">
        <v>319</v>
      </c>
      <c r="B225" s="2"/>
      <c r="C225" s="2" t="s">
        <v>2084</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8" t="s">
        <v>545</v>
      </c>
      <c r="AJ226" s="1418"/>
      <c r="AL226" s="3"/>
      <c r="AM226" s="3"/>
      <c r="AN226" s="3"/>
      <c r="AO226" s="3"/>
      <c r="AP226" s="3"/>
      <c r="AQ226" s="3"/>
      <c r="AR226" s="3"/>
      <c r="AS226" s="3"/>
      <c r="AT226" s="3"/>
      <c r="AU226" s="3"/>
      <c r="AV226" s="3"/>
      <c r="AW226" s="3"/>
      <c r="AX226" s="3"/>
      <c r="AY226" s="3"/>
      <c r="AZ226" s="4"/>
      <c r="BB226" s="205" t="s">
        <v>538</v>
      </c>
      <c r="BG226" s="242">
        <f>IF(AND(AND($M$249="for profit",$M$257="for profit",$M$265="nonprofit")),2,0)</f>
        <v>0</v>
      </c>
    </row>
    <row r="227" spans="1:59" ht="12.95"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8" t="s">
        <v>591</v>
      </c>
      <c r="AJ227" s="1418"/>
      <c r="AL227" s="3"/>
      <c r="AM227" s="3"/>
      <c r="AN227" s="3"/>
      <c r="AO227" s="3"/>
      <c r="AP227" s="3"/>
      <c r="AQ227" s="3"/>
      <c r="AR227" s="3"/>
      <c r="AS227" s="3"/>
      <c r="AT227" s="3"/>
      <c r="AU227" s="3"/>
      <c r="AV227" s="3"/>
      <c r="AW227" s="3"/>
      <c r="AX227" s="3"/>
      <c r="AY227" s="3"/>
      <c r="BA227" s="3"/>
      <c r="BB227" s="205" t="s">
        <v>538</v>
      </c>
      <c r="BG227" s="242">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8" t="s">
        <v>591</v>
      </c>
      <c r="AJ228" s="1418"/>
      <c r="AL228" s="3"/>
      <c r="AM228" s="3"/>
      <c r="AN228" s="3"/>
      <c r="AO228" s="3"/>
      <c r="AP228" s="3"/>
      <c r="AQ228" s="3"/>
      <c r="AR228" s="3"/>
      <c r="AS228" s="3"/>
      <c r="AT228" s="3"/>
      <c r="AU228" s="3"/>
      <c r="AV228" s="3"/>
      <c r="AW228" s="3"/>
      <c r="AX228" s="3"/>
      <c r="AY228" s="3"/>
      <c r="AZ228" s="4"/>
      <c r="BA228" s="3"/>
      <c r="BB228" s="205" t="s">
        <v>538</v>
      </c>
      <c r="BG228" s="242">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8" t="s">
        <v>591</v>
      </c>
      <c r="AJ229" s="1418"/>
      <c r="AL229" s="3"/>
      <c r="AM229" s="3"/>
      <c r="AN229" s="3"/>
      <c r="AO229" s="3"/>
      <c r="AP229" s="3"/>
      <c r="AQ229" s="3"/>
      <c r="AR229" s="3"/>
      <c r="AS229" s="3"/>
      <c r="AT229" s="3"/>
      <c r="AU229" s="3"/>
      <c r="AV229" s="3"/>
      <c r="AW229" s="3"/>
      <c r="AX229" s="3"/>
      <c r="AY229" s="3"/>
      <c r="BA229" s="3"/>
      <c r="BB229" s="205" t="s">
        <v>538</v>
      </c>
      <c r="BG229" s="242">
        <f>IF(AND(AND($M$249="for profit",$M$257="nonprofit",$M$265="(select one)")),2,0)</f>
        <v>0</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5" t="s">
        <v>538</v>
      </c>
      <c r="BG230" s="241">
        <f>IF(AND(AND($M$249="nonprofit",$M$257="for profit",$M$265="(select one)")),2,0)</f>
        <v>0</v>
      </c>
    </row>
    <row r="231" spans="1:59" ht="12.95" customHeight="1">
      <c r="A231" s="2" t="s">
        <v>576</v>
      </c>
      <c r="B231" s="4"/>
      <c r="C231" s="2" t="s">
        <v>2085</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5"/>
      <c r="BG231" s="205"/>
    </row>
    <row r="232" spans="1:59" ht="12.95" customHeight="1">
      <c r="D232" s="4" t="s">
        <v>470</v>
      </c>
      <c r="E232" s="4"/>
      <c r="F232" s="4"/>
      <c r="G232" s="4"/>
      <c r="H232" s="4"/>
      <c r="I232" s="4"/>
      <c r="J232" s="4"/>
      <c r="K232" s="4"/>
      <c r="M232" s="1553" t="str">
        <f>H16</f>
        <v>Fairways Apartments, L.P.</v>
      </c>
      <c r="N232" s="1553"/>
      <c r="O232" s="1553"/>
      <c r="P232" s="1553"/>
      <c r="Q232" s="1553"/>
      <c r="R232" s="1553"/>
      <c r="S232" s="1553"/>
      <c r="T232" s="1553"/>
      <c r="U232" s="1553"/>
      <c r="V232" s="1553"/>
      <c r="W232" s="1553"/>
      <c r="X232" s="1553"/>
      <c r="Y232" s="1553"/>
      <c r="Z232" s="1553"/>
      <c r="AA232" s="1553"/>
      <c r="AB232" s="1553"/>
      <c r="AC232" s="1553"/>
      <c r="AD232" s="1553"/>
      <c r="AE232" s="1553"/>
      <c r="AF232" s="1553"/>
      <c r="AG232" s="1553"/>
      <c r="AH232" s="1553"/>
      <c r="AI232" s="1553"/>
      <c r="AJ232" s="1553"/>
      <c r="AK232" s="1553"/>
      <c r="AZ232" s="4"/>
      <c r="BA232" s="3"/>
      <c r="BB232" s="206" t="s">
        <v>538</v>
      </c>
      <c r="BG232" s="242">
        <f>IF(AND(AND($M$249="nonprofit",$M$257="nonprofit",$M$265="for profit")),2,0)</f>
        <v>0</v>
      </c>
    </row>
    <row r="233" spans="1:59" ht="12.95" customHeight="1">
      <c r="D233" s="4" t="s">
        <v>85</v>
      </c>
      <c r="E233" s="4"/>
      <c r="F233" s="4"/>
      <c r="G233" s="4"/>
      <c r="H233" s="4"/>
      <c r="I233" s="4"/>
      <c r="J233" s="4"/>
      <c r="K233" s="4"/>
      <c r="M233" s="1497" t="s">
        <v>2617</v>
      </c>
      <c r="N233" s="1517"/>
      <c r="O233" s="1517"/>
      <c r="P233" s="1517"/>
      <c r="Q233" s="1517"/>
      <c r="R233" s="1517"/>
      <c r="S233" s="1517"/>
      <c r="T233" s="1517"/>
      <c r="U233" s="1517"/>
      <c r="V233" s="1517"/>
      <c r="W233" s="1517"/>
      <c r="X233" s="1517"/>
      <c r="Y233" s="1517"/>
      <c r="Z233" s="1517"/>
      <c r="AA233" s="1517"/>
      <c r="AB233" s="1517"/>
      <c r="AC233" s="1517"/>
      <c r="AD233" s="1517"/>
      <c r="AE233" s="1517"/>
      <c r="BB233" s="206" t="s">
        <v>538</v>
      </c>
      <c r="BG233" s="242">
        <f>IF(AND(AND($M$249="nonprofit",$M$257="for profit",$M$265="nonprofit")),2,0)</f>
        <v>0</v>
      </c>
    </row>
    <row r="234" spans="1:59" ht="12.95" customHeight="1">
      <c r="D234" s="4" t="s">
        <v>580</v>
      </c>
      <c r="E234" s="4"/>
      <c r="M234" s="1497" t="s">
        <v>729</v>
      </c>
      <c r="N234" s="1517"/>
      <c r="O234" s="1517"/>
      <c r="P234" s="1517"/>
      <c r="Q234" s="1517"/>
      <c r="R234" s="1517"/>
      <c r="S234" s="1517"/>
      <c r="T234" s="1517"/>
      <c r="V234" s="33" t="s">
        <v>86</v>
      </c>
      <c r="W234" s="1499" t="s">
        <v>2618</v>
      </c>
      <c r="X234" s="1397"/>
      <c r="Y234" s="4" t="s">
        <v>583</v>
      </c>
      <c r="AC234" s="1517">
        <v>92128</v>
      </c>
      <c r="AD234" s="1517"/>
      <c r="AE234" s="1517"/>
      <c r="AU234" s="4"/>
      <c r="AV234" s="4"/>
      <c r="AW234" s="4"/>
      <c r="AX234" s="4"/>
      <c r="AY234" s="4"/>
      <c r="AZ234" s="4"/>
      <c r="BB234" s="206" t="s">
        <v>538</v>
      </c>
      <c r="BG234" s="241">
        <f>IF(AND(AND($M$249="for profit",$M$257="nonprofit",$M$265="nonprofit")),2,0)</f>
        <v>0</v>
      </c>
    </row>
    <row r="235" spans="1:59" ht="12.95" customHeight="1">
      <c r="D235" s="4" t="s">
        <v>87</v>
      </c>
      <c r="E235" s="4"/>
      <c r="F235" s="4"/>
      <c r="G235" s="4"/>
      <c r="H235" s="4"/>
      <c r="I235" s="4"/>
      <c r="J235" s="4"/>
      <c r="K235" s="19"/>
      <c r="M235" s="1497" t="s">
        <v>2619</v>
      </c>
      <c r="N235" s="1517"/>
      <c r="O235" s="1517"/>
      <c r="P235" s="1517"/>
      <c r="Q235" s="1517"/>
      <c r="R235" s="1517"/>
      <c r="S235" s="1517"/>
      <c r="T235" s="1517"/>
      <c r="U235" s="1517"/>
      <c r="V235" s="1517"/>
      <c r="W235" s="1517"/>
      <c r="X235" s="1517"/>
      <c r="Y235" s="1517"/>
      <c r="Z235" s="1517"/>
      <c r="AA235" s="1517"/>
      <c r="AB235" s="1517"/>
      <c r="AC235" s="1517"/>
      <c r="AD235" s="1517"/>
      <c r="AE235" s="1517"/>
      <c r="AI235" s="4"/>
      <c r="AJ235" s="4"/>
      <c r="AK235" s="4"/>
      <c r="AL235" s="4"/>
      <c r="AM235" s="4"/>
      <c r="AN235" s="4"/>
      <c r="AO235" s="4"/>
      <c r="AP235" s="4"/>
      <c r="AQ235" s="4"/>
      <c r="AR235" s="4"/>
      <c r="AS235" s="4"/>
      <c r="AT235" s="4"/>
      <c r="BB235" s="206"/>
      <c r="BG235" s="205"/>
    </row>
    <row r="236" spans="1:59" ht="12.95" customHeight="1">
      <c r="D236" s="4" t="s">
        <v>88</v>
      </c>
      <c r="E236" s="4"/>
      <c r="F236" s="4"/>
      <c r="M236" s="1474" t="s">
        <v>2677</v>
      </c>
      <c r="N236" s="1475"/>
      <c r="O236" s="1475"/>
      <c r="P236" s="1475"/>
      <c r="Q236" s="1475"/>
      <c r="R236" s="1475"/>
      <c r="S236" s="4" t="s">
        <v>206</v>
      </c>
      <c r="T236" s="4"/>
      <c r="U236" s="1499" t="s">
        <v>2678</v>
      </c>
      <c r="V236" s="1397"/>
      <c r="W236" s="1397"/>
      <c r="X236" s="4" t="s">
        <v>89</v>
      </c>
      <c r="Z236" s="1474" t="s">
        <v>2678</v>
      </c>
      <c r="AA236" s="1475"/>
      <c r="AB236" s="1475"/>
      <c r="AC236" s="1475"/>
      <c r="AD236" s="1475"/>
      <c r="AE236" s="1475"/>
      <c r="AU236" s="4"/>
      <c r="AV236" s="4"/>
      <c r="AW236" s="4"/>
      <c r="AX236" s="4"/>
      <c r="AY236" s="4"/>
      <c r="AZ236" s="4"/>
      <c r="BB236" s="205" t="s">
        <v>537</v>
      </c>
      <c r="BG236" s="242">
        <f>IF(AND(AND($M$249="nonprofit",$M$257="nonprofit",$M$265="(select one)")),1,0)</f>
        <v>0</v>
      </c>
    </row>
    <row r="237" spans="1:59" ht="12.95" customHeight="1">
      <c r="D237" s="4" t="s">
        <v>90</v>
      </c>
      <c r="E237" s="4"/>
      <c r="F237" s="4"/>
      <c r="M237" s="1532" t="s">
        <v>2620</v>
      </c>
      <c r="N237" s="1532"/>
      <c r="O237" s="1532"/>
      <c r="P237" s="1532"/>
      <c r="Q237" s="1532"/>
      <c r="R237" s="1532"/>
      <c r="S237" s="1532"/>
      <c r="T237" s="1532"/>
      <c r="U237" s="1532"/>
      <c r="V237" s="1532"/>
      <c r="W237" s="1532"/>
      <c r="X237" s="1532"/>
      <c r="Y237" s="1532"/>
      <c r="Z237" s="1532"/>
      <c r="AA237" s="1532"/>
      <c r="AB237" s="1532"/>
      <c r="AC237" s="1532"/>
      <c r="AD237" s="1532"/>
      <c r="AE237" s="1532"/>
      <c r="AF237" s="4"/>
      <c r="AG237" s="4"/>
      <c r="AH237" s="4"/>
      <c r="AI237" s="4"/>
      <c r="AJ237" s="4"/>
      <c r="AK237" s="4"/>
      <c r="AL237" s="4"/>
      <c r="AM237" s="4"/>
      <c r="AN237" s="4"/>
      <c r="AO237" s="4"/>
      <c r="AP237" s="4"/>
      <c r="AQ237" s="4"/>
      <c r="AR237" s="4"/>
      <c r="AS237" s="4"/>
      <c r="AT237" s="4"/>
      <c r="AU237" s="3"/>
      <c r="AV237" s="3"/>
      <c r="AW237" s="3"/>
      <c r="AX237" s="3"/>
      <c r="AY237" s="3"/>
      <c r="BB237" s="205" t="s">
        <v>537</v>
      </c>
      <c r="BG237" s="242">
        <f>IF(AND(AND($M$249="nonprofit",$M$257="nonprofit",$M$265="nonprofit")),1,0)</f>
        <v>0</v>
      </c>
    </row>
    <row r="238" spans="1:59" ht="12.95" customHeight="1">
      <c r="A238" s="2" t="s">
        <v>586</v>
      </c>
      <c r="C238" s="2" t="s">
        <v>525</v>
      </c>
      <c r="M238" s="1420" t="s">
        <v>528</v>
      </c>
      <c r="N238" s="1420"/>
      <c r="O238" s="1420"/>
      <c r="P238" s="1420"/>
      <c r="Q238" s="1420"/>
      <c r="R238" s="1420"/>
      <c r="S238" s="1420"/>
      <c r="T238" s="1420"/>
      <c r="U238" s="205" t="s">
        <v>906</v>
      </c>
      <c r="V238" s="205"/>
      <c r="W238" s="205"/>
      <c r="X238" s="205"/>
      <c r="Y238" s="205"/>
      <c r="Z238" s="205"/>
      <c r="AA238" s="1561" t="s">
        <v>2621</v>
      </c>
      <c r="AB238" s="1562"/>
      <c r="AC238" s="1562"/>
      <c r="AD238" s="1562"/>
      <c r="AE238" s="1562"/>
      <c r="AF238" s="1562"/>
      <c r="AG238" s="1562"/>
      <c r="AH238" s="1562"/>
      <c r="AI238" s="1562"/>
      <c r="AJ238" s="1562"/>
      <c r="AK238" s="1562"/>
      <c r="AL238" s="3"/>
      <c r="AM238" s="3"/>
      <c r="AN238" s="3"/>
      <c r="AO238" s="3"/>
      <c r="AP238" s="3"/>
      <c r="AQ238" s="3"/>
      <c r="AR238" s="3"/>
      <c r="AS238" s="3"/>
      <c r="AT238" s="3"/>
      <c r="AU238" s="3"/>
      <c r="AV238" s="3"/>
      <c r="AW238" s="3"/>
      <c r="AX238" s="3"/>
      <c r="AY238" s="3"/>
      <c r="BB238" s="205" t="s">
        <v>537</v>
      </c>
      <c r="BG238" s="242">
        <f>IF(AND(AND($M$249="nonprofit",$M$257="(select one)",$M$265="(select one)")),1,0)</f>
        <v>0</v>
      </c>
    </row>
    <row r="239" spans="1:59" ht="12.95" customHeight="1">
      <c r="D239" t="s">
        <v>531</v>
      </c>
      <c r="M239" s="1497" t="s">
        <v>2678</v>
      </c>
      <c r="N239" s="1399"/>
      <c r="O239" s="1399"/>
      <c r="P239" s="1399"/>
      <c r="Q239" s="1399"/>
      <c r="R239" s="1399"/>
      <c r="S239" s="1399"/>
      <c r="T239" s="1399"/>
      <c r="U239" s="1399"/>
      <c r="V239" s="1399"/>
      <c r="W239" s="1399"/>
      <c r="X239" s="1399"/>
      <c r="Y239" s="1399"/>
      <c r="Z239" s="1399"/>
      <c r="AA239" s="1399"/>
      <c r="AB239" s="1399"/>
      <c r="AC239" s="1399"/>
      <c r="AD239" s="1399"/>
      <c r="AE239" s="1399"/>
      <c r="AF239" s="4"/>
      <c r="AG239" s="4"/>
      <c r="AH239" s="4"/>
      <c r="AI239" s="4"/>
      <c r="AJ239" s="4"/>
      <c r="AK239" s="3"/>
      <c r="AL239" s="3"/>
      <c r="AM239" s="3"/>
      <c r="AN239" s="3"/>
      <c r="AO239" s="3"/>
      <c r="AP239" s="3"/>
      <c r="AQ239" s="3"/>
      <c r="AR239" s="3"/>
      <c r="AS239" s="3"/>
      <c r="AT239" s="3"/>
      <c r="BB239" s="205" t="s">
        <v>877</v>
      </c>
      <c r="BG239" s="242">
        <f>IF(AND(AND($M$249="for profit",$M$257="for profit",$M$265="(select one)")),3,0)</f>
        <v>0</v>
      </c>
    </row>
    <row r="240" spans="1:59" ht="12.95" customHeight="1">
      <c r="D240" s="4"/>
      <c r="BB240" s="205" t="s">
        <v>877</v>
      </c>
      <c r="BG240" s="242">
        <f>IF(AND(AND($M$249="for profit",$M$257="for profit",$M$265="for profit")),3,0)</f>
        <v>0</v>
      </c>
    </row>
    <row r="241" spans="1:67" ht="12.95" customHeight="1">
      <c r="A241" s="2" t="s">
        <v>589</v>
      </c>
      <c r="C241" s="2" t="s">
        <v>1183</v>
      </c>
      <c r="D241" s="4"/>
      <c r="L241" s="8"/>
      <c r="M241" s="8"/>
      <c r="N241" s="8"/>
      <c r="AU241" s="3"/>
      <c r="AV241" s="3"/>
      <c r="AW241" s="3"/>
      <c r="AX241" s="3"/>
      <c r="AY241" s="3"/>
      <c r="BB241" s="205" t="s">
        <v>877</v>
      </c>
      <c r="BG241" s="242">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473</v>
      </c>
      <c r="D243" s="4" t="s">
        <v>532</v>
      </c>
      <c r="E243" s="4"/>
      <c r="F243" s="4"/>
      <c r="G243" s="4"/>
      <c r="H243" s="4"/>
      <c r="I243" s="4"/>
      <c r="J243" s="4"/>
      <c r="K243" s="4"/>
      <c r="L243" s="4"/>
      <c r="M243" s="1530" t="s">
        <v>2646</v>
      </c>
      <c r="N243" s="1531"/>
      <c r="O243" s="1531"/>
      <c r="P243" s="1531"/>
      <c r="Q243" s="1531"/>
      <c r="R243" s="1531"/>
      <c r="S243" s="1531"/>
      <c r="T243" s="1531"/>
      <c r="U243" s="1531"/>
      <c r="V243" s="1531"/>
      <c r="W243" s="1531"/>
      <c r="X243" s="1531"/>
      <c r="Y243" s="1531"/>
      <c r="Z243" s="1531"/>
      <c r="AA243" s="1531"/>
      <c r="AB243" s="1531"/>
      <c r="AC243" s="1531"/>
      <c r="AD243" s="1531"/>
      <c r="AE243" s="1531"/>
      <c r="AF243" s="1531" t="s">
        <v>2647</v>
      </c>
      <c r="AG243" s="1531"/>
      <c r="AH243" s="1531"/>
      <c r="AI243" s="1531"/>
      <c r="AJ243" s="1531"/>
      <c r="AK243" s="1531"/>
      <c r="AU243" s="4"/>
      <c r="AV243" s="4"/>
      <c r="AW243" s="4"/>
      <c r="AX243" s="4"/>
      <c r="AY243" s="4"/>
      <c r="BG243">
        <f>SUM(BG226:BG241)</f>
        <v>0</v>
      </c>
    </row>
    <row r="244" spans="1:67" ht="12.95" customHeight="1">
      <c r="A244" s="19"/>
      <c r="B244" s="4"/>
      <c r="C244" s="4"/>
      <c r="D244" s="4" t="s">
        <v>85</v>
      </c>
      <c r="E244" s="4"/>
      <c r="F244" s="4"/>
      <c r="G244" s="4"/>
      <c r="H244" s="4"/>
      <c r="I244" s="4"/>
      <c r="J244" s="4"/>
      <c r="K244" s="4"/>
      <c r="L244" s="4"/>
      <c r="M244" s="1497" t="s">
        <v>2617</v>
      </c>
      <c r="N244" s="1517"/>
      <c r="O244" s="1517"/>
      <c r="P244" s="1517"/>
      <c r="Q244" s="1517"/>
      <c r="R244" s="1517"/>
      <c r="S244" s="1517"/>
      <c r="T244" s="1517"/>
      <c r="U244" s="1517"/>
      <c r="V244" s="1517"/>
      <c r="W244" s="1517"/>
      <c r="X244" s="1517"/>
      <c r="Y244" s="1517"/>
      <c r="Z244" s="1517"/>
      <c r="AA244" s="1517"/>
      <c r="AB244" s="1517"/>
      <c r="AC244" s="1517"/>
      <c r="AD244" s="1517"/>
      <c r="AE244" s="1517"/>
      <c r="AF244" s="3" t="s">
        <v>1179</v>
      </c>
      <c r="AL244" s="4"/>
      <c r="AM244" s="4"/>
      <c r="AN244" s="4"/>
      <c r="AO244" s="4"/>
      <c r="AP244" s="4"/>
      <c r="AQ244" s="4"/>
      <c r="AR244" s="4"/>
      <c r="AS244" s="4"/>
      <c r="AT244" s="4"/>
      <c r="BB244" t="s">
        <v>307</v>
      </c>
      <c r="BG244">
        <v>1</v>
      </c>
      <c r="BH244" t="s">
        <v>534</v>
      </c>
    </row>
    <row r="245" spans="1:67" ht="12.95" customHeight="1">
      <c r="A245" s="19"/>
      <c r="B245" s="4"/>
      <c r="C245" s="4"/>
      <c r="D245" s="4" t="s">
        <v>580</v>
      </c>
      <c r="E245" s="4"/>
      <c r="M245" s="1497" t="s">
        <v>729</v>
      </c>
      <c r="N245" s="1517"/>
      <c r="O245" s="1517"/>
      <c r="P245" s="1517"/>
      <c r="Q245" s="1517"/>
      <c r="R245" s="1517"/>
      <c r="S245" s="1517"/>
      <c r="T245" s="1517"/>
      <c r="V245" s="33" t="s">
        <v>86</v>
      </c>
      <c r="W245" s="1499" t="s">
        <v>2618</v>
      </c>
      <c r="X245" s="1397"/>
      <c r="Y245" s="4" t="s">
        <v>583</v>
      </c>
      <c r="AC245" s="1517">
        <v>92128</v>
      </c>
      <c r="AD245" s="1517"/>
      <c r="AE245" s="1517"/>
      <c r="AF245" s="3" t="s">
        <v>1180</v>
      </c>
      <c r="AU245" s="4"/>
      <c r="AV245" s="4"/>
      <c r="AW245" s="4"/>
      <c r="AX245" s="4"/>
      <c r="AY245" s="4"/>
      <c r="BB245" s="4" t="s">
        <v>280</v>
      </c>
      <c r="BG245">
        <v>2</v>
      </c>
      <c r="BH245" t="s">
        <v>566</v>
      </c>
      <c r="BO245" s="240" t="str">
        <f>VLOOKUP(BG243,BG244:BH247,2,FALSE)</f>
        <v/>
      </c>
    </row>
    <row r="246" spans="1:67" ht="12.95" customHeight="1">
      <c r="A246" s="19"/>
      <c r="B246" s="4"/>
      <c r="C246" s="4"/>
      <c r="D246" s="4" t="s">
        <v>87</v>
      </c>
      <c r="E246" s="4"/>
      <c r="F246" s="4"/>
      <c r="G246" s="4"/>
      <c r="H246" s="4"/>
      <c r="I246" s="4"/>
      <c r="J246" s="4"/>
      <c r="K246" s="4"/>
      <c r="L246" s="19"/>
      <c r="M246" s="1497" t="s">
        <v>2619</v>
      </c>
      <c r="N246" s="1517"/>
      <c r="O246" s="1517"/>
      <c r="P246" s="1517"/>
      <c r="Q246" s="1517"/>
      <c r="R246" s="1517"/>
      <c r="S246" s="1517"/>
      <c r="T246" s="1517"/>
      <c r="U246" s="1517"/>
      <c r="V246" s="1517"/>
      <c r="W246" s="1517"/>
      <c r="X246" s="1517"/>
      <c r="Y246" s="1517"/>
      <c r="Z246" s="1517"/>
      <c r="AA246" s="1517"/>
      <c r="AB246" s="1517"/>
      <c r="AC246" s="1517"/>
      <c r="AD246" s="1517"/>
      <c r="AE246" s="1517"/>
      <c r="AH246" s="1560">
        <v>0.01</v>
      </c>
      <c r="AI246" s="1560"/>
      <c r="AJ246" s="1560"/>
      <c r="AK246" s="1560"/>
      <c r="AL246" s="4"/>
      <c r="AM246" s="4"/>
      <c r="AN246" s="4"/>
      <c r="AO246" s="4"/>
      <c r="AP246" s="4"/>
      <c r="AQ246" s="4"/>
      <c r="AR246" s="4"/>
      <c r="AS246" s="4"/>
      <c r="AT246" s="4"/>
      <c r="BB246" s="4" t="s">
        <v>173</v>
      </c>
      <c r="BG246">
        <v>3</v>
      </c>
      <c r="BH246" t="s">
        <v>536</v>
      </c>
      <c r="BN246" s="34"/>
    </row>
    <row r="247" spans="1:67" ht="12.95" customHeight="1">
      <c r="A247" s="19"/>
      <c r="B247" s="4"/>
      <c r="C247" s="4"/>
      <c r="D247" s="4" t="s">
        <v>88</v>
      </c>
      <c r="E247" s="4"/>
      <c r="F247" s="4"/>
      <c r="M247" s="1474" t="s">
        <v>2679</v>
      </c>
      <c r="N247" s="1475"/>
      <c r="O247" s="1475"/>
      <c r="P247" s="1475"/>
      <c r="Q247" s="1475"/>
      <c r="R247" s="1475"/>
      <c r="S247" s="4" t="s">
        <v>206</v>
      </c>
      <c r="T247" s="4"/>
      <c r="U247" s="1499" t="s">
        <v>2678</v>
      </c>
      <c r="V247" s="1397"/>
      <c r="W247" s="1397"/>
      <c r="X247" s="4" t="s">
        <v>89</v>
      </c>
      <c r="Z247" s="1474" t="s">
        <v>2678</v>
      </c>
      <c r="AA247" s="1475"/>
      <c r="AB247" s="1475"/>
      <c r="AC247" s="1475"/>
      <c r="AD247" s="1475"/>
      <c r="AE247" s="1475"/>
      <c r="AU247" s="4"/>
      <c r="AV247" s="4"/>
      <c r="AW247" s="4"/>
      <c r="AX247" s="4"/>
      <c r="AY247" s="4"/>
      <c r="BG247">
        <v>0</v>
      </c>
      <c r="BH247" s="3" t="str">
        <f>""</f>
        <v/>
      </c>
      <c r="BN247" s="34"/>
    </row>
    <row r="248" spans="1:67" ht="12.95" customHeight="1">
      <c r="A248" s="19"/>
      <c r="B248" s="4"/>
      <c r="C248" s="4"/>
      <c r="D248" s="4" t="s">
        <v>90</v>
      </c>
      <c r="E248" s="4"/>
      <c r="F248" s="4"/>
      <c r="M248" s="1532" t="s">
        <v>2620</v>
      </c>
      <c r="N248" s="1532"/>
      <c r="O248" s="1532"/>
      <c r="P248" s="1532"/>
      <c r="Q248" s="1532"/>
      <c r="R248" s="1532"/>
      <c r="S248" s="1532"/>
      <c r="T248" s="1532"/>
      <c r="U248" s="1532"/>
      <c r="V248" s="1532"/>
      <c r="W248" s="1532"/>
      <c r="X248" s="1532"/>
      <c r="Y248" s="1532"/>
      <c r="Z248" s="1532"/>
      <c r="AA248" s="1532"/>
      <c r="AB248" s="1532"/>
      <c r="AC248" s="1532"/>
      <c r="AD248" s="1532"/>
      <c r="AE248" s="1532"/>
      <c r="AG248" s="4"/>
      <c r="AH248" s="4"/>
      <c r="AI248" s="4"/>
      <c r="AJ248" s="4"/>
      <c r="AK248" s="4"/>
      <c r="AL248" s="4"/>
      <c r="AM248" s="4"/>
      <c r="AN248" s="4"/>
      <c r="AO248" s="4"/>
      <c r="AP248" s="4"/>
      <c r="AQ248" s="4"/>
      <c r="AR248" s="4"/>
      <c r="AS248" s="4"/>
      <c r="AT248" s="4"/>
      <c r="BN248" s="34"/>
    </row>
    <row r="249" spans="1:67" ht="12.95" customHeight="1">
      <c r="A249" s="13"/>
      <c r="B249" s="4"/>
      <c r="C249" s="56"/>
      <c r="D249" s="4" t="s">
        <v>535</v>
      </c>
      <c r="E249" s="4"/>
      <c r="F249" s="4"/>
      <c r="G249" s="4"/>
      <c r="H249" s="4"/>
      <c r="I249" s="4"/>
      <c r="J249" s="4"/>
      <c r="K249" s="4"/>
      <c r="L249" s="4"/>
      <c r="M249" s="1420" t="s">
        <v>536</v>
      </c>
      <c r="N249" s="1420"/>
      <c r="O249" s="1420"/>
      <c r="P249" s="1420"/>
      <c r="Q249" s="1420"/>
      <c r="R249" s="1420"/>
      <c r="S249" s="1420"/>
      <c r="T249" s="1420"/>
      <c r="U249" s="205" t="s">
        <v>906</v>
      </c>
      <c r="V249" s="205"/>
      <c r="W249" s="205"/>
      <c r="X249" s="205"/>
      <c r="Y249" s="205"/>
      <c r="Z249" s="205"/>
      <c r="AA249" s="1561" t="s">
        <v>2651</v>
      </c>
      <c r="AB249" s="1562"/>
      <c r="AC249" s="1562"/>
      <c r="AD249" s="1562"/>
      <c r="AE249" s="1562"/>
      <c r="AF249" s="1562"/>
      <c r="AG249" s="1562"/>
      <c r="AH249" s="1562"/>
      <c r="AI249" s="1562"/>
      <c r="AJ249" s="1562"/>
      <c r="AK249" s="1562"/>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955</v>
      </c>
      <c r="E251" s="4"/>
      <c r="F251" s="4"/>
      <c r="G251" s="4"/>
      <c r="H251" s="4"/>
      <c r="I251" s="4"/>
      <c r="J251" s="4"/>
      <c r="K251" s="4"/>
      <c r="L251" s="4"/>
      <c r="M251" s="1530" t="s">
        <v>2648</v>
      </c>
      <c r="N251" s="1531"/>
      <c r="O251" s="1531"/>
      <c r="P251" s="1531"/>
      <c r="Q251" s="1531"/>
      <c r="R251" s="1531"/>
      <c r="S251" s="1531"/>
      <c r="T251" s="1531"/>
      <c r="U251" s="1531"/>
      <c r="V251" s="1531"/>
      <c r="W251" s="1531"/>
      <c r="X251" s="1531"/>
      <c r="Y251" s="1531"/>
      <c r="Z251" s="1531"/>
      <c r="AA251" s="1531"/>
      <c r="AB251" s="1531"/>
      <c r="AC251" s="1531"/>
      <c r="AD251" s="1531"/>
      <c r="AE251" s="1531"/>
      <c r="AF251" s="1531" t="s">
        <v>2649</v>
      </c>
      <c r="AG251" s="1531"/>
      <c r="AH251" s="1531"/>
      <c r="AI251" s="1531"/>
      <c r="AJ251" s="1531"/>
      <c r="AK251" s="1531"/>
      <c r="AU251" s="4"/>
      <c r="AV251" s="4"/>
      <c r="AW251" s="4"/>
      <c r="AX251" s="4"/>
      <c r="AY251" s="4"/>
      <c r="BN251" s="34"/>
    </row>
    <row r="252" spans="1:67" ht="12.95" customHeight="1">
      <c r="A252" s="19"/>
      <c r="B252" s="4"/>
      <c r="C252" s="4"/>
      <c r="D252" s="4" t="s">
        <v>85</v>
      </c>
      <c r="E252" s="4"/>
      <c r="F252" s="4"/>
      <c r="G252" s="4"/>
      <c r="H252" s="4"/>
      <c r="I252" s="4"/>
      <c r="J252" s="4"/>
      <c r="K252" s="4"/>
      <c r="L252" s="4"/>
      <c r="M252" s="1497" t="s">
        <v>2680</v>
      </c>
      <c r="N252" s="1517"/>
      <c r="O252" s="1517"/>
      <c r="P252" s="1517"/>
      <c r="Q252" s="1517"/>
      <c r="R252" s="1517"/>
      <c r="S252" s="1517"/>
      <c r="T252" s="1517"/>
      <c r="U252" s="1517"/>
      <c r="V252" s="1517"/>
      <c r="W252" s="1517"/>
      <c r="X252" s="1517"/>
      <c r="Y252" s="1517"/>
      <c r="Z252" s="1517"/>
      <c r="AA252" s="1517"/>
      <c r="AB252" s="1517"/>
      <c r="AC252" s="1517"/>
      <c r="AD252" s="1517"/>
      <c r="AE252" s="1517"/>
      <c r="AF252" s="3" t="s">
        <v>1179</v>
      </c>
      <c r="AL252" s="4"/>
      <c r="AM252" s="4"/>
      <c r="AN252" s="4"/>
      <c r="AO252" s="4"/>
      <c r="AP252" s="4"/>
      <c r="AQ252" s="4"/>
      <c r="AR252" s="4"/>
      <c r="AS252" s="4"/>
      <c r="AT252" s="4"/>
      <c r="BN252" s="34"/>
    </row>
    <row r="253" spans="1:67" ht="12.95" customHeight="1">
      <c r="A253" s="19"/>
      <c r="B253" s="4"/>
      <c r="C253" s="4"/>
      <c r="D253" s="4" t="s">
        <v>580</v>
      </c>
      <c r="E253" s="4"/>
      <c r="M253" s="1497" t="s">
        <v>729</v>
      </c>
      <c r="N253" s="1517"/>
      <c r="O253" s="1517"/>
      <c r="P253" s="1517"/>
      <c r="Q253" s="1517"/>
      <c r="R253" s="1517"/>
      <c r="S253" s="1517"/>
      <c r="T253" s="1517"/>
      <c r="V253" s="33" t="s">
        <v>86</v>
      </c>
      <c r="W253" s="1499" t="s">
        <v>2618</v>
      </c>
      <c r="X253" s="1397"/>
      <c r="Y253" s="4" t="s">
        <v>583</v>
      </c>
      <c r="AC253" s="1517">
        <v>92128</v>
      </c>
      <c r="AD253" s="1517"/>
      <c r="AE253" s="1517"/>
      <c r="AF253" s="3" t="s">
        <v>1180</v>
      </c>
      <c r="AU253" s="4"/>
      <c r="AV253" s="4"/>
      <c r="AW253" s="4"/>
      <c r="AX253" s="4"/>
      <c r="AY253" s="4"/>
      <c r="BN253" s="34"/>
    </row>
    <row r="254" spans="1:67" ht="12.95" customHeight="1">
      <c r="A254" s="19"/>
      <c r="B254" s="4"/>
      <c r="C254" s="4"/>
      <c r="D254" s="4" t="s">
        <v>87</v>
      </c>
      <c r="E254" s="4"/>
      <c r="F254" s="4"/>
      <c r="G254" s="4"/>
      <c r="H254" s="4"/>
      <c r="I254" s="4"/>
      <c r="J254" s="4"/>
      <c r="K254" s="4"/>
      <c r="L254" s="19"/>
      <c r="M254" s="1497" t="s">
        <v>2681</v>
      </c>
      <c r="N254" s="1517"/>
      <c r="O254" s="1517"/>
      <c r="P254" s="1517"/>
      <c r="Q254" s="1517"/>
      <c r="R254" s="1517"/>
      <c r="S254" s="1517"/>
      <c r="T254" s="1517"/>
      <c r="U254" s="1517"/>
      <c r="V254" s="1517"/>
      <c r="W254" s="1517"/>
      <c r="X254" s="1517"/>
      <c r="Y254" s="1517"/>
      <c r="Z254" s="1517"/>
      <c r="AA254" s="1517"/>
      <c r="AB254" s="1517"/>
      <c r="AC254" s="1517"/>
      <c r="AD254" s="1517"/>
      <c r="AE254" s="1517"/>
      <c r="AH254" s="1560">
        <v>0.99</v>
      </c>
      <c r="AI254" s="1560"/>
      <c r="AJ254" s="1560"/>
      <c r="AK254" s="1560"/>
      <c r="AL254" s="4"/>
      <c r="AM254" s="4"/>
      <c r="AN254" s="4"/>
      <c r="AO254" s="4"/>
      <c r="AP254" s="4"/>
      <c r="AQ254" s="4"/>
      <c r="AR254" s="4"/>
      <c r="AS254" s="4"/>
      <c r="AT254" s="4"/>
    </row>
    <row r="255" spans="1:67" ht="12.95" customHeight="1">
      <c r="A255" s="19"/>
      <c r="B255" s="4"/>
      <c r="C255" s="4"/>
      <c r="D255" s="4" t="s">
        <v>88</v>
      </c>
      <c r="E255" s="4"/>
      <c r="F255" s="4"/>
      <c r="M255" s="1474" t="s">
        <v>2682</v>
      </c>
      <c r="N255" s="1475"/>
      <c r="O255" s="1475"/>
      <c r="P255" s="1475"/>
      <c r="Q255" s="1475"/>
      <c r="R255" s="1475"/>
      <c r="S255" s="4" t="s">
        <v>206</v>
      </c>
      <c r="T255" s="4"/>
      <c r="U255" s="1499" t="s">
        <v>2678</v>
      </c>
      <c r="V255" s="1397"/>
      <c r="W255" s="1397"/>
      <c r="X255" s="4" t="s">
        <v>89</v>
      </c>
      <c r="Z255" s="1474" t="s">
        <v>2678</v>
      </c>
      <c r="AA255" s="1475"/>
      <c r="AB255" s="1475"/>
      <c r="AC255" s="1475"/>
      <c r="AD255" s="1475"/>
      <c r="AE255" s="1475"/>
      <c r="AU255" s="4"/>
      <c r="AV255" s="4"/>
      <c r="AW255" s="4"/>
      <c r="AX255" s="4"/>
      <c r="AY255" s="4"/>
      <c r="BN255" s="34"/>
    </row>
    <row r="256" spans="1:67" ht="12.95" customHeight="1">
      <c r="A256" s="19"/>
      <c r="B256" s="4"/>
      <c r="C256" s="4"/>
      <c r="D256" s="4" t="s">
        <v>90</v>
      </c>
      <c r="E256" s="4"/>
      <c r="F256" s="4"/>
      <c r="M256" s="1532" t="s">
        <v>2683</v>
      </c>
      <c r="N256" s="1532"/>
      <c r="O256" s="1532"/>
      <c r="P256" s="1532"/>
      <c r="Q256" s="1532"/>
      <c r="R256" s="1532"/>
      <c r="S256" s="1532"/>
      <c r="T256" s="1532"/>
      <c r="U256" s="1532"/>
      <c r="V256" s="1532"/>
      <c r="W256" s="1532"/>
      <c r="X256" s="1532"/>
      <c r="Y256" s="1532"/>
      <c r="Z256" s="1532"/>
      <c r="AA256" s="1532"/>
      <c r="AB256" s="1532"/>
      <c r="AC256" s="1532"/>
      <c r="AD256" s="1532"/>
      <c r="AE256" s="1532"/>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535</v>
      </c>
      <c r="E257" s="4"/>
      <c r="F257" s="4"/>
      <c r="G257" s="4"/>
      <c r="H257" s="4"/>
      <c r="I257" s="4"/>
      <c r="J257" s="4"/>
      <c r="K257" s="4"/>
      <c r="L257" s="4"/>
      <c r="M257" s="1420" t="s">
        <v>534</v>
      </c>
      <c r="N257" s="1420"/>
      <c r="O257" s="1420"/>
      <c r="P257" s="1420"/>
      <c r="Q257" s="1420"/>
      <c r="R257" s="1420"/>
      <c r="S257" s="1420"/>
      <c r="T257" s="1420"/>
      <c r="U257" s="205" t="s">
        <v>906</v>
      </c>
      <c r="V257" s="205"/>
      <c r="W257" s="205"/>
      <c r="X257" s="205"/>
      <c r="Y257" s="205"/>
      <c r="Z257" s="205"/>
      <c r="AA257" s="1561" t="s">
        <v>2650</v>
      </c>
      <c r="AB257" s="1562"/>
      <c r="AC257" s="1562"/>
      <c r="AD257" s="1562"/>
      <c r="AE257" s="1562"/>
      <c r="AF257" s="1562"/>
      <c r="AG257" s="1562"/>
      <c r="AH257" s="1562"/>
      <c r="AI257" s="1562"/>
      <c r="AJ257" s="1562"/>
      <c r="AK257" s="1562"/>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876</v>
      </c>
      <c r="D259" s="4" t="s">
        <v>532</v>
      </c>
      <c r="E259" s="4"/>
      <c r="F259" s="4"/>
      <c r="G259" s="4"/>
      <c r="H259" s="4"/>
      <c r="I259" s="4"/>
      <c r="J259" s="4"/>
      <c r="K259" s="4"/>
      <c r="L259" s="4"/>
      <c r="M259" s="1530"/>
      <c r="N259" s="1531"/>
      <c r="O259" s="1531"/>
      <c r="P259" s="1531"/>
      <c r="Q259" s="1531"/>
      <c r="R259" s="1531"/>
      <c r="S259" s="1531"/>
      <c r="T259" s="1531"/>
      <c r="U259" s="1531"/>
      <c r="V259" s="1531"/>
      <c r="W259" s="1531"/>
      <c r="X259" s="1531"/>
      <c r="Y259" s="1531"/>
      <c r="Z259" s="1531"/>
      <c r="AA259" s="1531"/>
      <c r="AB259" s="1531"/>
      <c r="AC259" s="1531"/>
      <c r="AD259" s="1531"/>
      <c r="AE259" s="1531"/>
      <c r="AF259" s="1531"/>
      <c r="AG259" s="1531"/>
      <c r="AH259" s="1531"/>
      <c r="AI259" s="1531"/>
      <c r="AJ259" s="1531"/>
      <c r="AK259" s="1531"/>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517"/>
      <c r="N260" s="1517"/>
      <c r="O260" s="1517"/>
      <c r="P260" s="1517"/>
      <c r="Q260" s="1517"/>
      <c r="R260" s="1517"/>
      <c r="S260" s="1517"/>
      <c r="T260" s="1517"/>
      <c r="U260" s="1517"/>
      <c r="V260" s="1517"/>
      <c r="W260" s="1517"/>
      <c r="X260" s="1517"/>
      <c r="Y260" s="1517"/>
      <c r="Z260" s="1517"/>
      <c r="AA260" s="1517"/>
      <c r="AB260" s="1517"/>
      <c r="AC260" s="1517"/>
      <c r="AD260" s="1517"/>
      <c r="AE260" s="1517"/>
      <c r="AF260" s="3" t="s">
        <v>1179</v>
      </c>
      <c r="AL260" s="3"/>
      <c r="AM260" s="3"/>
      <c r="AN260" s="3"/>
      <c r="AO260" s="3"/>
      <c r="AP260" s="3"/>
      <c r="AQ260" s="3"/>
      <c r="AR260" s="3"/>
      <c r="AS260" s="3"/>
      <c r="AT260" s="3"/>
      <c r="AU260" s="3"/>
      <c r="AV260" s="3"/>
      <c r="AW260" s="3"/>
      <c r="AX260" s="3"/>
      <c r="AY260" s="3"/>
    </row>
    <row r="261" spans="1:51" ht="12.95" customHeight="1">
      <c r="A261" s="13"/>
      <c r="B261" s="4"/>
      <c r="C261" s="4"/>
      <c r="D261" s="4" t="s">
        <v>580</v>
      </c>
      <c r="E261" s="4"/>
      <c r="M261" s="1497"/>
      <c r="N261" s="1517"/>
      <c r="O261" s="1517"/>
      <c r="P261" s="1517"/>
      <c r="Q261" s="1517"/>
      <c r="R261" s="1517"/>
      <c r="S261" s="1517"/>
      <c r="T261" s="1517"/>
      <c r="V261" s="33" t="s">
        <v>86</v>
      </c>
      <c r="W261" s="1499"/>
      <c r="X261" s="1397"/>
      <c r="Y261" s="4" t="s">
        <v>583</v>
      </c>
      <c r="AC261" s="1517"/>
      <c r="AD261" s="1517"/>
      <c r="AE261" s="1517"/>
      <c r="AF261" s="3" t="s">
        <v>1180</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517"/>
      <c r="N262" s="1517"/>
      <c r="O262" s="1517"/>
      <c r="P262" s="1517"/>
      <c r="Q262" s="1517"/>
      <c r="R262" s="1517"/>
      <c r="S262" s="1517"/>
      <c r="T262" s="1517"/>
      <c r="U262" s="1517"/>
      <c r="V262" s="1517"/>
      <c r="W262" s="1517"/>
      <c r="X262" s="1517"/>
      <c r="Y262" s="1517"/>
      <c r="Z262" s="1517"/>
      <c r="AA262" s="1517"/>
      <c r="AB262" s="1517"/>
      <c r="AC262" s="1517"/>
      <c r="AD262" s="1517"/>
      <c r="AE262" s="1517"/>
      <c r="AH262" s="1560"/>
      <c r="AI262" s="1560"/>
      <c r="AJ262" s="1560"/>
      <c r="AK262" s="1560"/>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475"/>
      <c r="N263" s="1475"/>
      <c r="O263" s="1475"/>
      <c r="P263" s="1475"/>
      <c r="Q263" s="1475"/>
      <c r="R263" s="1475"/>
      <c r="S263" s="4" t="s">
        <v>206</v>
      </c>
      <c r="T263" s="4"/>
      <c r="U263" s="1499"/>
      <c r="V263" s="1397"/>
      <c r="W263" s="1397"/>
      <c r="X263" s="4" t="s">
        <v>89</v>
      </c>
      <c r="Z263" s="1474"/>
      <c r="AA263" s="1475"/>
      <c r="AB263" s="1475"/>
      <c r="AC263" s="1475"/>
      <c r="AD263" s="1475"/>
      <c r="AE263" s="1475"/>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532"/>
      <c r="N264" s="1532"/>
      <c r="O264" s="1532"/>
      <c r="P264" s="1532"/>
      <c r="Q264" s="1532"/>
      <c r="R264" s="1532"/>
      <c r="S264" s="1532"/>
      <c r="T264" s="1532"/>
      <c r="U264" s="1532"/>
      <c r="V264" s="1532"/>
      <c r="W264" s="1532"/>
      <c r="X264" s="1532"/>
      <c r="Y264" s="1532"/>
      <c r="Z264" s="1532"/>
      <c r="AA264" s="1550"/>
      <c r="AB264" s="1550"/>
      <c r="AC264" s="1550"/>
      <c r="AD264" s="1550"/>
      <c r="AE264" s="1550"/>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535</v>
      </c>
      <c r="E265" s="4"/>
      <c r="F265" s="4"/>
      <c r="G265" s="4"/>
      <c r="H265" s="4"/>
      <c r="I265" s="4"/>
      <c r="J265" s="4"/>
      <c r="K265" s="4"/>
      <c r="L265" s="4"/>
      <c r="M265" s="1420"/>
      <c r="N265" s="1420"/>
      <c r="O265" s="1420"/>
      <c r="P265" s="1420"/>
      <c r="Q265" s="1420"/>
      <c r="R265" s="1420"/>
      <c r="S265" s="1420"/>
      <c r="T265" s="1420"/>
      <c r="U265" s="205" t="s">
        <v>906</v>
      </c>
      <c r="V265" s="205"/>
      <c r="W265" s="205"/>
      <c r="X265" s="205"/>
      <c r="Y265" s="205"/>
      <c r="Z265" s="205"/>
      <c r="AA265" s="1565"/>
      <c r="AB265" s="1566"/>
      <c r="AC265" s="1566"/>
      <c r="AD265" s="1566"/>
      <c r="AE265" s="1566"/>
      <c r="AF265" s="1566"/>
      <c r="AG265" s="1566"/>
      <c r="AH265" s="1566"/>
      <c r="AI265" s="1566"/>
      <c r="AJ265" s="1566"/>
      <c r="AK265" s="1566"/>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590</v>
      </c>
      <c r="B267" s="4"/>
      <c r="C267" s="2" t="s">
        <v>295</v>
      </c>
      <c r="D267" s="4"/>
      <c r="E267" s="4"/>
      <c r="F267" s="4"/>
      <c r="G267" s="4"/>
      <c r="H267" s="4"/>
      <c r="I267" s="4"/>
      <c r="J267" s="4"/>
      <c r="K267" s="4"/>
      <c r="L267" s="4"/>
      <c r="M267" s="35"/>
      <c r="N267" s="35"/>
      <c r="O267" s="35"/>
      <c r="P267" s="35"/>
      <c r="Q267" s="35"/>
      <c r="T267" s="1567" t="str">
        <f>IFERROR(BO245,"")</f>
        <v/>
      </c>
      <c r="U267" s="1567"/>
      <c r="V267" s="1567"/>
      <c r="W267" s="1567"/>
      <c r="X267" s="1567"/>
      <c r="Z267" s="308" t="s">
        <v>954</v>
      </c>
      <c r="AA267" s="309"/>
      <c r="AB267" s="309"/>
      <c r="AC267" s="309"/>
      <c r="AD267" s="105"/>
      <c r="AE267" s="105"/>
      <c r="AF267" s="105"/>
      <c r="AG267" s="105"/>
      <c r="AH267" s="105"/>
      <c r="AI267" s="105"/>
      <c r="AJ267" s="105"/>
      <c r="AK267" s="310"/>
      <c r="AL267" s="58"/>
    </row>
    <row r="268" spans="1:51" ht="12.95" customHeight="1">
      <c r="A268" s="2"/>
      <c r="B268" s="4"/>
      <c r="C268" s="2"/>
      <c r="I268" s="4"/>
      <c r="J268" s="4"/>
      <c r="K268" s="4"/>
      <c r="L268" s="4"/>
      <c r="M268" s="35"/>
      <c r="N268" s="35"/>
      <c r="O268" s="35"/>
      <c r="P268" s="35"/>
      <c r="Q268" s="35"/>
      <c r="T268" s="4"/>
      <c r="U268" s="4"/>
      <c r="V268" s="4"/>
      <c r="W268" s="35"/>
      <c r="Z268" s="311" t="s">
        <v>807</v>
      </c>
      <c r="AF268" s="4"/>
      <c r="AG268" s="4"/>
      <c r="AH268" s="4"/>
      <c r="AI268" s="4"/>
      <c r="AJ268" s="4"/>
      <c r="AL268" s="65"/>
    </row>
    <row r="269" spans="1:51" ht="12.95" customHeight="1">
      <c r="A269" s="2" t="s">
        <v>592</v>
      </c>
      <c r="B269" s="4"/>
      <c r="C269" s="2" t="s">
        <v>172</v>
      </c>
      <c r="D269" s="4"/>
      <c r="E269" s="4"/>
      <c r="F269" s="4"/>
      <c r="G269" s="4"/>
      <c r="H269" s="4"/>
      <c r="I269" s="4"/>
      <c r="J269" s="4"/>
      <c r="K269" s="4"/>
      <c r="L269" s="4"/>
      <c r="M269" s="4"/>
      <c r="N269" s="4"/>
      <c r="O269" s="4"/>
      <c r="P269" s="4"/>
      <c r="Q269" s="4"/>
      <c r="R269" s="4"/>
      <c r="S269" s="4"/>
      <c r="T269" s="4"/>
      <c r="U269" s="4"/>
      <c r="V269" s="4"/>
      <c r="W269" s="4"/>
      <c r="Z269" s="312" t="s">
        <v>953</v>
      </c>
      <c r="AA269" s="48"/>
      <c r="AB269" s="48"/>
      <c r="AC269" s="48"/>
      <c r="AD269" s="48"/>
      <c r="AE269" s="48"/>
      <c r="AF269" s="104"/>
      <c r="AG269" s="104"/>
      <c r="AH269" s="104"/>
      <c r="AI269" s="104"/>
      <c r="AJ269" s="104"/>
      <c r="AK269" s="48"/>
      <c r="AL269" s="49"/>
    </row>
    <row r="270" spans="1:51" ht="12.95" customHeight="1">
      <c r="A270" s="4"/>
      <c r="B270" s="36">
        <v>0</v>
      </c>
      <c r="D270" s="1517" t="s">
        <v>280</v>
      </c>
      <c r="E270" s="1517"/>
      <c r="F270" s="1517"/>
      <c r="G270" s="1517"/>
      <c r="H270" s="1517"/>
      <c r="J270" t="s">
        <v>279</v>
      </c>
      <c r="X270" s="1498"/>
      <c r="Y270" s="1498"/>
      <c r="Z270" s="1498"/>
      <c r="AA270" s="1498"/>
      <c r="AB270" s="1498"/>
      <c r="AC270" s="1498"/>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530" t="s">
        <v>2621</v>
      </c>
      <c r="M274" s="1531"/>
      <c r="N274" s="1531"/>
      <c r="O274" s="1531"/>
      <c r="P274" s="1531"/>
      <c r="Q274" s="1531"/>
      <c r="R274" s="1531"/>
      <c r="S274" s="1531"/>
      <c r="T274" s="1531"/>
      <c r="U274" s="1531"/>
      <c r="V274" s="1531"/>
      <c r="W274" s="1531"/>
      <c r="X274" s="1531"/>
      <c r="Y274" s="1531"/>
      <c r="Z274" s="1531"/>
      <c r="AA274" s="1531"/>
      <c r="AB274" s="1531"/>
      <c r="AC274" s="1531"/>
      <c r="AD274" s="1531"/>
      <c r="AE274" s="1531"/>
      <c r="AF274" s="1531"/>
      <c r="AG274" s="1531"/>
      <c r="AH274" s="1531"/>
      <c r="AI274" s="1531"/>
      <c r="AJ274" s="1531"/>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497" t="s">
        <v>2617</v>
      </c>
      <c r="M275" s="1517"/>
      <c r="N275" s="1517"/>
      <c r="O275" s="1517"/>
      <c r="P275" s="1517"/>
      <c r="Q275" s="1517"/>
      <c r="R275" s="1517"/>
      <c r="S275" s="1517"/>
      <c r="T275" s="1517"/>
      <c r="U275" s="1517"/>
      <c r="V275" s="1517"/>
      <c r="W275" s="1517"/>
      <c r="X275" s="1517"/>
      <c r="Y275" s="1517"/>
      <c r="Z275" s="1517"/>
      <c r="AA275" s="1517"/>
      <c r="AB275" s="1517"/>
      <c r="AC275" s="1517"/>
      <c r="AD275" s="1517"/>
      <c r="AK275" s="3"/>
      <c r="AL275" s="3"/>
      <c r="AM275" s="3"/>
      <c r="AN275" s="3"/>
      <c r="AO275" s="3"/>
      <c r="AP275" s="3"/>
      <c r="AQ275" s="3"/>
      <c r="AR275" s="3"/>
      <c r="AS275" s="3"/>
      <c r="AT275" s="3"/>
      <c r="AU275" s="3"/>
      <c r="AV275" s="3"/>
      <c r="AW275" s="3"/>
      <c r="AX275" s="3"/>
      <c r="AY275" s="3"/>
    </row>
    <row r="276" spans="1:51" ht="12.95" customHeight="1">
      <c r="D276" s="4" t="s">
        <v>580</v>
      </c>
      <c r="E276" s="4"/>
      <c r="L276" s="1497" t="s">
        <v>729</v>
      </c>
      <c r="M276" s="1517"/>
      <c r="N276" s="1517"/>
      <c r="O276" s="1517"/>
      <c r="P276" s="1517"/>
      <c r="Q276" s="1517"/>
      <c r="R276" s="1517"/>
      <c r="S276" s="1517"/>
      <c r="U276" s="33" t="s">
        <v>86</v>
      </c>
      <c r="V276" s="1499" t="s">
        <v>2618</v>
      </c>
      <c r="W276" s="1397"/>
      <c r="X276" s="4" t="s">
        <v>583</v>
      </c>
      <c r="AB276" s="1517">
        <v>92128</v>
      </c>
      <c r="AC276" s="1517"/>
      <c r="AD276" s="1517"/>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497" t="s">
        <v>2622</v>
      </c>
      <c r="M277" s="1517"/>
      <c r="N277" s="1517"/>
      <c r="O277" s="1517"/>
      <c r="P277" s="1517"/>
      <c r="Q277" s="1517"/>
      <c r="R277" s="1517"/>
      <c r="S277" s="1517"/>
      <c r="T277" s="1517"/>
      <c r="U277" s="1517"/>
      <c r="V277" s="1517"/>
      <c r="W277" s="1517"/>
      <c r="X277" s="1517"/>
      <c r="Y277" s="1517"/>
      <c r="Z277" s="1517"/>
      <c r="AA277" s="1517"/>
      <c r="AB277" s="1517"/>
      <c r="AC277" s="1517"/>
      <c r="AD277" s="1517"/>
      <c r="AI277" s="4"/>
      <c r="AJ277" s="4"/>
      <c r="AK277" s="3"/>
      <c r="AL277" s="3"/>
      <c r="AM277" s="3"/>
      <c r="AN277" s="3"/>
      <c r="AO277" s="3"/>
      <c r="AP277" s="3"/>
      <c r="AQ277" s="3"/>
      <c r="AR277" s="3"/>
      <c r="AS277" s="3"/>
      <c r="AT277" s="3"/>
    </row>
    <row r="278" spans="1:51" ht="12.95" customHeight="1">
      <c r="D278" s="4" t="s">
        <v>88</v>
      </c>
      <c r="E278" s="4"/>
      <c r="F278" s="4"/>
      <c r="L278" s="1474" t="s">
        <v>2659</v>
      </c>
      <c r="M278" s="1475"/>
      <c r="N278" s="1475"/>
      <c r="O278" s="1475"/>
      <c r="P278" s="1475"/>
      <c r="Q278" s="1475"/>
      <c r="R278" s="4" t="s">
        <v>206</v>
      </c>
      <c r="S278" s="4"/>
      <c r="T278" s="1499" t="s">
        <v>2678</v>
      </c>
      <c r="U278" s="1397"/>
      <c r="V278" s="1397"/>
      <c r="W278" s="4" t="s">
        <v>89</v>
      </c>
      <c r="Y278" s="1474" t="s">
        <v>2678</v>
      </c>
      <c r="Z278" s="1475"/>
      <c r="AA278" s="1475"/>
      <c r="AB278" s="1475"/>
      <c r="AC278" s="1475"/>
      <c r="AD278" s="1475"/>
    </row>
    <row r="279" spans="1:51" ht="12.95" customHeight="1">
      <c r="D279" s="4" t="s">
        <v>90</v>
      </c>
      <c r="E279" s="4"/>
      <c r="F279" s="4"/>
      <c r="L279" s="1532" t="s">
        <v>2623</v>
      </c>
      <c r="M279" s="1532"/>
      <c r="N279" s="1532"/>
      <c r="O279" s="1532"/>
      <c r="P279" s="1532"/>
      <c r="Q279" s="1532"/>
      <c r="R279" s="1532"/>
      <c r="S279" s="1532"/>
      <c r="T279" s="1532"/>
      <c r="U279" s="1532"/>
      <c r="V279" s="1532"/>
      <c r="W279" s="1532"/>
      <c r="X279" s="1532"/>
      <c r="Y279" s="1532"/>
      <c r="Z279" s="1532"/>
      <c r="AA279" s="1532"/>
      <c r="AB279" s="1532"/>
      <c r="AC279" s="1532"/>
      <c r="AD279" s="1532"/>
      <c r="AF279" s="4"/>
      <c r="AG279" s="4"/>
      <c r="AH279" s="4"/>
      <c r="AI279" s="4"/>
      <c r="AJ279" s="4"/>
      <c r="AU279" s="3"/>
      <c r="AV279" s="3"/>
      <c r="AW279" s="3"/>
      <c r="AX279" s="3"/>
      <c r="AY279" s="3"/>
    </row>
    <row r="280" spans="1:51" ht="12.95" customHeight="1">
      <c r="D280" s="3" t="s">
        <v>623</v>
      </c>
      <c r="E280" s="3"/>
      <c r="F280" s="3"/>
      <c r="G280" s="3"/>
      <c r="H280" s="3"/>
      <c r="I280" s="3"/>
      <c r="L280" s="1499" t="s">
        <v>2624</v>
      </c>
      <c r="M280" s="1499"/>
      <c r="N280" s="1499"/>
      <c r="O280" s="1499"/>
      <c r="P280" s="1499"/>
      <c r="Q280" s="1499"/>
      <c r="R280" s="1499"/>
      <c r="S280" s="1499"/>
      <c r="T280" s="1499"/>
      <c r="U280" s="1499"/>
      <c r="V280" s="1499"/>
      <c r="W280" s="1499"/>
      <c r="X280" s="1499"/>
      <c r="Y280" s="1499"/>
      <c r="Z280" s="1499"/>
      <c r="AA280" s="1499"/>
      <c r="AB280" s="1499"/>
      <c r="AC280" s="1499"/>
      <c r="AD280" s="1499"/>
      <c r="AK280" s="3"/>
      <c r="AL280" s="3"/>
      <c r="AM280" s="3"/>
      <c r="AN280" s="3"/>
      <c r="AO280" s="3"/>
      <c r="AP280" s="3"/>
      <c r="AQ280" s="3"/>
      <c r="AR280" s="3"/>
      <c r="AS280" s="3"/>
      <c r="AT280" s="3"/>
    </row>
    <row r="281" spans="1:51" ht="12.95" customHeight="1">
      <c r="L281" s="22" t="s">
        <v>624</v>
      </c>
      <c r="AU281" s="95"/>
      <c r="AV281" s="95"/>
      <c r="AW281" s="95"/>
      <c r="AX281" s="95"/>
      <c r="AY281" s="95"/>
    </row>
    <row r="282" spans="1:51" ht="12.95" customHeight="1">
      <c r="A282" s="1537" t="s">
        <v>541</v>
      </c>
      <c r="B282" s="1537"/>
      <c r="C282" s="1537"/>
      <c r="D282" s="1537"/>
      <c r="E282" s="1537"/>
      <c r="F282" s="1537"/>
      <c r="G282" s="1537"/>
      <c r="H282" s="1537"/>
      <c r="I282" s="1537"/>
      <c r="J282" s="1537"/>
      <c r="K282" s="1537"/>
      <c r="L282" s="1537"/>
      <c r="M282" s="1537"/>
      <c r="N282" s="1537"/>
      <c r="O282" s="1537"/>
      <c r="P282" s="1537"/>
      <c r="Q282" s="1537"/>
      <c r="R282" s="1537"/>
      <c r="S282" s="1537"/>
      <c r="T282" s="1537"/>
      <c r="U282" s="1537"/>
      <c r="V282" s="1537"/>
      <c r="W282" s="1537"/>
      <c r="X282" s="1537"/>
      <c r="Y282" s="1537"/>
      <c r="Z282" s="1537"/>
      <c r="AA282" s="1537"/>
      <c r="AB282" s="1537"/>
      <c r="AC282" s="1537"/>
      <c r="AD282" s="1537"/>
      <c r="AE282" s="1537"/>
      <c r="AF282" s="1537"/>
      <c r="AG282" s="1537"/>
      <c r="AH282" s="1537"/>
      <c r="AI282" s="1537"/>
      <c r="AJ282" s="1537"/>
      <c r="AK282" s="1537"/>
      <c r="AL282" s="1537"/>
      <c r="AM282" s="1537"/>
      <c r="AN282" s="1537"/>
      <c r="AO282" s="1537"/>
      <c r="AP282" s="1537"/>
      <c r="AQ282" s="1537"/>
      <c r="AR282" s="1537"/>
      <c r="AS282" s="1537"/>
      <c r="AT282" s="1537"/>
      <c r="AU282" s="95"/>
      <c r="AV282" s="95"/>
      <c r="AW282" s="95"/>
      <c r="AX282" s="95"/>
      <c r="AY282" s="95"/>
    </row>
    <row r="283" spans="1:51" ht="12.95" customHeight="1">
      <c r="A283" s="1537"/>
      <c r="B283" s="1537"/>
      <c r="C283" s="1537"/>
      <c r="D283" s="1537"/>
      <c r="E283" s="1537"/>
      <c r="F283" s="1537"/>
      <c r="G283" s="1537"/>
      <c r="H283" s="1537"/>
      <c r="I283" s="1537"/>
      <c r="J283" s="1537"/>
      <c r="K283" s="1537"/>
      <c r="L283" s="1537"/>
      <c r="M283" s="1537"/>
      <c r="N283" s="1537"/>
      <c r="O283" s="1537"/>
      <c r="P283" s="1537"/>
      <c r="Q283" s="1537"/>
      <c r="R283" s="1537"/>
      <c r="S283" s="1537"/>
      <c r="T283" s="1537"/>
      <c r="U283" s="1537"/>
      <c r="V283" s="1537"/>
      <c r="W283" s="1537"/>
      <c r="X283" s="1537"/>
      <c r="Y283" s="1537"/>
      <c r="Z283" s="1537"/>
      <c r="AA283" s="1537"/>
      <c r="AB283" s="1537"/>
      <c r="AC283" s="1537"/>
      <c r="AD283" s="1537"/>
      <c r="AE283" s="1537"/>
      <c r="AF283" s="1537"/>
      <c r="AG283" s="1537"/>
      <c r="AH283" s="1537"/>
      <c r="AI283" s="1537"/>
      <c r="AJ283" s="1537"/>
      <c r="AK283" s="1537"/>
      <c r="AL283" s="1537"/>
      <c r="AM283" s="1537"/>
      <c r="AN283" s="1537"/>
      <c r="AO283" s="1537"/>
      <c r="AP283" s="1537"/>
      <c r="AQ283" s="1537"/>
      <c r="AR283" s="1537"/>
      <c r="AS283" s="1537"/>
      <c r="AT283" s="1537"/>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626</v>
      </c>
      <c r="C287" s="3"/>
      <c r="D287" s="3"/>
      <c r="E287" s="3"/>
      <c r="F287" s="3"/>
      <c r="H287" s="1399" t="s">
        <v>2652</v>
      </c>
      <c r="I287" s="1399"/>
      <c r="J287" s="1399"/>
      <c r="K287" s="1399"/>
      <c r="L287" s="1399"/>
      <c r="M287" s="1399"/>
      <c r="N287" s="1399"/>
      <c r="O287" s="1399"/>
      <c r="P287" s="1399"/>
      <c r="Q287" s="1399"/>
      <c r="R287" s="1399"/>
      <c r="T287" s="3" t="s">
        <v>567</v>
      </c>
      <c r="V287" s="3"/>
      <c r="W287" s="3"/>
      <c r="X287" s="3"/>
      <c r="Y287" s="3"/>
      <c r="AA287" s="1497" t="s">
        <v>2723</v>
      </c>
      <c r="AB287" s="1399"/>
      <c r="AC287" s="1399"/>
      <c r="AD287" s="1399"/>
      <c r="AE287" s="1399"/>
      <c r="AF287" s="1399"/>
      <c r="AG287" s="1399"/>
      <c r="AH287" s="1399"/>
      <c r="AI287" s="1399"/>
      <c r="AJ287" s="1399"/>
      <c r="AK287" s="1399"/>
    </row>
    <row r="288" spans="1:51" ht="12.95" customHeight="1">
      <c r="B288" s="3" t="s">
        <v>471</v>
      </c>
      <c r="C288" s="3"/>
      <c r="D288" s="3"/>
      <c r="E288" s="3"/>
      <c r="F288" s="3"/>
      <c r="H288" s="1420" t="s">
        <v>2684</v>
      </c>
      <c r="I288" s="1420"/>
      <c r="J288" s="1420"/>
      <c r="K288" s="1420"/>
      <c r="L288" s="1420"/>
      <c r="M288" s="1420"/>
      <c r="N288" s="1420"/>
      <c r="O288" s="1420"/>
      <c r="P288" s="1420"/>
      <c r="Q288" s="1420"/>
      <c r="R288" s="1420"/>
      <c r="T288" s="3" t="s">
        <v>471</v>
      </c>
      <c r="V288" s="3"/>
      <c r="W288" s="3"/>
      <c r="X288" s="3"/>
      <c r="Y288" s="3"/>
      <c r="AA288" s="1499" t="s">
        <v>2724</v>
      </c>
      <c r="AB288" s="1420"/>
      <c r="AC288" s="1420"/>
      <c r="AD288" s="1420"/>
      <c r="AE288" s="1420"/>
      <c r="AF288" s="1420"/>
      <c r="AG288" s="1420"/>
      <c r="AH288" s="1420"/>
      <c r="AI288" s="1420"/>
      <c r="AJ288" s="1420"/>
      <c r="AK288" s="1420"/>
    </row>
    <row r="289" spans="2:37" ht="12.95" customHeight="1">
      <c r="B289" s="3" t="s">
        <v>472</v>
      </c>
      <c r="C289" s="3"/>
      <c r="D289" s="3"/>
      <c r="E289" s="3"/>
      <c r="F289" s="3"/>
      <c r="H289" s="1420" t="s">
        <v>2685</v>
      </c>
      <c r="I289" s="1420"/>
      <c r="J289" s="1420"/>
      <c r="K289" s="1420"/>
      <c r="L289" s="1420"/>
      <c r="M289" s="1420"/>
      <c r="N289" s="1420"/>
      <c r="O289" s="1420"/>
      <c r="P289" s="1420"/>
      <c r="Q289" s="1420"/>
      <c r="R289" s="1420"/>
      <c r="T289" s="3" t="s">
        <v>75</v>
      </c>
      <c r="V289" s="3"/>
      <c r="W289" s="3"/>
      <c r="X289" s="3"/>
      <c r="Y289" s="3"/>
      <c r="AA289" s="1499" t="s">
        <v>2725</v>
      </c>
      <c r="AB289" s="1420"/>
      <c r="AC289" s="1420"/>
      <c r="AD289" s="1420"/>
      <c r="AE289" s="1420"/>
      <c r="AF289" s="1420"/>
      <c r="AG289" s="1420"/>
      <c r="AH289" s="1420"/>
      <c r="AI289" s="1420"/>
      <c r="AJ289" s="1420"/>
      <c r="AK289" s="1420"/>
    </row>
    <row r="290" spans="2:37" ht="12.95" customHeight="1">
      <c r="B290" s="3" t="s">
        <v>87</v>
      </c>
      <c r="C290" s="3"/>
      <c r="D290" s="3"/>
      <c r="E290" s="3"/>
      <c r="F290" s="3"/>
      <c r="H290" s="1420" t="s">
        <v>2658</v>
      </c>
      <c r="I290" s="1420"/>
      <c r="J290" s="1420"/>
      <c r="K290" s="1420"/>
      <c r="L290" s="1420"/>
      <c r="M290" s="1420"/>
      <c r="N290" s="1420"/>
      <c r="O290" s="1420"/>
      <c r="P290" s="1420"/>
      <c r="Q290" s="1420"/>
      <c r="R290" s="1420"/>
      <c r="T290" s="3" t="s">
        <v>87</v>
      </c>
      <c r="V290" s="3"/>
      <c r="W290" s="3"/>
      <c r="X290" s="3"/>
      <c r="Y290" s="3"/>
      <c r="AA290" s="1499" t="s">
        <v>2726</v>
      </c>
      <c r="AB290" s="1420"/>
      <c r="AC290" s="1420"/>
      <c r="AD290" s="1420"/>
      <c r="AE290" s="1420"/>
      <c r="AF290" s="1420"/>
      <c r="AG290" s="1420"/>
      <c r="AH290" s="1420"/>
      <c r="AI290" s="1420"/>
      <c r="AJ290" s="1420"/>
      <c r="AK290" s="1420"/>
    </row>
    <row r="291" spans="2:37" ht="12.95" customHeight="1">
      <c r="B291" s="3" t="s">
        <v>88</v>
      </c>
      <c r="C291" s="3"/>
      <c r="D291" s="3"/>
      <c r="E291" s="3"/>
      <c r="F291" s="3"/>
      <c r="G291" s="3"/>
      <c r="H291" s="1513" t="s">
        <v>2686</v>
      </c>
      <c r="I291" s="1513"/>
      <c r="J291" s="1513"/>
      <c r="K291" s="1513"/>
      <c r="L291" s="1513"/>
      <c r="M291" s="1513"/>
      <c r="N291" s="4" t="s">
        <v>206</v>
      </c>
      <c r="O291" s="4"/>
      <c r="P291" s="1497" t="s">
        <v>2678</v>
      </c>
      <c r="Q291" s="1517"/>
      <c r="R291" s="1517"/>
      <c r="S291" s="3"/>
      <c r="T291" s="3" t="s">
        <v>88</v>
      </c>
      <c r="V291" s="3"/>
      <c r="W291" s="3"/>
      <c r="X291" s="3"/>
      <c r="Y291" s="3"/>
      <c r="AA291" s="1548" t="s">
        <v>2727</v>
      </c>
      <c r="AB291" s="1513"/>
      <c r="AC291" s="1513"/>
      <c r="AD291" s="1513"/>
      <c r="AE291" s="1513"/>
      <c r="AF291" s="1513"/>
      <c r="AG291" s="4" t="s">
        <v>206</v>
      </c>
      <c r="AH291" s="4"/>
      <c r="AI291" s="1497" t="s">
        <v>2678</v>
      </c>
      <c r="AJ291" s="1517"/>
      <c r="AK291" s="1517"/>
    </row>
    <row r="292" spans="2:37" ht="12.95" customHeight="1">
      <c r="B292" s="3" t="s">
        <v>89</v>
      </c>
      <c r="C292" s="3"/>
      <c r="D292" s="3"/>
      <c r="E292" s="3"/>
      <c r="F292" s="3"/>
      <c r="G292" s="3"/>
      <c r="H292" s="1474" t="s">
        <v>2678</v>
      </c>
      <c r="I292" s="1475"/>
      <c r="J292" s="1475"/>
      <c r="K292" s="1475"/>
      <c r="L292" s="1475"/>
      <c r="M292" s="1475"/>
      <c r="N292" s="4"/>
      <c r="O292" s="4"/>
      <c r="P292" s="35"/>
      <c r="Q292" s="35"/>
      <c r="R292" s="35"/>
      <c r="S292" s="3"/>
      <c r="T292" s="3" t="s">
        <v>89</v>
      </c>
      <c r="V292" s="3"/>
      <c r="W292" s="3"/>
      <c r="X292" s="3"/>
      <c r="Y292" s="3"/>
      <c r="AA292" s="1475" t="s">
        <v>591</v>
      </c>
      <c r="AB292" s="1475"/>
      <c r="AC292" s="1475"/>
      <c r="AD292" s="1475"/>
      <c r="AE292" s="1475"/>
      <c r="AF292" s="1475"/>
      <c r="AG292" s="4"/>
      <c r="AH292" s="4"/>
      <c r="AI292" s="35"/>
      <c r="AJ292" s="35"/>
      <c r="AK292" s="35"/>
    </row>
    <row r="293" spans="2:37" ht="12.95" customHeight="1">
      <c r="B293" s="3" t="s">
        <v>76</v>
      </c>
      <c r="C293" s="3"/>
      <c r="D293" s="3"/>
      <c r="E293" s="3"/>
      <c r="F293" s="3"/>
      <c r="G293" s="3"/>
      <c r="H293" s="1420" t="s">
        <v>2687</v>
      </c>
      <c r="I293" s="1420"/>
      <c r="J293" s="1420"/>
      <c r="K293" s="1420"/>
      <c r="L293" s="1420"/>
      <c r="M293" s="1420"/>
      <c r="N293" s="1399"/>
      <c r="O293" s="1399"/>
      <c r="P293" s="1399"/>
      <c r="Q293" s="1399"/>
      <c r="R293" s="1399"/>
      <c r="S293" s="3"/>
      <c r="T293" s="3" t="s">
        <v>76</v>
      </c>
      <c r="V293" s="3"/>
      <c r="W293" s="3"/>
      <c r="X293" s="3"/>
      <c r="Y293" s="3"/>
      <c r="AA293" s="1499" t="s">
        <v>2728</v>
      </c>
      <c r="AB293" s="1420"/>
      <c r="AC293" s="1420"/>
      <c r="AD293" s="1420"/>
      <c r="AE293" s="1420"/>
      <c r="AF293" s="1420"/>
      <c r="AG293" s="1399"/>
      <c r="AH293" s="1399"/>
      <c r="AI293" s="1399"/>
      <c r="AJ293" s="1399"/>
      <c r="AK293" s="1399"/>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399" t="s">
        <v>2688</v>
      </c>
      <c r="I295" s="1399"/>
      <c r="J295" s="1399"/>
      <c r="K295" s="1399"/>
      <c r="L295" s="1399"/>
      <c r="M295" s="1399"/>
      <c r="N295" s="1399"/>
      <c r="O295" s="1399"/>
      <c r="P295" s="1399"/>
      <c r="Q295" s="1399"/>
      <c r="R295" s="1399"/>
      <c r="T295" s="3" t="s">
        <v>364</v>
      </c>
      <c r="V295" s="3"/>
      <c r="W295" s="3"/>
      <c r="X295" s="3"/>
      <c r="Y295" s="3"/>
      <c r="AA295" s="1497" t="s">
        <v>2722</v>
      </c>
      <c r="AB295" s="1399"/>
      <c r="AC295" s="1399"/>
      <c r="AD295" s="1399"/>
      <c r="AE295" s="1399"/>
      <c r="AF295" s="1399"/>
      <c r="AG295" s="1399"/>
      <c r="AH295" s="1399"/>
      <c r="AI295" s="1399"/>
      <c r="AJ295" s="1399"/>
      <c r="AK295" s="1399"/>
    </row>
    <row r="296" spans="2:37" ht="12.95" customHeight="1">
      <c r="B296" s="3" t="s">
        <v>471</v>
      </c>
      <c r="C296" s="3"/>
      <c r="D296" s="3"/>
      <c r="E296" s="3"/>
      <c r="F296" s="3"/>
      <c r="H296" s="1420" t="s">
        <v>2689</v>
      </c>
      <c r="I296" s="1420"/>
      <c r="J296" s="1420"/>
      <c r="K296" s="1420"/>
      <c r="L296" s="1420"/>
      <c r="M296" s="1420"/>
      <c r="N296" s="1420"/>
      <c r="O296" s="1420"/>
      <c r="P296" s="1420"/>
      <c r="Q296" s="1420"/>
      <c r="R296" s="1420"/>
      <c r="T296" s="3" t="s">
        <v>471</v>
      </c>
      <c r="V296" s="3"/>
      <c r="W296" s="3"/>
      <c r="X296" s="3"/>
      <c r="Y296" s="3"/>
      <c r="AA296" s="1420"/>
      <c r="AB296" s="1420"/>
      <c r="AC296" s="1420"/>
      <c r="AD296" s="1420"/>
      <c r="AE296" s="1420"/>
      <c r="AF296" s="1420"/>
      <c r="AG296" s="1420"/>
      <c r="AH296" s="1420"/>
      <c r="AI296" s="1420"/>
      <c r="AJ296" s="1420"/>
      <c r="AK296" s="1420"/>
    </row>
    <row r="297" spans="2:37" ht="12.95" customHeight="1">
      <c r="B297" s="3" t="s">
        <v>472</v>
      </c>
      <c r="C297" s="3"/>
      <c r="D297" s="3"/>
      <c r="E297" s="3"/>
      <c r="F297" s="3"/>
      <c r="H297" s="1420" t="s">
        <v>2690</v>
      </c>
      <c r="I297" s="1420"/>
      <c r="J297" s="1420"/>
      <c r="K297" s="1420"/>
      <c r="L297" s="1420"/>
      <c r="M297" s="1420"/>
      <c r="N297" s="1420"/>
      <c r="O297" s="1420"/>
      <c r="P297" s="1420"/>
      <c r="Q297" s="1420"/>
      <c r="R297" s="1420"/>
      <c r="T297" s="3" t="s">
        <v>75</v>
      </c>
      <c r="V297" s="3"/>
      <c r="W297" s="3"/>
      <c r="X297" s="3"/>
      <c r="Y297" s="3"/>
      <c r="AA297" s="1420"/>
      <c r="AB297" s="1420"/>
      <c r="AC297" s="1420"/>
      <c r="AD297" s="1420"/>
      <c r="AE297" s="1420"/>
      <c r="AF297" s="1420"/>
      <c r="AG297" s="1420"/>
      <c r="AH297" s="1420"/>
      <c r="AI297" s="1420"/>
      <c r="AJ297" s="1420"/>
      <c r="AK297" s="1420"/>
    </row>
    <row r="298" spans="2:37" ht="12.95" customHeight="1">
      <c r="B298" s="3" t="s">
        <v>87</v>
      </c>
      <c r="C298" s="3"/>
      <c r="D298" s="3"/>
      <c r="E298" s="3"/>
      <c r="F298" s="3"/>
      <c r="H298" s="1420" t="s">
        <v>2691</v>
      </c>
      <c r="I298" s="1420"/>
      <c r="J298" s="1420"/>
      <c r="K298" s="1420"/>
      <c r="L298" s="1420"/>
      <c r="M298" s="1420"/>
      <c r="N298" s="1420"/>
      <c r="O298" s="1420"/>
      <c r="P298" s="1420"/>
      <c r="Q298" s="1420"/>
      <c r="R298" s="1420"/>
      <c r="T298" s="3" t="s">
        <v>87</v>
      </c>
      <c r="V298" s="3"/>
      <c r="W298" s="3"/>
      <c r="X298" s="3"/>
      <c r="Y298" s="3"/>
      <c r="AA298" s="1420"/>
      <c r="AB298" s="1420"/>
      <c r="AC298" s="1420"/>
      <c r="AD298" s="1420"/>
      <c r="AE298" s="1420"/>
      <c r="AF298" s="1420"/>
      <c r="AG298" s="1420"/>
      <c r="AH298" s="1420"/>
      <c r="AI298" s="1420"/>
      <c r="AJ298" s="1420"/>
      <c r="AK298" s="1420"/>
    </row>
    <row r="299" spans="2:37" ht="12.95" customHeight="1">
      <c r="B299" s="3" t="s">
        <v>88</v>
      </c>
      <c r="C299" s="3"/>
      <c r="D299" s="3"/>
      <c r="E299" s="3"/>
      <c r="F299" s="3"/>
      <c r="G299" s="3"/>
      <c r="H299" s="1513" t="s">
        <v>2692</v>
      </c>
      <c r="I299" s="1513"/>
      <c r="J299" s="1513"/>
      <c r="K299" s="1513"/>
      <c r="L299" s="1513"/>
      <c r="M299" s="1513"/>
      <c r="N299" s="4" t="s">
        <v>206</v>
      </c>
      <c r="O299" s="4"/>
      <c r="P299" s="1497" t="s">
        <v>2678</v>
      </c>
      <c r="Q299" s="1517"/>
      <c r="R299" s="1517"/>
      <c r="S299" s="3"/>
      <c r="T299" s="3" t="s">
        <v>88</v>
      </c>
      <c r="V299" s="3"/>
      <c r="W299" s="3"/>
      <c r="X299" s="3"/>
      <c r="Y299" s="3"/>
      <c r="AA299" s="1513"/>
      <c r="AB299" s="1513"/>
      <c r="AC299" s="1513"/>
      <c r="AD299" s="1513"/>
      <c r="AE299" s="1513"/>
      <c r="AF299" s="1513"/>
      <c r="AG299" s="4" t="s">
        <v>206</v>
      </c>
      <c r="AH299" s="4"/>
      <c r="AI299" s="1517"/>
      <c r="AJ299" s="1517"/>
      <c r="AK299" s="1517"/>
    </row>
    <row r="300" spans="2:37" ht="12.95" customHeight="1">
      <c r="B300" s="3" t="s">
        <v>89</v>
      </c>
      <c r="C300" s="3"/>
      <c r="D300" s="3"/>
      <c r="E300" s="3"/>
      <c r="F300" s="3"/>
      <c r="G300" s="3"/>
      <c r="H300" s="1475" t="s">
        <v>2693</v>
      </c>
      <c r="I300" s="1475"/>
      <c r="J300" s="1475"/>
      <c r="K300" s="1475"/>
      <c r="L300" s="1475"/>
      <c r="M300" s="1475"/>
      <c r="N300" s="4"/>
      <c r="O300" s="4"/>
      <c r="P300" s="35"/>
      <c r="Q300" s="35"/>
      <c r="R300" s="35"/>
      <c r="S300" s="3"/>
      <c r="T300" s="3" t="s">
        <v>89</v>
      </c>
      <c r="V300" s="3"/>
      <c r="W300" s="3"/>
      <c r="X300" s="3"/>
      <c r="Y300" s="3"/>
      <c r="AA300" s="1475"/>
      <c r="AB300" s="1475"/>
      <c r="AC300" s="1475"/>
      <c r="AD300" s="1475"/>
      <c r="AE300" s="1475"/>
      <c r="AF300" s="1475"/>
      <c r="AG300" s="4"/>
      <c r="AH300" s="4"/>
      <c r="AI300" s="35"/>
      <c r="AJ300" s="35"/>
      <c r="AK300" s="35"/>
    </row>
    <row r="301" spans="2:37" ht="12.95" customHeight="1">
      <c r="B301" s="3" t="s">
        <v>76</v>
      </c>
      <c r="C301" s="3"/>
      <c r="D301" s="3"/>
      <c r="E301" s="3"/>
      <c r="F301" s="3"/>
      <c r="G301" s="3"/>
      <c r="H301" s="1420" t="s">
        <v>2694</v>
      </c>
      <c r="I301" s="1420"/>
      <c r="J301" s="1420"/>
      <c r="K301" s="1420"/>
      <c r="L301" s="1420"/>
      <c r="M301" s="1420"/>
      <c r="N301" s="1399"/>
      <c r="O301" s="1399"/>
      <c r="P301" s="1399"/>
      <c r="Q301" s="1399"/>
      <c r="R301" s="1399"/>
      <c r="S301" s="3"/>
      <c r="T301" s="3" t="s">
        <v>76</v>
      </c>
      <c r="V301" s="3"/>
      <c r="W301" s="3"/>
      <c r="X301" s="3"/>
      <c r="Y301" s="3"/>
      <c r="AA301" s="1420"/>
      <c r="AB301" s="1420"/>
      <c r="AC301" s="1420"/>
      <c r="AD301" s="1420"/>
      <c r="AE301" s="1420"/>
      <c r="AF301" s="1420"/>
      <c r="AG301" s="1399"/>
      <c r="AH301" s="1399"/>
      <c r="AI301" s="1399"/>
      <c r="AJ301" s="1399"/>
      <c r="AK301" s="1399"/>
    </row>
    <row r="302" spans="2:37" ht="12.95" customHeight="1"/>
    <row r="303" spans="2:37" ht="12.95" customHeight="1">
      <c r="B303" s="3" t="s">
        <v>77</v>
      </c>
      <c r="C303" s="3"/>
      <c r="D303" s="3"/>
      <c r="E303" s="3"/>
      <c r="F303" s="3"/>
      <c r="H303" s="1399" t="s">
        <v>2695</v>
      </c>
      <c r="I303" s="1399"/>
      <c r="J303" s="1399"/>
      <c r="K303" s="1399"/>
      <c r="L303" s="1399"/>
      <c r="M303" s="1399"/>
      <c r="N303" s="1399"/>
      <c r="O303" s="1399"/>
      <c r="P303" s="1399"/>
      <c r="Q303" s="1399"/>
      <c r="R303" s="1399"/>
      <c r="T303" s="4" t="s">
        <v>878</v>
      </c>
      <c r="V303" s="3"/>
      <c r="W303" s="3"/>
      <c r="X303" s="3"/>
      <c r="Y303" s="3"/>
      <c r="AA303" s="1497" t="s">
        <v>2722</v>
      </c>
      <c r="AB303" s="1399"/>
      <c r="AC303" s="1399"/>
      <c r="AD303" s="1399"/>
      <c r="AE303" s="1399"/>
      <c r="AF303" s="1399"/>
      <c r="AG303" s="1399"/>
      <c r="AH303" s="1399"/>
      <c r="AI303" s="1399"/>
      <c r="AJ303" s="1399"/>
      <c r="AK303" s="1399"/>
    </row>
    <row r="304" spans="2:37" ht="12.95" customHeight="1">
      <c r="B304" s="3" t="s">
        <v>471</v>
      </c>
      <c r="C304" s="3"/>
      <c r="D304" s="3"/>
      <c r="E304" s="3"/>
      <c r="F304" s="3"/>
      <c r="H304" s="1420" t="s">
        <v>2696</v>
      </c>
      <c r="I304" s="1420"/>
      <c r="J304" s="1420"/>
      <c r="K304" s="1420"/>
      <c r="L304" s="1420"/>
      <c r="M304" s="1420"/>
      <c r="N304" s="1420"/>
      <c r="O304" s="1420"/>
      <c r="P304" s="1420"/>
      <c r="Q304" s="1420"/>
      <c r="R304" s="1420"/>
      <c r="T304" s="3" t="s">
        <v>471</v>
      </c>
      <c r="V304" s="3"/>
      <c r="W304" s="3"/>
      <c r="X304" s="3"/>
      <c r="Y304" s="3"/>
      <c r="AA304" s="1420"/>
      <c r="AB304" s="1420"/>
      <c r="AC304" s="1420"/>
      <c r="AD304" s="1420"/>
      <c r="AE304" s="1420"/>
      <c r="AF304" s="1420"/>
      <c r="AG304" s="1420"/>
      <c r="AH304" s="1420"/>
      <c r="AI304" s="1420"/>
      <c r="AJ304" s="1420"/>
      <c r="AK304" s="1420"/>
    </row>
    <row r="305" spans="2:37" ht="12.95" customHeight="1">
      <c r="B305" s="3" t="s">
        <v>472</v>
      </c>
      <c r="C305" s="3"/>
      <c r="D305" s="3"/>
      <c r="E305" s="3"/>
      <c r="F305" s="3"/>
      <c r="H305" s="1420" t="s">
        <v>2697</v>
      </c>
      <c r="I305" s="1420"/>
      <c r="J305" s="1420"/>
      <c r="K305" s="1420"/>
      <c r="L305" s="1420"/>
      <c r="M305" s="1420"/>
      <c r="N305" s="1420"/>
      <c r="O305" s="1420"/>
      <c r="P305" s="1420"/>
      <c r="Q305" s="1420"/>
      <c r="R305" s="1420"/>
      <c r="T305" s="3" t="s">
        <v>75</v>
      </c>
      <c r="V305" s="3"/>
      <c r="W305" s="3"/>
      <c r="X305" s="3"/>
      <c r="Y305" s="3"/>
      <c r="AA305" s="1420"/>
      <c r="AB305" s="1420"/>
      <c r="AC305" s="1420"/>
      <c r="AD305" s="1420"/>
      <c r="AE305" s="1420"/>
      <c r="AF305" s="1420"/>
      <c r="AG305" s="1420"/>
      <c r="AH305" s="1420"/>
      <c r="AI305" s="1420"/>
      <c r="AJ305" s="1420"/>
      <c r="AK305" s="1420"/>
    </row>
    <row r="306" spans="2:37" ht="12.95" customHeight="1">
      <c r="B306" s="3" t="s">
        <v>87</v>
      </c>
      <c r="C306" s="3"/>
      <c r="D306" s="3"/>
      <c r="E306" s="3"/>
      <c r="F306" s="3"/>
      <c r="H306" s="1420" t="s">
        <v>2698</v>
      </c>
      <c r="I306" s="1420"/>
      <c r="J306" s="1420"/>
      <c r="K306" s="1420"/>
      <c r="L306" s="1420"/>
      <c r="M306" s="1420"/>
      <c r="N306" s="1420"/>
      <c r="O306" s="1420"/>
      <c r="P306" s="1420"/>
      <c r="Q306" s="1420"/>
      <c r="R306" s="1420"/>
      <c r="T306" s="3" t="s">
        <v>87</v>
      </c>
      <c r="V306" s="3"/>
      <c r="W306" s="3"/>
      <c r="X306" s="3"/>
      <c r="Y306" s="3"/>
      <c r="AA306" s="1420"/>
      <c r="AB306" s="1420"/>
      <c r="AC306" s="1420"/>
      <c r="AD306" s="1420"/>
      <c r="AE306" s="1420"/>
      <c r="AF306" s="1420"/>
      <c r="AG306" s="1420"/>
      <c r="AH306" s="1420"/>
      <c r="AI306" s="1420"/>
      <c r="AJ306" s="1420"/>
      <c r="AK306" s="1420"/>
    </row>
    <row r="307" spans="2:37" ht="12.95" customHeight="1">
      <c r="B307" s="3" t="s">
        <v>88</v>
      </c>
      <c r="C307" s="3"/>
      <c r="D307" s="3"/>
      <c r="E307" s="3"/>
      <c r="F307" s="3"/>
      <c r="G307" s="3"/>
      <c r="H307" s="1513" t="s">
        <v>2699</v>
      </c>
      <c r="I307" s="1513"/>
      <c r="J307" s="1513"/>
      <c r="K307" s="1513"/>
      <c r="L307" s="1513"/>
      <c r="M307" s="1513"/>
      <c r="N307" s="4" t="s">
        <v>206</v>
      </c>
      <c r="O307" s="4"/>
      <c r="P307" s="1517"/>
      <c r="Q307" s="1517"/>
      <c r="R307" s="1517"/>
      <c r="S307" s="3"/>
      <c r="T307" s="3" t="s">
        <v>88</v>
      </c>
      <c r="V307" s="3"/>
      <c r="W307" s="3"/>
      <c r="X307" s="3"/>
      <c r="Y307" s="3"/>
      <c r="AA307" s="1513"/>
      <c r="AB307" s="1513"/>
      <c r="AC307" s="1513"/>
      <c r="AD307" s="1513"/>
      <c r="AE307" s="1513"/>
      <c r="AF307" s="1513"/>
      <c r="AG307" s="4" t="s">
        <v>206</v>
      </c>
      <c r="AH307" s="4"/>
      <c r="AI307" s="1517"/>
      <c r="AJ307" s="1517"/>
      <c r="AK307" s="1517"/>
    </row>
    <row r="308" spans="2:37" ht="12.95" customHeight="1">
      <c r="B308" s="3" t="s">
        <v>89</v>
      </c>
      <c r="C308" s="3"/>
      <c r="D308" s="3"/>
      <c r="E308" s="3"/>
      <c r="F308" s="3"/>
      <c r="G308" s="3"/>
      <c r="H308" s="1475" t="s">
        <v>591</v>
      </c>
      <c r="I308" s="1475"/>
      <c r="J308" s="1475"/>
      <c r="K308" s="1475"/>
      <c r="L308" s="1475"/>
      <c r="M308" s="1475"/>
      <c r="N308" s="4"/>
      <c r="O308" s="4"/>
      <c r="P308" s="35"/>
      <c r="Q308" s="35"/>
      <c r="R308" s="35"/>
      <c r="S308" s="3"/>
      <c r="T308" s="3" t="s">
        <v>89</v>
      </c>
      <c r="V308" s="3"/>
      <c r="W308" s="3"/>
      <c r="X308" s="3"/>
      <c r="Y308" s="3"/>
      <c r="AA308" s="1475"/>
      <c r="AB308" s="1475"/>
      <c r="AC308" s="1475"/>
      <c r="AD308" s="1475"/>
      <c r="AE308" s="1475"/>
      <c r="AF308" s="1475"/>
      <c r="AG308" s="4"/>
      <c r="AH308" s="4"/>
      <c r="AI308" s="35"/>
      <c r="AJ308" s="35"/>
      <c r="AK308" s="35"/>
    </row>
    <row r="309" spans="2:37" ht="12.95" customHeight="1">
      <c r="B309" s="3" t="s">
        <v>76</v>
      </c>
      <c r="C309" s="3"/>
      <c r="D309" s="3"/>
      <c r="E309" s="3"/>
      <c r="F309" s="3"/>
      <c r="G309" s="3"/>
      <c r="H309" s="1420" t="s">
        <v>2700</v>
      </c>
      <c r="I309" s="1420"/>
      <c r="J309" s="1420"/>
      <c r="K309" s="1420"/>
      <c r="L309" s="1420"/>
      <c r="M309" s="1420"/>
      <c r="N309" s="1399"/>
      <c r="O309" s="1399"/>
      <c r="P309" s="1399"/>
      <c r="Q309" s="1399"/>
      <c r="R309" s="1399"/>
      <c r="S309" s="3"/>
      <c r="T309" s="3" t="s">
        <v>76</v>
      </c>
      <c r="V309" s="3"/>
      <c r="W309" s="3"/>
      <c r="X309" s="3"/>
      <c r="Y309" s="3"/>
      <c r="AA309" s="1420"/>
      <c r="AB309" s="1420"/>
      <c r="AC309" s="1420"/>
      <c r="AD309" s="1420"/>
      <c r="AE309" s="1420"/>
      <c r="AF309" s="1420"/>
      <c r="AG309" s="1399"/>
      <c r="AH309" s="1399"/>
      <c r="AI309" s="1399"/>
      <c r="AJ309" s="1399"/>
      <c r="AK309" s="1399"/>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907</v>
      </c>
      <c r="C311" s="3"/>
      <c r="D311" s="3"/>
      <c r="E311" s="3"/>
      <c r="F311" s="3"/>
      <c r="H311" s="1399" t="s">
        <v>2695</v>
      </c>
      <c r="I311" s="1399"/>
      <c r="J311" s="1399"/>
      <c r="K311" s="1399"/>
      <c r="L311" s="1399"/>
      <c r="M311" s="1399"/>
      <c r="N311" s="1399"/>
      <c r="O311" s="1399"/>
      <c r="P311" s="1399"/>
      <c r="Q311" s="1399"/>
      <c r="R311" s="1399"/>
      <c r="S311" s="3"/>
      <c r="T311" s="3" t="s">
        <v>365</v>
      </c>
      <c r="V311" s="3"/>
      <c r="W311" s="3"/>
      <c r="X311" s="3"/>
      <c r="Y311" s="3"/>
      <c r="AA311" s="1497" t="s">
        <v>2737</v>
      </c>
      <c r="AB311" s="1399"/>
      <c r="AC311" s="1399"/>
      <c r="AD311" s="1399"/>
      <c r="AE311" s="1399"/>
      <c r="AF311" s="1399"/>
      <c r="AG311" s="1399"/>
      <c r="AH311" s="1399"/>
      <c r="AI311" s="1399"/>
      <c r="AJ311" s="1399"/>
      <c r="AK311" s="1399"/>
    </row>
    <row r="312" spans="2:37" ht="12.95" customHeight="1">
      <c r="B312" s="3" t="s">
        <v>471</v>
      </c>
      <c r="C312" s="3"/>
      <c r="D312" s="3"/>
      <c r="E312" s="3"/>
      <c r="F312" s="3"/>
      <c r="H312" s="1420" t="s">
        <v>2696</v>
      </c>
      <c r="I312" s="1420"/>
      <c r="J312" s="1420"/>
      <c r="K312" s="1420"/>
      <c r="L312" s="1420"/>
      <c r="M312" s="1420"/>
      <c r="N312" s="1420"/>
      <c r="O312" s="1420"/>
      <c r="P312" s="1420"/>
      <c r="Q312" s="1420"/>
      <c r="R312" s="1420"/>
      <c r="S312" s="3"/>
      <c r="T312" s="3" t="s">
        <v>471</v>
      </c>
      <c r="V312" s="3"/>
      <c r="W312" s="3"/>
      <c r="X312" s="3"/>
      <c r="Y312" s="3"/>
      <c r="AA312" s="1499" t="s">
        <v>2741</v>
      </c>
      <c r="AB312" s="1420"/>
      <c r="AC312" s="1420"/>
      <c r="AD312" s="1420"/>
      <c r="AE312" s="1420"/>
      <c r="AF312" s="1420"/>
      <c r="AG312" s="1420"/>
      <c r="AH312" s="1420"/>
      <c r="AI312" s="1420"/>
      <c r="AJ312" s="1420"/>
      <c r="AK312" s="1420"/>
    </row>
    <row r="313" spans="2:37" ht="12.95" customHeight="1">
      <c r="B313" s="3" t="s">
        <v>472</v>
      </c>
      <c r="C313" s="3"/>
      <c r="D313" s="3"/>
      <c r="E313" s="3"/>
      <c r="F313" s="3"/>
      <c r="H313" s="1420" t="s">
        <v>2697</v>
      </c>
      <c r="I313" s="1420"/>
      <c r="J313" s="1420"/>
      <c r="K313" s="1420"/>
      <c r="L313" s="1420"/>
      <c r="M313" s="1420"/>
      <c r="N313" s="1420"/>
      <c r="O313" s="1420"/>
      <c r="P313" s="1420"/>
      <c r="Q313" s="1420"/>
      <c r="R313" s="1420"/>
      <c r="S313" s="3"/>
      <c r="T313" s="3" t="s">
        <v>75</v>
      </c>
      <c r="V313" s="3"/>
      <c r="W313" s="3"/>
      <c r="X313" s="3"/>
      <c r="Y313" s="3"/>
      <c r="AA313" s="1499" t="s">
        <v>2742</v>
      </c>
      <c r="AB313" s="1420"/>
      <c r="AC313" s="1420"/>
      <c r="AD313" s="1420"/>
      <c r="AE313" s="1420"/>
      <c r="AF313" s="1420"/>
      <c r="AG313" s="1420"/>
      <c r="AH313" s="1420"/>
      <c r="AI313" s="1420"/>
      <c r="AJ313" s="1420"/>
      <c r="AK313" s="1420"/>
    </row>
    <row r="314" spans="2:37" ht="12.95" customHeight="1">
      <c r="B314" s="3" t="s">
        <v>87</v>
      </c>
      <c r="C314" s="3"/>
      <c r="D314" s="3"/>
      <c r="E314" s="3"/>
      <c r="F314" s="3"/>
      <c r="H314" s="1420" t="s">
        <v>2698</v>
      </c>
      <c r="I314" s="1420"/>
      <c r="J314" s="1420"/>
      <c r="K314" s="1420"/>
      <c r="L314" s="1420"/>
      <c r="M314" s="1420"/>
      <c r="N314" s="1420"/>
      <c r="O314" s="1420"/>
      <c r="P314" s="1420"/>
      <c r="Q314" s="1420"/>
      <c r="R314" s="1420"/>
      <c r="S314" s="3"/>
      <c r="T314" s="3" t="s">
        <v>87</v>
      </c>
      <c r="V314" s="3"/>
      <c r="W314" s="3"/>
      <c r="X314" s="3"/>
      <c r="Y314" s="3"/>
      <c r="AA314" s="1499" t="s">
        <v>2743</v>
      </c>
      <c r="AB314" s="1420"/>
      <c r="AC314" s="1420"/>
      <c r="AD314" s="1420"/>
      <c r="AE314" s="1420"/>
      <c r="AF314" s="1420"/>
      <c r="AG314" s="1420"/>
      <c r="AH314" s="1420"/>
      <c r="AI314" s="1420"/>
      <c r="AJ314" s="1420"/>
      <c r="AK314" s="1420"/>
    </row>
    <row r="315" spans="2:37" ht="12.95" customHeight="1">
      <c r="B315" s="3" t="s">
        <v>88</v>
      </c>
      <c r="C315" s="3"/>
      <c r="D315" s="3"/>
      <c r="E315" s="3"/>
      <c r="F315" s="3"/>
      <c r="G315" s="3"/>
      <c r="H315" s="1513" t="s">
        <v>2699</v>
      </c>
      <c r="I315" s="1513"/>
      <c r="J315" s="1513"/>
      <c r="K315" s="1513"/>
      <c r="L315" s="1513"/>
      <c r="M315" s="1513"/>
      <c r="N315" s="4" t="s">
        <v>206</v>
      </c>
      <c r="O315" s="4"/>
      <c r="P315" s="1497" t="s">
        <v>2678</v>
      </c>
      <c r="Q315" s="1517"/>
      <c r="R315" s="1517"/>
      <c r="S315" s="3"/>
      <c r="T315" s="3" t="s">
        <v>88</v>
      </c>
      <c r="V315" s="3"/>
      <c r="W315" s="3"/>
      <c r="X315" s="3"/>
      <c r="Y315" s="3"/>
      <c r="AA315" s="1548">
        <v>6174883401</v>
      </c>
      <c r="AB315" s="1513"/>
      <c r="AC315" s="1513"/>
      <c r="AD315" s="1513"/>
      <c r="AE315" s="1513"/>
      <c r="AF315" s="1513"/>
      <c r="AG315" s="4" t="s">
        <v>206</v>
      </c>
      <c r="AH315" s="4"/>
      <c r="AI315" s="1497" t="s">
        <v>2678</v>
      </c>
      <c r="AJ315" s="1517"/>
      <c r="AK315" s="1517"/>
    </row>
    <row r="316" spans="2:37" ht="12.95" customHeight="1">
      <c r="B316" s="3" t="s">
        <v>89</v>
      </c>
      <c r="C316" s="3"/>
      <c r="D316" s="3"/>
      <c r="E316" s="3"/>
      <c r="F316" s="3"/>
      <c r="G316" s="3"/>
      <c r="H316" s="1475" t="s">
        <v>591</v>
      </c>
      <c r="I316" s="1475"/>
      <c r="J316" s="1475"/>
      <c r="K316" s="1475"/>
      <c r="L316" s="1475"/>
      <c r="M316" s="1475"/>
      <c r="N316" s="4"/>
      <c r="O316" s="4"/>
      <c r="P316" s="35"/>
      <c r="Q316" s="35"/>
      <c r="R316" s="35"/>
      <c r="S316" s="3"/>
      <c r="T316" s="3" t="s">
        <v>89</v>
      </c>
      <c r="V316" s="3"/>
      <c r="W316" s="3"/>
      <c r="X316" s="3"/>
      <c r="Y316" s="3"/>
      <c r="AA316" s="1474" t="s">
        <v>2678</v>
      </c>
      <c r="AB316" s="1475"/>
      <c r="AC316" s="1475"/>
      <c r="AD316" s="1475"/>
      <c r="AE316" s="1475"/>
      <c r="AF316" s="1475"/>
      <c r="AG316" s="4"/>
      <c r="AH316" s="4"/>
      <c r="AI316" s="35"/>
      <c r="AJ316" s="35"/>
      <c r="AK316" s="35"/>
    </row>
    <row r="317" spans="2:37" ht="12.95" customHeight="1">
      <c r="B317" s="3" t="s">
        <v>76</v>
      </c>
      <c r="C317" s="3"/>
      <c r="D317" s="3"/>
      <c r="E317" s="3"/>
      <c r="F317" s="3"/>
      <c r="G317" s="3"/>
      <c r="H317" s="1420" t="s">
        <v>2700</v>
      </c>
      <c r="I317" s="1420"/>
      <c r="J317" s="1420"/>
      <c r="K317" s="1420"/>
      <c r="L317" s="1420"/>
      <c r="M317" s="1420"/>
      <c r="N317" s="1399"/>
      <c r="O317" s="1399"/>
      <c r="P317" s="1399"/>
      <c r="Q317" s="1399"/>
      <c r="R317" s="1399"/>
      <c r="S317" s="3"/>
      <c r="T317" s="3" t="s">
        <v>76</v>
      </c>
      <c r="V317" s="3"/>
      <c r="W317" s="3"/>
      <c r="X317" s="3"/>
      <c r="Y317" s="3"/>
      <c r="AA317" s="1499" t="s">
        <v>2744</v>
      </c>
      <c r="AB317" s="1420"/>
      <c r="AC317" s="1420"/>
      <c r="AD317" s="1420"/>
      <c r="AE317" s="1420"/>
      <c r="AF317" s="1420"/>
      <c r="AG317" s="1399"/>
      <c r="AH317" s="1399"/>
      <c r="AI317" s="1399"/>
      <c r="AJ317" s="1399"/>
      <c r="AK317" s="1399"/>
    </row>
    <row r="318" spans="2:37" ht="12.95" customHeight="1"/>
    <row r="319" spans="2:37" ht="12.95" customHeight="1">
      <c r="B319" s="4" t="s">
        <v>908</v>
      </c>
      <c r="C319" s="3"/>
      <c r="D319" s="3"/>
      <c r="E319" s="3"/>
      <c r="F319" s="3"/>
      <c r="H319" s="1497" t="s">
        <v>2678</v>
      </c>
      <c r="I319" s="1399"/>
      <c r="J319" s="1399"/>
      <c r="K319" s="1399"/>
      <c r="L319" s="1399"/>
      <c r="M319" s="1399"/>
      <c r="N319" s="1399"/>
      <c r="O319" s="1399"/>
      <c r="P319" s="1399"/>
      <c r="Q319" s="1399"/>
      <c r="R319" s="1399"/>
      <c r="T319" s="3" t="s">
        <v>366</v>
      </c>
      <c r="V319" s="3"/>
      <c r="W319" s="3"/>
      <c r="X319" s="3"/>
      <c r="Y319" s="3"/>
      <c r="AA319" s="1399" t="s">
        <v>2715</v>
      </c>
      <c r="AB319" s="1399"/>
      <c r="AC319" s="1399"/>
      <c r="AD319" s="1399"/>
      <c r="AE319" s="1399"/>
      <c r="AF319" s="1399"/>
      <c r="AG319" s="1399"/>
      <c r="AH319" s="1399"/>
      <c r="AI319" s="1399"/>
      <c r="AJ319" s="1399"/>
      <c r="AK319" s="1399"/>
    </row>
    <row r="320" spans="2:37" ht="12.95" customHeight="1">
      <c r="B320" s="3" t="s">
        <v>471</v>
      </c>
      <c r="C320" s="3"/>
      <c r="D320" s="3"/>
      <c r="E320" s="3"/>
      <c r="F320" s="3"/>
      <c r="H320" s="1420"/>
      <c r="I320" s="1420"/>
      <c r="J320" s="1420"/>
      <c r="K320" s="1420"/>
      <c r="L320" s="1420"/>
      <c r="M320" s="1420"/>
      <c r="N320" s="1420"/>
      <c r="O320" s="1420"/>
      <c r="P320" s="1420"/>
      <c r="Q320" s="1420"/>
      <c r="R320" s="1420"/>
      <c r="T320" s="3" t="s">
        <v>471</v>
      </c>
      <c r="V320" s="3"/>
      <c r="W320" s="3"/>
      <c r="X320" s="3"/>
      <c r="Y320" s="3"/>
      <c r="AA320" s="1420" t="s">
        <v>2716</v>
      </c>
      <c r="AB320" s="1420"/>
      <c r="AC320" s="1420"/>
      <c r="AD320" s="1420"/>
      <c r="AE320" s="1420"/>
      <c r="AF320" s="1420"/>
      <c r="AG320" s="1420"/>
      <c r="AH320" s="1420"/>
      <c r="AI320" s="1420"/>
      <c r="AJ320" s="1420"/>
      <c r="AK320" s="1420"/>
    </row>
    <row r="321" spans="2:37" ht="12.95" customHeight="1">
      <c r="B321" s="3" t="s">
        <v>472</v>
      </c>
      <c r="C321" s="3"/>
      <c r="D321" s="3"/>
      <c r="E321" s="3"/>
      <c r="F321" s="3"/>
      <c r="H321" s="1420"/>
      <c r="I321" s="1420"/>
      <c r="J321" s="1420"/>
      <c r="K321" s="1420"/>
      <c r="L321" s="1420"/>
      <c r="M321" s="1420"/>
      <c r="N321" s="1420"/>
      <c r="O321" s="1420"/>
      <c r="P321" s="1420"/>
      <c r="Q321" s="1420"/>
      <c r="R321" s="1420"/>
      <c r="T321" s="3" t="s">
        <v>75</v>
      </c>
      <c r="V321" s="3"/>
      <c r="W321" s="3"/>
      <c r="X321" s="3"/>
      <c r="Y321" s="3"/>
      <c r="AA321" s="1420" t="s">
        <v>2717</v>
      </c>
      <c r="AB321" s="1420"/>
      <c r="AC321" s="1420"/>
      <c r="AD321" s="1420"/>
      <c r="AE321" s="1420"/>
      <c r="AF321" s="1420"/>
      <c r="AG321" s="1420"/>
      <c r="AH321" s="1420"/>
      <c r="AI321" s="1420"/>
      <c r="AJ321" s="1420"/>
      <c r="AK321" s="1420"/>
    </row>
    <row r="322" spans="2:37" ht="12.95" customHeight="1">
      <c r="B322" s="3" t="s">
        <v>87</v>
      </c>
      <c r="C322" s="3"/>
      <c r="D322" s="3"/>
      <c r="E322" s="3"/>
      <c r="F322" s="3"/>
      <c r="H322" s="1420"/>
      <c r="I322" s="1420"/>
      <c r="J322" s="1420"/>
      <c r="K322" s="1420"/>
      <c r="L322" s="1420"/>
      <c r="M322" s="1420"/>
      <c r="N322" s="1420"/>
      <c r="O322" s="1420"/>
      <c r="P322" s="1420"/>
      <c r="Q322" s="1420"/>
      <c r="R322" s="1420"/>
      <c r="T322" s="3" t="s">
        <v>87</v>
      </c>
      <c r="V322" s="3"/>
      <c r="W322" s="3"/>
      <c r="X322" s="3"/>
      <c r="Y322" s="3"/>
      <c r="AA322" s="1420" t="s">
        <v>2718</v>
      </c>
      <c r="AB322" s="1420"/>
      <c r="AC322" s="1420"/>
      <c r="AD322" s="1420"/>
      <c r="AE322" s="1420"/>
      <c r="AF322" s="1420"/>
      <c r="AG322" s="1420"/>
      <c r="AH322" s="1420"/>
      <c r="AI322" s="1420"/>
      <c r="AJ322" s="1420"/>
      <c r="AK322" s="1420"/>
    </row>
    <row r="323" spans="2:37" ht="12.95" customHeight="1">
      <c r="B323" s="3" t="s">
        <v>88</v>
      </c>
      <c r="C323" s="3"/>
      <c r="D323" s="3"/>
      <c r="E323" s="3"/>
      <c r="F323" s="3"/>
      <c r="G323" s="3"/>
      <c r="H323" s="1513"/>
      <c r="I323" s="1513"/>
      <c r="J323" s="1513"/>
      <c r="K323" s="1513"/>
      <c r="L323" s="1513"/>
      <c r="M323" s="1513"/>
      <c r="N323" s="4" t="s">
        <v>206</v>
      </c>
      <c r="O323" s="4"/>
      <c r="P323" s="1517"/>
      <c r="Q323" s="1517"/>
      <c r="R323" s="1517"/>
      <c r="S323" s="3"/>
      <c r="T323" s="3" t="s">
        <v>88</v>
      </c>
      <c r="V323" s="3"/>
      <c r="W323" s="3"/>
      <c r="X323" s="3"/>
      <c r="Y323" s="3"/>
      <c r="AA323" s="1513" t="s">
        <v>2719</v>
      </c>
      <c r="AB323" s="1513"/>
      <c r="AC323" s="1513"/>
      <c r="AD323" s="1513"/>
      <c r="AE323" s="1513"/>
      <c r="AF323" s="1513"/>
      <c r="AG323" s="4" t="s">
        <v>206</v>
      </c>
      <c r="AH323" s="4"/>
      <c r="AI323" s="1497" t="s">
        <v>2678</v>
      </c>
      <c r="AJ323" s="1517"/>
      <c r="AK323" s="1517"/>
    </row>
    <row r="324" spans="2:37" ht="12.95" customHeight="1">
      <c r="B324" s="3" t="s">
        <v>89</v>
      </c>
      <c r="C324" s="3"/>
      <c r="D324" s="3"/>
      <c r="E324" s="3"/>
      <c r="F324" s="3"/>
      <c r="G324" s="3"/>
      <c r="H324" s="1475"/>
      <c r="I324" s="1475"/>
      <c r="J324" s="1475"/>
      <c r="K324" s="1475"/>
      <c r="L324" s="1475"/>
      <c r="M324" s="1475"/>
      <c r="N324" s="4"/>
      <c r="O324" s="4"/>
      <c r="P324" s="35"/>
      <c r="Q324" s="35"/>
      <c r="R324" s="35"/>
      <c r="S324" s="3"/>
      <c r="T324" s="3" t="s">
        <v>89</v>
      </c>
      <c r="V324" s="3"/>
      <c r="W324" s="3"/>
      <c r="X324" s="3"/>
      <c r="Y324" s="3"/>
      <c r="AA324" s="1475" t="s">
        <v>2720</v>
      </c>
      <c r="AB324" s="1475"/>
      <c r="AC324" s="1475"/>
      <c r="AD324" s="1475"/>
      <c r="AE324" s="1475"/>
      <c r="AF324" s="1475"/>
      <c r="AG324" s="4"/>
      <c r="AH324" s="4"/>
      <c r="AI324" s="35"/>
      <c r="AJ324" s="35"/>
      <c r="AK324" s="35"/>
    </row>
    <row r="325" spans="2:37" ht="12.95" customHeight="1">
      <c r="B325" s="3" t="s">
        <v>76</v>
      </c>
      <c r="C325" s="3"/>
      <c r="D325" s="3"/>
      <c r="E325" s="3"/>
      <c r="F325" s="3"/>
      <c r="G325" s="3"/>
      <c r="H325" s="1420"/>
      <c r="I325" s="1420"/>
      <c r="J325" s="1420"/>
      <c r="K325" s="1420"/>
      <c r="L325" s="1420"/>
      <c r="M325" s="1420"/>
      <c r="N325" s="1399"/>
      <c r="O325" s="1399"/>
      <c r="P325" s="1399"/>
      <c r="Q325" s="1399"/>
      <c r="R325" s="1399"/>
      <c r="S325" s="3"/>
      <c r="T325" s="3" t="s">
        <v>76</v>
      </c>
      <c r="V325" s="3"/>
      <c r="W325" s="3"/>
      <c r="X325" s="3"/>
      <c r="Y325" s="3"/>
      <c r="AA325" s="1420" t="s">
        <v>2721</v>
      </c>
      <c r="AB325" s="1420"/>
      <c r="AC325" s="1420"/>
      <c r="AD325" s="1420"/>
      <c r="AE325" s="1420"/>
      <c r="AF325" s="1420"/>
      <c r="AG325" s="1399"/>
      <c r="AH325" s="1399"/>
      <c r="AI325" s="1399"/>
      <c r="AJ325" s="1399"/>
      <c r="AK325" s="1399"/>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497" t="s">
        <v>2701</v>
      </c>
      <c r="I327" s="1399"/>
      <c r="J327" s="1399"/>
      <c r="K327" s="1399"/>
      <c r="L327" s="1399"/>
      <c r="M327" s="1399"/>
      <c r="N327" s="1399"/>
      <c r="O327" s="1399"/>
      <c r="P327" s="1399"/>
      <c r="Q327" s="1399"/>
      <c r="R327" s="1399"/>
      <c r="T327" s="3" t="s">
        <v>368</v>
      </c>
      <c r="V327" s="3"/>
      <c r="W327" s="3"/>
      <c r="X327" s="3"/>
      <c r="Y327" s="3"/>
      <c r="AA327" s="1497" t="s">
        <v>2678</v>
      </c>
      <c r="AB327" s="1399"/>
      <c r="AC327" s="1399"/>
      <c r="AD327" s="1399"/>
      <c r="AE327" s="1399"/>
      <c r="AF327" s="1399"/>
      <c r="AG327" s="1399"/>
      <c r="AH327" s="1399"/>
      <c r="AI327" s="1399"/>
      <c r="AJ327" s="1399"/>
      <c r="AK327" s="1399"/>
    </row>
    <row r="328" spans="2:37" ht="12.95" customHeight="1">
      <c r="B328" s="3" t="s">
        <v>471</v>
      </c>
      <c r="C328" s="3"/>
      <c r="D328" s="3"/>
      <c r="E328" s="3"/>
      <c r="F328" s="3"/>
      <c r="H328" s="1499" t="s">
        <v>2729</v>
      </c>
      <c r="I328" s="1420"/>
      <c r="J328" s="1420"/>
      <c r="K328" s="1420"/>
      <c r="L328" s="1420"/>
      <c r="M328" s="1420"/>
      <c r="N328" s="1420"/>
      <c r="O328" s="1420"/>
      <c r="P328" s="1420"/>
      <c r="Q328" s="1420"/>
      <c r="R328" s="1420"/>
      <c r="T328" s="3" t="s">
        <v>471</v>
      </c>
      <c r="V328" s="3"/>
      <c r="W328" s="3"/>
      <c r="X328" s="3"/>
      <c r="Y328" s="3"/>
      <c r="AA328" s="1420"/>
      <c r="AB328" s="1420"/>
      <c r="AC328" s="1420"/>
      <c r="AD328" s="1420"/>
      <c r="AE328" s="1420"/>
      <c r="AF328" s="1420"/>
      <c r="AG328" s="1420"/>
      <c r="AH328" s="1420"/>
      <c r="AI328" s="1420"/>
      <c r="AJ328" s="1420"/>
      <c r="AK328" s="1420"/>
    </row>
    <row r="329" spans="2:37" ht="12.95" customHeight="1">
      <c r="B329" s="3" t="s">
        <v>472</v>
      </c>
      <c r="C329" s="3"/>
      <c r="D329" s="3"/>
      <c r="E329" s="3"/>
      <c r="F329" s="3"/>
      <c r="H329" s="1499" t="s">
        <v>2730</v>
      </c>
      <c r="I329" s="1420"/>
      <c r="J329" s="1420"/>
      <c r="K329" s="1420"/>
      <c r="L329" s="1420"/>
      <c r="M329" s="1420"/>
      <c r="N329" s="1420"/>
      <c r="O329" s="1420"/>
      <c r="P329" s="1420"/>
      <c r="Q329" s="1420"/>
      <c r="R329" s="1420"/>
      <c r="T329" s="3" t="s">
        <v>75</v>
      </c>
      <c r="V329" s="3"/>
      <c r="W329" s="3"/>
      <c r="X329" s="3"/>
      <c r="Y329" s="3"/>
      <c r="AA329" s="1420"/>
      <c r="AB329" s="1420"/>
      <c r="AC329" s="1420"/>
      <c r="AD329" s="1420"/>
      <c r="AE329" s="1420"/>
      <c r="AF329" s="1420"/>
      <c r="AG329" s="1420"/>
      <c r="AH329" s="1420"/>
      <c r="AI329" s="1420"/>
      <c r="AJ329" s="1420"/>
      <c r="AK329" s="1420"/>
    </row>
    <row r="330" spans="2:37" ht="12.95" customHeight="1">
      <c r="B330" s="3" t="s">
        <v>87</v>
      </c>
      <c r="C330" s="3"/>
      <c r="D330" s="3"/>
      <c r="E330" s="3"/>
      <c r="F330" s="3"/>
      <c r="H330" s="1499" t="s">
        <v>2731</v>
      </c>
      <c r="I330" s="1420"/>
      <c r="J330" s="1420"/>
      <c r="K330" s="1420"/>
      <c r="L330" s="1420"/>
      <c r="M330" s="1420"/>
      <c r="N330" s="1420"/>
      <c r="O330" s="1420"/>
      <c r="P330" s="1420"/>
      <c r="Q330" s="1420"/>
      <c r="R330" s="1420"/>
      <c r="T330" s="3" t="s">
        <v>87</v>
      </c>
      <c r="V330" s="3"/>
      <c r="W330" s="3"/>
      <c r="X330" s="3"/>
      <c r="Y330" s="3"/>
      <c r="AA330" s="1420"/>
      <c r="AB330" s="1420"/>
      <c r="AC330" s="1420"/>
      <c r="AD330" s="1420"/>
      <c r="AE330" s="1420"/>
      <c r="AF330" s="1420"/>
      <c r="AG330" s="1420"/>
      <c r="AH330" s="1420"/>
      <c r="AI330" s="1420"/>
      <c r="AJ330" s="1420"/>
      <c r="AK330" s="1420"/>
    </row>
    <row r="331" spans="2:37" ht="12.95" customHeight="1">
      <c r="B331" s="3" t="s">
        <v>88</v>
      </c>
      <c r="C331" s="3"/>
      <c r="D331" s="3"/>
      <c r="E331" s="3"/>
      <c r="F331" s="3"/>
      <c r="G331" s="3"/>
      <c r="H331" s="1548" t="s">
        <v>2732</v>
      </c>
      <c r="I331" s="1513"/>
      <c r="J331" s="1513"/>
      <c r="K331" s="1513"/>
      <c r="L331" s="1513"/>
      <c r="M331" s="1513"/>
      <c r="N331" s="4" t="s">
        <v>206</v>
      </c>
      <c r="O331" s="4"/>
      <c r="P331" s="1497" t="s">
        <v>2678</v>
      </c>
      <c r="Q331" s="1517"/>
      <c r="R331" s="1517"/>
      <c r="S331" s="3"/>
      <c r="T331" s="3" t="s">
        <v>88</v>
      </c>
      <c r="V331" s="3"/>
      <c r="W331" s="3"/>
      <c r="X331" s="3"/>
      <c r="Y331" s="3"/>
      <c r="AA331" s="1513"/>
      <c r="AB331" s="1513"/>
      <c r="AC331" s="1513"/>
      <c r="AD331" s="1513"/>
      <c r="AE331" s="1513"/>
      <c r="AF331" s="1513"/>
      <c r="AG331" s="4" t="s">
        <v>206</v>
      </c>
      <c r="AH331" s="4"/>
      <c r="AI331" s="1517"/>
      <c r="AJ331" s="1517"/>
      <c r="AK331" s="1517"/>
    </row>
    <row r="332" spans="2:37" ht="12.95" customHeight="1">
      <c r="B332" s="3" t="s">
        <v>89</v>
      </c>
      <c r="C332" s="3"/>
      <c r="D332" s="3"/>
      <c r="E332" s="3"/>
      <c r="F332" s="3"/>
      <c r="G332" s="3"/>
      <c r="H332" s="1474" t="s">
        <v>2678</v>
      </c>
      <c r="I332" s="1475"/>
      <c r="J332" s="1475"/>
      <c r="K332" s="1475"/>
      <c r="L332" s="1475"/>
      <c r="M332" s="1475"/>
      <c r="N332" s="4"/>
      <c r="O332" s="4"/>
      <c r="P332" s="35"/>
      <c r="Q332" s="35"/>
      <c r="R332" s="35"/>
      <c r="S332" s="3"/>
      <c r="T332" s="3" t="s">
        <v>89</v>
      </c>
      <c r="V332" s="3"/>
      <c r="W332" s="3"/>
      <c r="X332" s="3"/>
      <c r="Y332" s="3"/>
      <c r="AA332" s="1475"/>
      <c r="AB332" s="1475"/>
      <c r="AC332" s="1475"/>
      <c r="AD332" s="1475"/>
      <c r="AE332" s="1475"/>
      <c r="AF332" s="1475"/>
      <c r="AG332" s="4"/>
      <c r="AH332" s="4"/>
      <c r="AI332" s="35"/>
      <c r="AJ332" s="35"/>
      <c r="AK332" s="35"/>
    </row>
    <row r="333" spans="2:37" ht="12.95" customHeight="1">
      <c r="B333" s="3" t="s">
        <v>76</v>
      </c>
      <c r="C333" s="3"/>
      <c r="D333" s="3"/>
      <c r="E333" s="3"/>
      <c r="F333" s="3"/>
      <c r="G333" s="3"/>
      <c r="H333" s="1499" t="s">
        <v>2733</v>
      </c>
      <c r="I333" s="1420"/>
      <c r="J333" s="1420"/>
      <c r="K333" s="1420"/>
      <c r="L333" s="1420"/>
      <c r="M333" s="1420"/>
      <c r="N333" s="1399"/>
      <c r="O333" s="1399"/>
      <c r="P333" s="1399"/>
      <c r="Q333" s="1399"/>
      <c r="R333" s="1399"/>
      <c r="S333" s="3"/>
      <c r="T333" s="3" t="s">
        <v>76</v>
      </c>
      <c r="V333" s="3"/>
      <c r="W333" s="3"/>
      <c r="X333" s="3"/>
      <c r="Y333" s="3"/>
      <c r="AA333" s="1420"/>
      <c r="AB333" s="1420"/>
      <c r="AC333" s="1420"/>
      <c r="AD333" s="1420"/>
      <c r="AE333" s="1420"/>
      <c r="AF333" s="1420"/>
      <c r="AG333" s="1399"/>
      <c r="AH333" s="1399"/>
      <c r="AI333" s="1399"/>
      <c r="AJ333" s="1399"/>
      <c r="AK333" s="1399"/>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497" t="s">
        <v>2702</v>
      </c>
      <c r="I335" s="1399"/>
      <c r="J335" s="1399"/>
      <c r="K335" s="1399"/>
      <c r="L335" s="1399"/>
      <c r="M335" s="1399"/>
      <c r="N335" s="1399"/>
      <c r="O335" s="1399"/>
      <c r="P335" s="1399"/>
      <c r="Q335" s="1399"/>
      <c r="R335" s="1399"/>
      <c r="T335" s="205" t="s">
        <v>886</v>
      </c>
      <c r="V335" s="3"/>
      <c r="W335" s="3"/>
      <c r="X335" s="3"/>
      <c r="Y335" s="3"/>
      <c r="AA335" s="1399" t="s">
        <v>2709</v>
      </c>
      <c r="AB335" s="1399"/>
      <c r="AC335" s="1399"/>
      <c r="AD335" s="1399"/>
      <c r="AE335" s="1399"/>
      <c r="AF335" s="1399"/>
      <c r="AG335" s="1399"/>
      <c r="AH335" s="1399"/>
      <c r="AI335" s="1399"/>
      <c r="AJ335" s="1399"/>
      <c r="AK335" s="1399"/>
    </row>
    <row r="336" spans="2:37" ht="12.95" customHeight="1">
      <c r="B336" s="3" t="s">
        <v>471</v>
      </c>
      <c r="C336" s="3"/>
      <c r="D336" s="3"/>
      <c r="E336" s="3"/>
      <c r="F336" s="3"/>
      <c r="H336" s="1420" t="s">
        <v>2703</v>
      </c>
      <c r="I336" s="1420"/>
      <c r="J336" s="1420"/>
      <c r="K336" s="1420"/>
      <c r="L336" s="1420"/>
      <c r="M336" s="1420"/>
      <c r="N336" s="1420"/>
      <c r="O336" s="1420"/>
      <c r="P336" s="1420"/>
      <c r="Q336" s="1420"/>
      <c r="R336" s="1420"/>
      <c r="T336" s="3" t="s">
        <v>471</v>
      </c>
      <c r="V336" s="3"/>
      <c r="W336" s="3"/>
      <c r="X336" s="3"/>
      <c r="Y336" s="3"/>
      <c r="AA336" s="1420" t="s">
        <v>2710</v>
      </c>
      <c r="AB336" s="1420"/>
      <c r="AC336" s="1420"/>
      <c r="AD336" s="1420"/>
      <c r="AE336" s="1420"/>
      <c r="AF336" s="1420"/>
      <c r="AG336" s="1420"/>
      <c r="AH336" s="1420"/>
      <c r="AI336" s="1420"/>
      <c r="AJ336" s="1420"/>
      <c r="AK336" s="1420"/>
    </row>
    <row r="337" spans="1:66" ht="12.95" customHeight="1">
      <c r="B337" s="3" t="s">
        <v>75</v>
      </c>
      <c r="C337" s="3"/>
      <c r="D337" s="3"/>
      <c r="E337" s="3"/>
      <c r="F337" s="3"/>
      <c r="H337" s="1420" t="s">
        <v>2704</v>
      </c>
      <c r="I337" s="1420"/>
      <c r="J337" s="1420"/>
      <c r="K337" s="1420"/>
      <c r="L337" s="1420"/>
      <c r="M337" s="1420"/>
      <c r="N337" s="1420"/>
      <c r="O337" s="1420"/>
      <c r="P337" s="1420"/>
      <c r="Q337" s="1420"/>
      <c r="R337" s="1420"/>
      <c r="T337" s="3" t="s">
        <v>75</v>
      </c>
      <c r="V337" s="3"/>
      <c r="W337" s="3"/>
      <c r="X337" s="3"/>
      <c r="Y337" s="3"/>
      <c r="AA337" s="1420" t="s">
        <v>2711</v>
      </c>
      <c r="AB337" s="1420"/>
      <c r="AC337" s="1420"/>
      <c r="AD337" s="1420"/>
      <c r="AE337" s="1420"/>
      <c r="AF337" s="1420"/>
      <c r="AG337" s="1420"/>
      <c r="AH337" s="1420"/>
      <c r="AI337" s="1420"/>
      <c r="AJ337" s="1420"/>
      <c r="AK337" s="1420"/>
    </row>
    <row r="338" spans="1:66" ht="12.95" customHeight="1">
      <c r="B338" s="3" t="s">
        <v>87</v>
      </c>
      <c r="C338" s="3"/>
      <c r="D338" s="3"/>
      <c r="E338" s="3"/>
      <c r="F338" s="3"/>
      <c r="G338" s="3"/>
      <c r="H338" s="1420" t="s">
        <v>2705</v>
      </c>
      <c r="I338" s="1420"/>
      <c r="J338" s="1420"/>
      <c r="K338" s="1420"/>
      <c r="L338" s="1420"/>
      <c r="M338" s="1420"/>
      <c r="N338" s="1420"/>
      <c r="O338" s="1420"/>
      <c r="P338" s="1420"/>
      <c r="Q338" s="1420"/>
      <c r="R338" s="1420"/>
      <c r="T338" s="3" t="s">
        <v>87</v>
      </c>
      <c r="V338" s="3"/>
      <c r="W338" s="3"/>
      <c r="X338" s="3"/>
      <c r="Y338" s="3"/>
      <c r="AA338" s="1420" t="s">
        <v>2712</v>
      </c>
      <c r="AB338" s="1420"/>
      <c r="AC338" s="1420"/>
      <c r="AD338" s="1420"/>
      <c r="AE338" s="1420"/>
      <c r="AF338" s="1420"/>
      <c r="AG338" s="1420"/>
      <c r="AH338" s="1420"/>
      <c r="AI338" s="1420"/>
      <c r="AJ338" s="1420"/>
      <c r="AK338" s="1420"/>
    </row>
    <row r="339" spans="1:66" ht="12.95" customHeight="1">
      <c r="B339" s="3" t="s">
        <v>88</v>
      </c>
      <c r="C339" s="3"/>
      <c r="D339" s="3"/>
      <c r="E339" s="3"/>
      <c r="F339" s="3"/>
      <c r="G339" s="3"/>
      <c r="H339" s="1513" t="s">
        <v>2706</v>
      </c>
      <c r="I339" s="1513"/>
      <c r="J339" s="1513"/>
      <c r="K339" s="1513"/>
      <c r="L339" s="1513"/>
      <c r="M339" s="1513"/>
      <c r="N339" s="4" t="s">
        <v>206</v>
      </c>
      <c r="O339" s="4"/>
      <c r="P339" s="1497" t="s">
        <v>2678</v>
      </c>
      <c r="Q339" s="1517"/>
      <c r="R339" s="1517"/>
      <c r="S339" s="3"/>
      <c r="T339" s="3" t="s">
        <v>88</v>
      </c>
      <c r="V339" s="3"/>
      <c r="W339" s="3"/>
      <c r="X339" s="3"/>
      <c r="Y339" s="3"/>
      <c r="AA339" s="1513" t="s">
        <v>2713</v>
      </c>
      <c r="AB339" s="1513"/>
      <c r="AC339" s="1513"/>
      <c r="AD339" s="1513"/>
      <c r="AE339" s="1513"/>
      <c r="AF339" s="1513"/>
      <c r="AG339" s="4" t="s">
        <v>206</v>
      </c>
      <c r="AH339" s="4"/>
      <c r="AI339" s="1497" t="s">
        <v>2678</v>
      </c>
      <c r="AJ339" s="1517"/>
      <c r="AK339" s="1517"/>
    </row>
    <row r="340" spans="1:66" ht="12.95" customHeight="1">
      <c r="B340" s="3" t="s">
        <v>89</v>
      </c>
      <c r="C340" s="3"/>
      <c r="D340" s="3"/>
      <c r="E340" s="3"/>
      <c r="F340" s="3"/>
      <c r="G340" s="3"/>
      <c r="H340" s="1475" t="s">
        <v>2707</v>
      </c>
      <c r="I340" s="1475"/>
      <c r="J340" s="1475"/>
      <c r="K340" s="1475"/>
      <c r="L340" s="1475"/>
      <c r="M340" s="1475"/>
      <c r="N340" s="4"/>
      <c r="O340" s="4"/>
      <c r="P340" s="35"/>
      <c r="Q340" s="35"/>
      <c r="R340" s="35"/>
      <c r="S340" s="3"/>
      <c r="T340" s="3" t="s">
        <v>89</v>
      </c>
      <c r="V340" s="3"/>
      <c r="W340" s="3"/>
      <c r="X340" s="3"/>
      <c r="Y340" s="3"/>
      <c r="AA340" s="1475" t="s">
        <v>591</v>
      </c>
      <c r="AB340" s="1475"/>
      <c r="AC340" s="1475"/>
      <c r="AD340" s="1475"/>
      <c r="AE340" s="1475"/>
      <c r="AF340" s="1475"/>
      <c r="AG340" s="4"/>
      <c r="AH340" s="4"/>
      <c r="AI340" s="35"/>
      <c r="AJ340" s="35"/>
      <c r="AK340" s="35"/>
    </row>
    <row r="341" spans="1:66" ht="12.95" customHeight="1">
      <c r="B341" s="3" t="s">
        <v>76</v>
      </c>
      <c r="C341" s="3"/>
      <c r="D341" s="3"/>
      <c r="E341" s="3"/>
      <c r="F341" s="3"/>
      <c r="G341" s="3"/>
      <c r="H341" s="1420" t="s">
        <v>2708</v>
      </c>
      <c r="I341" s="1420"/>
      <c r="J341" s="1420"/>
      <c r="K341" s="1420"/>
      <c r="L341" s="1420"/>
      <c r="M341" s="1420"/>
      <c r="N341" s="1399"/>
      <c r="O341" s="1399"/>
      <c r="P341" s="1399"/>
      <c r="Q341" s="1399"/>
      <c r="R341" s="1399"/>
      <c r="S341" s="3"/>
      <c r="T341" s="3" t="s">
        <v>76</v>
      </c>
      <c r="V341" s="3"/>
      <c r="W341" s="3"/>
      <c r="X341" s="3"/>
      <c r="Y341" s="3"/>
      <c r="AA341" s="1420" t="s">
        <v>2714</v>
      </c>
      <c r="AB341" s="1420"/>
      <c r="AC341" s="1420"/>
      <c r="AD341" s="1420"/>
      <c r="AE341" s="1420"/>
      <c r="AF341" s="1420"/>
      <c r="AG341" s="1399"/>
      <c r="AH341" s="1399"/>
      <c r="AI341" s="1399"/>
      <c r="AJ341" s="1399"/>
      <c r="AK341" s="1399"/>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2.95" customHeight="1">
      <c r="B343" s="3"/>
      <c r="C343" s="4"/>
      <c r="D343" s="4"/>
      <c r="E343" s="4"/>
      <c r="F343" s="4"/>
      <c r="I343" s="205" t="s">
        <v>887</v>
      </c>
      <c r="P343" s="1497" t="s">
        <v>2678</v>
      </c>
      <c r="Q343" s="1399"/>
      <c r="R343" s="1399"/>
      <c r="S343" s="1399"/>
      <c r="T343" s="1399"/>
      <c r="U343" s="1399"/>
      <c r="V343" s="1399"/>
      <c r="W343" s="1399"/>
      <c r="X343" s="1399"/>
      <c r="Y343" s="1399"/>
      <c r="Z343" s="1399"/>
      <c r="AA343" s="1399"/>
      <c r="AB343" s="1399"/>
      <c r="AC343" s="1399"/>
      <c r="AD343" s="1399"/>
      <c r="AE343" s="1399"/>
      <c r="BN343" t="s">
        <v>669</v>
      </c>
    </row>
    <row r="344" spans="1:66" ht="12.95" customHeight="1">
      <c r="B344" s="4"/>
      <c r="C344" s="4"/>
      <c r="D344" s="4"/>
      <c r="E344" s="4"/>
      <c r="F344" s="4"/>
      <c r="I344" s="4" t="s">
        <v>471</v>
      </c>
      <c r="P344" s="1420"/>
      <c r="Q344" s="1420"/>
      <c r="R344" s="1420"/>
      <c r="S344" s="1420"/>
      <c r="T344" s="1420"/>
      <c r="U344" s="1420"/>
      <c r="V344" s="1420"/>
      <c r="W344" s="1420"/>
      <c r="X344" s="1420"/>
      <c r="Y344" s="1420"/>
      <c r="Z344" s="1420"/>
      <c r="AA344" s="1420"/>
      <c r="AB344" s="1420"/>
      <c r="AC344" s="1420"/>
      <c r="AD344" s="1420"/>
      <c r="AE344" s="1420"/>
      <c r="BN344" t="s">
        <v>545</v>
      </c>
    </row>
    <row r="345" spans="1:66" ht="12.95" customHeight="1">
      <c r="B345" s="4"/>
      <c r="C345" s="4"/>
      <c r="D345" s="4"/>
      <c r="E345" s="4"/>
      <c r="F345" s="4"/>
      <c r="I345" s="4" t="s">
        <v>75</v>
      </c>
      <c r="P345" s="1420"/>
      <c r="Q345" s="1420"/>
      <c r="R345" s="1420"/>
      <c r="S345" s="1420"/>
      <c r="T345" s="1420"/>
      <c r="U345" s="1420"/>
      <c r="V345" s="1420"/>
      <c r="W345" s="1420"/>
      <c r="X345" s="1420"/>
      <c r="Y345" s="1420"/>
      <c r="Z345" s="1420"/>
      <c r="AA345" s="1420"/>
      <c r="AB345" s="1420"/>
      <c r="AC345" s="1420"/>
      <c r="AD345" s="1420"/>
      <c r="AE345" s="1420"/>
    </row>
    <row r="346" spans="1:66" ht="12.95" customHeight="1">
      <c r="B346" s="4"/>
      <c r="C346" s="4"/>
      <c r="D346" s="4"/>
      <c r="E346" s="4"/>
      <c r="F346" s="4"/>
      <c r="G346" s="4"/>
      <c r="I346" s="4" t="s">
        <v>87</v>
      </c>
      <c r="P346" s="1420"/>
      <c r="Q346" s="1420"/>
      <c r="R346" s="1420"/>
      <c r="S346" s="1420"/>
      <c r="T346" s="1420"/>
      <c r="U346" s="1420"/>
      <c r="V346" s="1420"/>
      <c r="W346" s="1420"/>
      <c r="X346" s="1420"/>
      <c r="Y346" s="1420"/>
      <c r="Z346" s="1420"/>
      <c r="AA346" s="1420"/>
      <c r="AB346" s="1420"/>
      <c r="AC346" s="1420"/>
      <c r="AD346" s="1420"/>
      <c r="AE346" s="1420"/>
    </row>
    <row r="347" spans="1:66" ht="12.95" customHeight="1">
      <c r="B347" s="4"/>
      <c r="C347" s="4"/>
      <c r="D347" s="4"/>
      <c r="E347" s="4"/>
      <c r="F347" s="4"/>
      <c r="G347" s="4"/>
      <c r="H347" s="303"/>
      <c r="I347" s="4" t="s">
        <v>88</v>
      </c>
      <c r="P347" s="1475"/>
      <c r="Q347" s="1475"/>
      <c r="R347" s="1475"/>
      <c r="S347" s="1475"/>
      <c r="T347" s="1475"/>
      <c r="U347" s="1475"/>
      <c r="V347" s="1475"/>
      <c r="W347" s="1475"/>
      <c r="X347" s="1475"/>
      <c r="Y347" s="1475"/>
      <c r="Z347" s="1475"/>
      <c r="AA347" s="4" t="s">
        <v>206</v>
      </c>
      <c r="AB347" s="4"/>
      <c r="AC347" s="1397"/>
      <c r="AD347" s="1397"/>
      <c r="AE347" s="1397"/>
      <c r="AF347" s="303"/>
      <c r="AG347" s="4"/>
      <c r="AH347" s="4"/>
      <c r="AI347" s="4"/>
      <c r="AJ347" s="4"/>
      <c r="AK347" s="4"/>
    </row>
    <row r="348" spans="1:66" ht="12.95" customHeight="1">
      <c r="B348" s="4"/>
      <c r="C348" s="4"/>
      <c r="D348" s="4"/>
      <c r="E348" s="4"/>
      <c r="F348" s="4"/>
      <c r="G348" s="4"/>
      <c r="H348" s="303"/>
      <c r="I348" s="4" t="s">
        <v>89</v>
      </c>
      <c r="P348" s="1475"/>
      <c r="Q348" s="1475"/>
      <c r="R348" s="1475"/>
      <c r="S348" s="1475"/>
      <c r="T348" s="1475"/>
      <c r="U348" s="1475"/>
      <c r="V348" s="1475"/>
      <c r="W348" s="1475"/>
      <c r="X348" s="1475"/>
      <c r="Y348" s="1475"/>
      <c r="Z348" s="1475"/>
      <c r="AF348" s="303"/>
      <c r="AG348" s="4"/>
      <c r="AH348" s="4"/>
      <c r="AI348" s="35"/>
      <c r="AJ348" s="35"/>
      <c r="AK348" s="35"/>
    </row>
    <row r="349" spans="1:66" ht="12.95" customHeight="1">
      <c r="B349" s="4"/>
      <c r="C349" s="4"/>
      <c r="D349" s="4"/>
      <c r="E349" s="4"/>
      <c r="F349" s="4"/>
      <c r="G349" s="4"/>
      <c r="I349" s="4" t="s">
        <v>76</v>
      </c>
      <c r="P349" s="1399"/>
      <c r="Q349" s="1399"/>
      <c r="R349" s="1399"/>
      <c r="S349" s="1399"/>
      <c r="T349" s="1399"/>
      <c r="U349" s="1399"/>
      <c r="V349" s="1399"/>
      <c r="W349" s="1399"/>
      <c r="X349" s="1399"/>
      <c r="Y349" s="1399"/>
      <c r="Z349" s="1399"/>
      <c r="AA349" s="1399"/>
      <c r="AB349" s="1399"/>
      <c r="AC349" s="1399"/>
      <c r="AD349" s="1399"/>
      <c r="AE349" s="1399"/>
    </row>
    <row r="350" spans="1:66" ht="12.95" customHeight="1">
      <c r="T350" s="8"/>
      <c r="U350" s="8"/>
      <c r="V350" s="8"/>
      <c r="W350" s="8"/>
      <c r="X350" s="8"/>
      <c r="Y350" s="8"/>
      <c r="Z350" s="8"/>
      <c r="AU350" s="95"/>
      <c r="AV350" s="95"/>
      <c r="AW350" s="95"/>
      <c r="AX350" s="95"/>
      <c r="AY350" s="95"/>
    </row>
    <row r="351" spans="1:66" ht="12.95" customHeight="1">
      <c r="A351" s="1537" t="s">
        <v>542</v>
      </c>
      <c r="B351" s="1537"/>
      <c r="C351" s="1537"/>
      <c r="D351" s="1537"/>
      <c r="E351" s="1537"/>
      <c r="F351" s="1537"/>
      <c r="G351" s="1537"/>
      <c r="H351" s="1537"/>
      <c r="I351" s="1537"/>
      <c r="J351" s="1537"/>
      <c r="K351" s="1537"/>
      <c r="L351" s="1537"/>
      <c r="M351" s="1537"/>
      <c r="N351" s="1537"/>
      <c r="O351" s="1537"/>
      <c r="P351" s="1537"/>
      <c r="Q351" s="1537"/>
      <c r="R351" s="1537"/>
      <c r="S351" s="1537"/>
      <c r="T351" s="1537"/>
      <c r="U351" s="1537"/>
      <c r="V351" s="1537"/>
      <c r="W351" s="1537"/>
      <c r="X351" s="1537"/>
      <c r="Y351" s="1537"/>
      <c r="Z351" s="1537"/>
      <c r="AA351" s="1537"/>
      <c r="AB351" s="1537"/>
      <c r="AC351" s="1537"/>
      <c r="AD351" s="1537"/>
      <c r="AE351" s="1537"/>
      <c r="AF351" s="1537"/>
      <c r="AG351" s="1537"/>
      <c r="AH351" s="1537"/>
      <c r="AI351" s="1537"/>
      <c r="AJ351" s="1537"/>
      <c r="AK351" s="1537"/>
      <c r="AL351" s="1537"/>
      <c r="AM351" s="1537"/>
      <c r="AN351" s="1537"/>
      <c r="AO351" s="1537"/>
      <c r="AP351" s="1537"/>
      <c r="AQ351" s="1537"/>
      <c r="AR351" s="1537"/>
      <c r="AS351" s="1537"/>
      <c r="AT351" s="1537"/>
      <c r="AU351" s="95"/>
      <c r="AV351" s="95"/>
      <c r="AW351" s="95"/>
      <c r="AX351" s="95"/>
      <c r="AY351" s="95"/>
    </row>
    <row r="352" spans="1:66" ht="12.95" customHeight="1">
      <c r="A352" s="1537"/>
      <c r="B352" s="1537"/>
      <c r="C352" s="1537"/>
      <c r="D352" s="1537"/>
      <c r="E352" s="1537"/>
      <c r="F352" s="1537"/>
      <c r="G352" s="1537"/>
      <c r="H352" s="1537"/>
      <c r="I352" s="1537"/>
      <c r="J352" s="1537"/>
      <c r="K352" s="1537"/>
      <c r="L352" s="1537"/>
      <c r="M352" s="1537"/>
      <c r="N352" s="1537"/>
      <c r="O352" s="1537"/>
      <c r="P352" s="1537"/>
      <c r="Q352" s="1537"/>
      <c r="R352" s="1537"/>
      <c r="S352" s="1537"/>
      <c r="T352" s="1537"/>
      <c r="U352" s="1537"/>
      <c r="V352" s="1537"/>
      <c r="W352" s="1537"/>
      <c r="X352" s="1537"/>
      <c r="Y352" s="1537"/>
      <c r="Z352" s="1537"/>
      <c r="AA352" s="1537"/>
      <c r="AB352" s="1537"/>
      <c r="AC352" s="1537"/>
      <c r="AD352" s="1537"/>
      <c r="AE352" s="1537"/>
      <c r="AF352" s="1537"/>
      <c r="AG352" s="1537"/>
      <c r="AH352" s="1537"/>
      <c r="AI352" s="1537"/>
      <c r="AJ352" s="1537"/>
      <c r="AK352" s="1537"/>
      <c r="AL352" s="1537"/>
      <c r="AM352" s="1537"/>
      <c r="AN352" s="1537"/>
      <c r="AO352" s="1537"/>
      <c r="AP352" s="1537"/>
      <c r="AQ352" s="1537"/>
      <c r="AR352" s="1537"/>
      <c r="AS352" s="1537"/>
      <c r="AT352" s="1537"/>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782</v>
      </c>
    </row>
    <row r="355" spans="1:46" ht="12.95" customHeight="1">
      <c r="D355" s="3" t="s">
        <v>2100</v>
      </c>
      <c r="M355" s="1418" t="s">
        <v>591</v>
      </c>
      <c r="N355" s="1418"/>
      <c r="P355" t="s">
        <v>1650</v>
      </c>
      <c r="AJ355" s="1418" t="s">
        <v>669</v>
      </c>
      <c r="AK355" s="1418"/>
    </row>
    <row r="356" spans="1:46" ht="12.95" customHeight="1">
      <c r="D356" s="3" t="s">
        <v>1639</v>
      </c>
      <c r="M356" s="1418" t="s">
        <v>591</v>
      </c>
      <c r="N356" s="1418"/>
      <c r="P356" s="3" t="s">
        <v>1719</v>
      </c>
      <c r="AJ356" s="1428">
        <v>0</v>
      </c>
      <c r="AK356" s="1428"/>
    </row>
    <row r="357" spans="1:46" ht="12.95" customHeight="1">
      <c r="D357" s="3" t="s">
        <v>704</v>
      </c>
      <c r="M357" s="1418" t="s">
        <v>591</v>
      </c>
      <c r="N357" s="1418"/>
      <c r="P357" t="s">
        <v>1649</v>
      </c>
      <c r="AJ357" s="1418" t="s">
        <v>545</v>
      </c>
      <c r="AK357" s="1418"/>
    </row>
    <row r="358" spans="1:46" ht="12.95" customHeight="1">
      <c r="D358" s="3" t="s">
        <v>705</v>
      </c>
      <c r="M358" s="1418" t="s">
        <v>545</v>
      </c>
      <c r="N358" s="1418"/>
      <c r="Q358" s="4"/>
    </row>
    <row r="359" spans="1:46" ht="12.95" customHeight="1">
      <c r="Q359" s="4"/>
    </row>
    <row r="360" spans="1:46" ht="12.95" customHeight="1">
      <c r="Q360" s="4"/>
    </row>
    <row r="361" spans="1:46" ht="12.95" customHeight="1">
      <c r="A361" s="2" t="s">
        <v>576</v>
      </c>
      <c r="B361" s="2"/>
      <c r="C361" s="2" t="s">
        <v>552</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18" t="s">
        <v>545</v>
      </c>
      <c r="O363" s="1418"/>
      <c r="P363" s="40"/>
      <c r="Q363" s="40"/>
      <c r="R363" s="40"/>
      <c r="S363" s="40"/>
      <c r="T363" s="40"/>
      <c r="U363" s="40"/>
      <c r="V363" s="40"/>
      <c r="W363" s="40"/>
      <c r="X363" s="40"/>
      <c r="Y363" s="40"/>
      <c r="Z363" s="40"/>
      <c r="AC363" s="40"/>
      <c r="AD363" s="40"/>
      <c r="AE363" s="40"/>
    </row>
    <row r="364" spans="1:46" ht="12.95" customHeight="1">
      <c r="E364" t="s">
        <v>370</v>
      </c>
      <c r="Y364" s="1418" t="s">
        <v>591</v>
      </c>
      <c r="Z364" s="1418"/>
    </row>
    <row r="365" spans="1:46" ht="12.95" customHeight="1">
      <c r="D365" s="4" t="s">
        <v>978</v>
      </c>
      <c r="Q365" s="1399" t="s">
        <v>2747</v>
      </c>
      <c r="R365" s="1399"/>
      <c r="S365" s="1399"/>
      <c r="T365" s="1399"/>
      <c r="U365" s="1399"/>
      <c r="V365" s="1399"/>
      <c r="W365" s="1399"/>
      <c r="X365" s="1399"/>
      <c r="Y365" s="1399"/>
      <c r="Z365" s="1399"/>
      <c r="AA365" s="1399"/>
      <c r="AB365" s="1399"/>
      <c r="AC365" s="1399"/>
      <c r="AD365" s="1399"/>
      <c r="AE365" s="1399"/>
      <c r="AF365" s="1399"/>
      <c r="AG365" s="1399"/>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418" t="s">
        <v>545</v>
      </c>
      <c r="K367" s="1418"/>
      <c r="L367" s="40"/>
      <c r="M367" s="40"/>
      <c r="N367" s="40"/>
      <c r="O367" s="40"/>
      <c r="P367" s="40"/>
      <c r="Q367" s="40"/>
      <c r="R367" s="40"/>
      <c r="S367" s="40"/>
      <c r="T367" s="40"/>
      <c r="U367" s="40"/>
      <c r="V367" s="40"/>
      <c r="W367" s="40"/>
      <c r="X367" s="40"/>
      <c r="Y367" s="40"/>
      <c r="Z367" s="40"/>
      <c r="AC367" s="40"/>
      <c r="AD367" s="40"/>
      <c r="AE367" s="40"/>
    </row>
    <row r="368" spans="1:46" ht="12.95" customHeight="1">
      <c r="E368" s="1502" t="s">
        <v>706</v>
      </c>
      <c r="F368" s="1502"/>
      <c r="G368" s="1502"/>
      <c r="H368" s="1502"/>
      <c r="I368" s="1502"/>
      <c r="J368" s="1502"/>
      <c r="K368" s="1502"/>
      <c r="L368" s="1502"/>
      <c r="M368" s="1502"/>
      <c r="N368" s="1502"/>
      <c r="O368" s="1502"/>
      <c r="P368" s="1502"/>
      <c r="Q368" s="1502"/>
      <c r="R368" s="1502"/>
      <c r="S368" s="1502"/>
      <c r="T368" s="1502"/>
      <c r="U368" s="1502"/>
      <c r="V368" s="1502"/>
      <c r="W368" s="1502"/>
      <c r="X368" s="1502"/>
      <c r="Y368" s="1502"/>
      <c r="Z368" s="1502"/>
      <c r="AA368" s="1502"/>
      <c r="AB368" s="1502"/>
      <c r="AC368" s="1502"/>
      <c r="AD368" s="1502"/>
      <c r="AE368" s="1502"/>
      <c r="AF368" s="1502"/>
      <c r="AG368" s="1502"/>
      <c r="AH368" s="1502"/>
    </row>
    <row r="369" spans="1:34" ht="12.95" customHeight="1">
      <c r="E369" s="1502"/>
      <c r="F369" s="1502"/>
      <c r="G369" s="1502"/>
      <c r="H369" s="1502"/>
      <c r="I369" s="1502"/>
      <c r="J369" s="1502"/>
      <c r="K369" s="1502"/>
      <c r="L369" s="1502"/>
      <c r="M369" s="1502"/>
      <c r="N369" s="1502"/>
      <c r="O369" s="1502"/>
      <c r="P369" s="1502"/>
      <c r="Q369" s="1502"/>
      <c r="R369" s="1502"/>
      <c r="S369" s="1502"/>
      <c r="T369" s="1502"/>
      <c r="U369" s="1502"/>
      <c r="V369" s="1502"/>
      <c r="W369" s="1502"/>
      <c r="X369" s="1502"/>
      <c r="Y369" s="1502"/>
      <c r="Z369" s="1502"/>
      <c r="AA369" s="1502"/>
      <c r="AB369" s="1502"/>
      <c r="AC369" s="1502"/>
      <c r="AD369" s="1502"/>
      <c r="AE369" s="1502"/>
      <c r="AF369" s="1502"/>
      <c r="AG369" s="1502"/>
      <c r="AH369" s="1502"/>
    </row>
    <row r="370" spans="1:34" ht="12.95" customHeight="1">
      <c r="E370" s="4" t="s">
        <v>448</v>
      </c>
      <c r="F370" s="4"/>
      <c r="G370" s="4"/>
      <c r="H370" s="4"/>
      <c r="I370" s="4"/>
      <c r="J370" s="4"/>
      <c r="K370" s="4"/>
      <c r="L370" s="4"/>
      <c r="N370" s="1571" t="s">
        <v>2735</v>
      </c>
      <c r="O370" s="1369"/>
      <c r="P370" s="1369"/>
      <c r="Q370" s="1369"/>
      <c r="R370" s="4"/>
      <c r="U370" s="4" t="s">
        <v>449</v>
      </c>
      <c r="V370" s="4"/>
      <c r="W370" s="4"/>
      <c r="X370" s="4"/>
      <c r="Y370" s="4"/>
      <c r="Z370" s="4"/>
      <c r="AA370" s="4"/>
      <c r="AB370" s="4"/>
      <c r="AC370" s="1369">
        <v>5</v>
      </c>
      <c r="AD370" s="1369"/>
      <c r="AE370" s="1369"/>
      <c r="AF370" s="1369"/>
    </row>
    <row r="371" spans="1:34" ht="12.95" customHeight="1">
      <c r="E371" s="4" t="s">
        <v>450</v>
      </c>
      <c r="F371" s="4"/>
      <c r="G371" s="4"/>
      <c r="H371" s="4"/>
      <c r="I371" s="4"/>
      <c r="J371" s="4"/>
      <c r="K371" s="4"/>
      <c r="L371" s="4"/>
      <c r="N371" s="1369">
        <v>5</v>
      </c>
      <c r="O371" s="1369"/>
      <c r="P371" s="1369"/>
      <c r="Q371" s="1369"/>
      <c r="R371" s="4"/>
      <c r="U371" s="4" t="s">
        <v>0</v>
      </c>
      <c r="V371" s="4"/>
      <c r="W371" s="4"/>
      <c r="X371" s="4"/>
      <c r="Y371" s="4"/>
      <c r="Z371" s="4"/>
      <c r="AA371" s="4"/>
      <c r="AB371" s="4"/>
      <c r="AC371" s="1369">
        <v>86</v>
      </c>
      <c r="AD371" s="1369"/>
      <c r="AE371" s="1369"/>
      <c r="AF371" s="1369"/>
    </row>
    <row r="372" spans="1:34" ht="12.95" customHeight="1">
      <c r="E372" s="4" t="s">
        <v>1</v>
      </c>
      <c r="F372" s="4"/>
      <c r="G372" s="4"/>
      <c r="H372" s="4"/>
      <c r="I372" s="4"/>
      <c r="J372" s="4"/>
      <c r="K372" s="4"/>
      <c r="L372" s="4"/>
      <c r="N372" s="1369">
        <v>3</v>
      </c>
      <c r="O372" s="1369"/>
      <c r="P372" s="1369"/>
      <c r="Q372" s="1369"/>
      <c r="R372" s="4"/>
      <c r="V372" s="4"/>
      <c r="W372" s="4"/>
      <c r="X372" s="4"/>
      <c r="Y372" s="4"/>
      <c r="Z372" s="4"/>
      <c r="AA372" s="4"/>
      <c r="AB372" s="4"/>
    </row>
    <row r="373" spans="1:34" ht="12.95" customHeight="1">
      <c r="E373" s="4" t="s">
        <v>2</v>
      </c>
      <c r="F373" s="4"/>
      <c r="G373" s="4"/>
      <c r="H373" s="4"/>
      <c r="I373" s="4"/>
      <c r="J373" s="4"/>
      <c r="K373" s="4"/>
      <c r="L373" s="4"/>
      <c r="N373" s="1519" t="s">
        <v>2734</v>
      </c>
      <c r="O373" s="1520"/>
      <c r="P373" s="1520"/>
      <c r="Q373" s="1520"/>
      <c r="R373" s="1520"/>
      <c r="S373" s="1520"/>
      <c r="T373" s="1520"/>
      <c r="U373" s="1520"/>
      <c r="V373" s="1520"/>
      <c r="W373" s="1520"/>
      <c r="X373" s="1520"/>
      <c r="Y373" s="1520"/>
      <c r="Z373" s="1520"/>
      <c r="AA373" s="1520"/>
      <c r="AB373" s="1520"/>
      <c r="AC373" s="1520"/>
      <c r="AD373" s="1520"/>
      <c r="AE373" s="1520"/>
      <c r="AF373" s="1520"/>
    </row>
    <row r="374" spans="1:34" ht="12.95" customHeight="1">
      <c r="E374" s="4"/>
      <c r="F374" s="4"/>
      <c r="G374" s="4"/>
      <c r="H374" s="4"/>
      <c r="I374" s="4"/>
      <c r="J374" s="4"/>
      <c r="K374" s="4"/>
      <c r="L374" s="4"/>
      <c r="N374" s="1521"/>
      <c r="O374" s="1521"/>
      <c r="P374" s="1521"/>
      <c r="Q374" s="1521"/>
      <c r="R374" s="1521"/>
      <c r="S374" s="1521"/>
      <c r="T374" s="1521"/>
      <c r="U374" s="1521"/>
      <c r="V374" s="1521"/>
      <c r="W374" s="1521"/>
      <c r="X374" s="1521"/>
      <c r="Y374" s="1521"/>
      <c r="Z374" s="1521"/>
      <c r="AA374" s="1521"/>
      <c r="AB374" s="1521"/>
      <c r="AC374" s="1521"/>
      <c r="AD374" s="1521"/>
      <c r="AE374" s="1521"/>
      <c r="AF374" s="1521"/>
    </row>
    <row r="375" spans="1:34" ht="12.95" customHeight="1">
      <c r="C375" s="513"/>
      <c r="E375" s="4"/>
      <c r="F375" s="4"/>
      <c r="G375" s="4"/>
      <c r="H375" s="4"/>
      <c r="I375" s="4"/>
      <c r="J375" s="4"/>
      <c r="K375" s="4"/>
      <c r="L375" s="4"/>
    </row>
    <row r="376" spans="1:34" ht="12.95" customHeight="1">
      <c r="D376" s="2" t="s">
        <v>975</v>
      </c>
      <c r="E376" s="2"/>
      <c r="F376" s="4"/>
      <c r="G376" s="4"/>
      <c r="H376" s="4"/>
      <c r="I376" s="4"/>
      <c r="J376" s="4"/>
      <c r="K376" s="4"/>
      <c r="L376" s="4"/>
    </row>
    <row r="377" spans="1:34" ht="12.95" customHeight="1">
      <c r="E377" s="4" t="s">
        <v>2086</v>
      </c>
      <c r="F377" s="4"/>
      <c r="G377" s="4"/>
      <c r="H377" s="4"/>
      <c r="I377" s="4"/>
      <c r="J377" s="4"/>
      <c r="K377" s="4"/>
      <c r="L377" s="4"/>
      <c r="N377" t="s">
        <v>2081</v>
      </c>
      <c r="R377" s="27" t="s">
        <v>305</v>
      </c>
      <c r="S377" s="1508">
        <v>2007</v>
      </c>
      <c r="T377" s="1508"/>
      <c r="U377" s="1" t="s">
        <v>306</v>
      </c>
      <c r="V377" s="1508">
        <v>43</v>
      </c>
      <c r="W377" s="1508"/>
      <c r="Y377" t="s">
        <v>2081</v>
      </c>
      <c r="AC377" s="27" t="s">
        <v>305</v>
      </c>
      <c r="AD377" s="1508"/>
      <c r="AE377" s="1508"/>
      <c r="AF377" s="1" t="s">
        <v>306</v>
      </c>
      <c r="AG377" s="1508"/>
      <c r="AH377" s="1508"/>
    </row>
    <row r="378" spans="1:34" ht="12.95" customHeight="1">
      <c r="E378" s="4" t="s">
        <v>987</v>
      </c>
      <c r="F378" s="4"/>
      <c r="G378" s="4"/>
      <c r="H378" s="4"/>
      <c r="I378" s="4"/>
      <c r="J378" s="4"/>
      <c r="K378" s="4"/>
      <c r="L378" s="4"/>
      <c r="N378" s="1508">
        <v>2009</v>
      </c>
      <c r="O378" s="1508"/>
      <c r="P378" s="1508"/>
    </row>
    <row r="379" spans="1:34" ht="12.95" customHeight="1">
      <c r="E379" s="205" t="s">
        <v>2087</v>
      </c>
      <c r="F379" s="4"/>
      <c r="G379" s="4"/>
      <c r="H379" s="4"/>
      <c r="I379" s="4"/>
      <c r="J379" s="4"/>
      <c r="K379" s="4"/>
      <c r="L379" s="4"/>
      <c r="AG379" s="1518" t="s">
        <v>669</v>
      </c>
      <c r="AH379" s="1518"/>
    </row>
    <row r="380" spans="1:34" ht="12.95" customHeight="1">
      <c r="E380" s="4"/>
      <c r="F380" s="4"/>
      <c r="G380" s="4" t="s">
        <v>2088</v>
      </c>
      <c r="H380" s="4"/>
      <c r="I380" s="4"/>
      <c r="J380" s="4"/>
      <c r="K380" s="4"/>
      <c r="L380" s="4"/>
      <c r="AG380" s="1518" t="s">
        <v>669</v>
      </c>
      <c r="AH380" s="1518"/>
    </row>
    <row r="381" spans="1:34" ht="12.95" customHeight="1">
      <c r="E381" s="4"/>
      <c r="F381" s="4"/>
      <c r="G381" s="321" t="s">
        <v>988</v>
      </c>
      <c r="H381" s="4"/>
      <c r="I381" s="4"/>
      <c r="J381" s="4"/>
      <c r="K381" s="4"/>
      <c r="L381" s="4"/>
      <c r="V381" s="1418" t="s">
        <v>591</v>
      </c>
      <c r="W381" s="1418"/>
      <c r="Y381" s="22" t="s">
        <v>980</v>
      </c>
    </row>
    <row r="382" spans="1:34" ht="12.95" customHeight="1">
      <c r="E382" s="4" t="s">
        <v>981</v>
      </c>
      <c r="F382" s="4"/>
      <c r="G382" s="4"/>
      <c r="H382" s="4"/>
      <c r="I382" s="4"/>
      <c r="J382" s="4"/>
      <c r="K382" s="4"/>
      <c r="L382" s="4"/>
      <c r="V382" s="1418" t="s">
        <v>591</v>
      </c>
      <c r="W382" s="1418"/>
      <c r="Y382" s="4" t="s">
        <v>982</v>
      </c>
    </row>
    <row r="383" spans="1:34" ht="12.95" customHeight="1"/>
    <row r="384" spans="1:34" ht="12.95" customHeight="1">
      <c r="A384" s="2" t="s">
        <v>78</v>
      </c>
      <c r="B384" s="2"/>
    </row>
    <row r="385" spans="4:36" ht="12.95" customHeight="1">
      <c r="D385" t="s">
        <v>428</v>
      </c>
      <c r="J385" s="1399" t="s">
        <v>2738</v>
      </c>
      <c r="K385" s="1399"/>
      <c r="L385" s="1399"/>
      <c r="M385" s="1399"/>
      <c r="N385" s="1399"/>
      <c r="O385" s="1399"/>
      <c r="P385" s="1399"/>
      <c r="Q385" s="1399"/>
      <c r="R385" s="1399"/>
      <c r="S385" s="1399"/>
      <c r="T385" s="1399"/>
      <c r="U385" s="1399"/>
      <c r="V385" s="8" t="s">
        <v>83</v>
      </c>
      <c r="W385" s="8"/>
      <c r="X385" s="8"/>
      <c r="Y385" s="8"/>
      <c r="Z385" s="8"/>
      <c r="AA385" s="8"/>
      <c r="AB385" s="8"/>
      <c r="AC385" s="1399"/>
      <c r="AD385" s="1399"/>
      <c r="AE385" s="1399"/>
      <c r="AF385" s="1399"/>
      <c r="AG385" s="1399"/>
      <c r="AH385" s="1399"/>
      <c r="AI385" s="1399"/>
      <c r="AJ385" s="1399"/>
    </row>
    <row r="386" spans="4:36" ht="12.95" customHeight="1">
      <c r="D386" s="3" t="s">
        <v>1182</v>
      </c>
      <c r="J386" s="1420" t="s">
        <v>2739</v>
      </c>
      <c r="K386" s="1420"/>
      <c r="L386" s="1420"/>
      <c r="M386" s="1420"/>
      <c r="N386" s="1420"/>
      <c r="O386" s="1420"/>
      <c r="P386" s="1420"/>
      <c r="Q386" s="1420"/>
      <c r="R386" s="1420"/>
      <c r="S386" s="1420"/>
      <c r="T386" s="1420"/>
      <c r="U386" s="1420"/>
      <c r="V386" s="3" t="s">
        <v>1182</v>
      </c>
      <c r="W386" s="8"/>
      <c r="X386" s="8"/>
      <c r="Y386" s="8"/>
      <c r="Z386" s="8"/>
      <c r="AA386" s="8"/>
      <c r="AB386" s="8"/>
      <c r="AC386" s="1399"/>
      <c r="AD386" s="1399"/>
      <c r="AE386" s="1399"/>
      <c r="AF386" s="1399"/>
      <c r="AG386" s="1399"/>
      <c r="AH386" s="1399"/>
      <c r="AI386" s="1399"/>
      <c r="AJ386" s="1399"/>
    </row>
    <row r="387" spans="4:36" ht="12.95" customHeight="1">
      <c r="D387" s="3" t="s">
        <v>441</v>
      </c>
      <c r="J387" s="1420" t="s">
        <v>2740</v>
      </c>
      <c r="K387" s="1420"/>
      <c r="L387" s="1420"/>
      <c r="M387" s="1420"/>
      <c r="N387" s="1420"/>
      <c r="O387" s="1420"/>
      <c r="P387" s="1420"/>
      <c r="Q387" s="1420"/>
      <c r="R387" s="1420"/>
      <c r="S387" s="1420"/>
      <c r="T387" s="1420"/>
      <c r="U387" s="1420"/>
      <c r="V387" s="3" t="s">
        <v>441</v>
      </c>
      <c r="W387" s="8"/>
      <c r="X387" s="8"/>
      <c r="Y387" s="8"/>
      <c r="Z387" s="8"/>
      <c r="AA387" s="8"/>
      <c r="AB387" s="8"/>
      <c r="AC387" s="1399"/>
      <c r="AD387" s="1399"/>
      <c r="AE387" s="1399"/>
      <c r="AF387" s="1399"/>
      <c r="AG387" s="1399"/>
      <c r="AH387" s="1399"/>
      <c r="AI387" s="1399"/>
      <c r="AJ387" s="1399"/>
    </row>
    <row r="388" spans="4:36" ht="12.95" customHeight="1">
      <c r="D388" t="s">
        <v>1178</v>
      </c>
      <c r="J388" s="1400" t="s">
        <v>2617</v>
      </c>
      <c r="K388" s="1400"/>
      <c r="L388" s="1400"/>
      <c r="M388" s="1400"/>
      <c r="N388" s="1400"/>
      <c r="O388" s="1400"/>
      <c r="P388" s="1400"/>
      <c r="Q388" s="1400"/>
      <c r="R388" s="1400"/>
      <c r="S388" s="1400"/>
      <c r="T388" s="1400"/>
      <c r="U388" s="1400"/>
      <c r="V388" s="1399"/>
      <c r="W388" s="1399"/>
      <c r="X388" s="1399"/>
      <c r="Y388" s="1399"/>
      <c r="Z388" s="1399"/>
      <c r="AA388" s="1399"/>
      <c r="AB388" s="1399"/>
      <c r="AC388" s="1399"/>
      <c r="AD388" s="1399"/>
      <c r="AE388" s="1399"/>
      <c r="AF388" s="1399"/>
      <c r="AG388" s="1399"/>
      <c r="AH388" s="1399"/>
      <c r="AI388" s="1399"/>
      <c r="AJ388" s="1399"/>
    </row>
    <row r="389" spans="4:36" ht="12.95" customHeight="1">
      <c r="D389" t="s">
        <v>4</v>
      </c>
      <c r="Q389" s="1582">
        <v>45677</v>
      </c>
      <c r="R389" s="1582"/>
      <c r="S389" s="1582"/>
      <c r="T389" s="1582"/>
      <c r="U389" s="1582"/>
      <c r="V389" t="s">
        <v>309</v>
      </c>
      <c r="AI389" s="1418" t="s">
        <v>669</v>
      </c>
      <c r="AJ389" s="1418"/>
    </row>
    <row r="390" spans="4:36" ht="12.95" customHeight="1">
      <c r="D390" t="s">
        <v>5</v>
      </c>
      <c r="Q390" s="1503">
        <v>46022</v>
      </c>
      <c r="R390" s="1504"/>
      <c r="S390" s="1504"/>
      <c r="T390" s="1504"/>
      <c r="U390" s="1504"/>
      <c r="W390" s="21" t="s">
        <v>74</v>
      </c>
      <c r="AG390" s="1506"/>
      <c r="AH390" s="1506"/>
      <c r="AI390" s="1506"/>
      <c r="AJ390" s="1506"/>
    </row>
    <row r="391" spans="4:36" ht="12.95" customHeight="1">
      <c r="D391" t="s">
        <v>427</v>
      </c>
      <c r="Q391" s="1528">
        <v>18450000</v>
      </c>
      <c r="R391" s="1528"/>
      <c r="S391" s="1528"/>
      <c r="T391" s="1528"/>
      <c r="U391" s="1528"/>
      <c r="V391" s="3" t="s">
        <v>1181</v>
      </c>
      <c r="AG391" s="1515">
        <v>46022</v>
      </c>
      <c r="AH391" s="1515"/>
      <c r="AI391" s="1515"/>
      <c r="AJ391" s="1515"/>
    </row>
    <row r="392" spans="4:36" ht="12.95" customHeight="1">
      <c r="D392" t="s">
        <v>88</v>
      </c>
      <c r="I392" s="1548" t="s">
        <v>2745</v>
      </c>
      <c r="J392" s="1513"/>
      <c r="K392" s="1513"/>
      <c r="L392" s="1513"/>
      <c r="M392" s="1513"/>
      <c r="N392" s="1513"/>
      <c r="Q392" s="4" t="s">
        <v>206</v>
      </c>
      <c r="S392" s="1526" t="s">
        <v>591</v>
      </c>
      <c r="T392" s="1527"/>
      <c r="U392" s="1527"/>
      <c r="V392" t="s">
        <v>73</v>
      </c>
      <c r="AI392" s="1418" t="s">
        <v>669</v>
      </c>
      <c r="AJ392" s="1418"/>
    </row>
    <row r="393" spans="4:36" ht="12.95" customHeight="1">
      <c r="D393" t="s">
        <v>310</v>
      </c>
      <c r="Q393" s="1512">
        <v>0</v>
      </c>
      <c r="R393" s="1512"/>
      <c r="S393" s="1512"/>
      <c r="T393" s="1512"/>
      <c r="U393" s="1512"/>
      <c r="V393" t="s">
        <v>311</v>
      </c>
      <c r="AG393" s="1506">
        <v>0</v>
      </c>
      <c r="AH393" s="1506"/>
      <c r="AI393" s="1506"/>
      <c r="AJ393" s="1506"/>
    </row>
    <row r="394" spans="4:36" ht="12.95" customHeight="1">
      <c r="D394" t="s">
        <v>312</v>
      </c>
      <c r="Q394" s="1595">
        <v>1.2E-2</v>
      </c>
      <c r="R394" s="1595"/>
      <c r="S394" s="1595"/>
      <c r="T394" s="1595"/>
      <c r="U394" s="1595"/>
      <c r="V394" t="s">
        <v>1163</v>
      </c>
      <c r="AG394" s="1506">
        <v>0</v>
      </c>
      <c r="AH394" s="1506"/>
      <c r="AI394" s="1506"/>
      <c r="AJ394" s="1506"/>
    </row>
    <row r="395" spans="4:36" ht="12.95" customHeight="1">
      <c r="D395" t="s">
        <v>1162</v>
      </c>
      <c r="AG395" s="1506">
        <v>0</v>
      </c>
      <c r="AH395" s="1506"/>
      <c r="AI395" s="1506"/>
      <c r="AJ395" s="1506"/>
    </row>
    <row r="396" spans="4:36" ht="12.95" customHeight="1">
      <c r="AG396" s="457"/>
      <c r="AH396" s="457"/>
      <c r="AI396" s="457"/>
      <c r="AJ396" s="457"/>
    </row>
    <row r="397" spans="4:36" ht="12.95" customHeight="1">
      <c r="D397" s="3" t="s">
        <v>2144</v>
      </c>
      <c r="AG397" s="457"/>
      <c r="AH397" s="457"/>
      <c r="AI397" s="1418" t="s">
        <v>669</v>
      </c>
      <c r="AJ397" s="1418"/>
    </row>
    <row r="398" spans="4:36" ht="12.95" customHeight="1">
      <c r="D398" s="3" t="s">
        <v>1667</v>
      </c>
      <c r="T398" s="1458" t="s">
        <v>591</v>
      </c>
      <c r="U398" s="1458"/>
      <c r="V398" s="1458"/>
      <c r="W398" s="1458"/>
      <c r="X398" s="1458"/>
      <c r="Y398" s="1458"/>
      <c r="Z398" s="1458"/>
      <c r="AA398" s="1458"/>
      <c r="AB398" s="1458"/>
      <c r="AC398" s="1458"/>
      <c r="AD398" s="1458"/>
      <c r="AE398" s="1458"/>
      <c r="AF398" s="1458"/>
      <c r="AG398" s="1458"/>
      <c r="AH398" s="1458"/>
      <c r="AI398" s="1458"/>
      <c r="AJ398" s="1458"/>
    </row>
    <row r="399" spans="4:36" ht="12.95" customHeight="1">
      <c r="D399" s="3" t="s">
        <v>1666</v>
      </c>
      <c r="T399" s="1458" t="s">
        <v>591</v>
      </c>
      <c r="U399" s="1458"/>
      <c r="V399" s="1458"/>
      <c r="W399" s="1458"/>
      <c r="X399" s="1458"/>
      <c r="Y399" s="1458"/>
      <c r="Z399" s="1458"/>
      <c r="AA399" s="1458"/>
      <c r="AB399" s="1458"/>
      <c r="AC399" s="1458"/>
      <c r="AD399" s="1458"/>
      <c r="AE399" s="1458"/>
      <c r="AF399" s="1458"/>
      <c r="AG399" s="1458"/>
      <c r="AH399" s="1458"/>
      <c r="AI399" s="1458"/>
      <c r="AJ399" s="1458"/>
    </row>
    <row r="400" spans="4:36" ht="12.95" customHeight="1">
      <c r="AG400" s="457"/>
      <c r="AH400" s="457"/>
      <c r="AI400" s="457"/>
      <c r="AJ400" s="457"/>
    </row>
    <row r="401" spans="1:36" ht="12.95" customHeight="1">
      <c r="D401" s="3" t="s">
        <v>1660</v>
      </c>
      <c r="S401" s="1458" t="s">
        <v>669</v>
      </c>
      <c r="T401" s="1458"/>
      <c r="U401" s="1458"/>
      <c r="V401" t="s">
        <v>1661</v>
      </c>
      <c r="AG401" s="1505"/>
      <c r="AH401" s="1505"/>
      <c r="AI401" s="1505"/>
      <c r="AJ401" s="1505"/>
    </row>
    <row r="402" spans="1:36" ht="12.95" customHeight="1">
      <c r="D402" s="3" t="s">
        <v>1658</v>
      </c>
      <c r="S402" s="1458" t="s">
        <v>591</v>
      </c>
      <c r="T402" s="1458"/>
      <c r="U402" s="1458"/>
      <c r="V402" t="s">
        <v>1663</v>
      </c>
      <c r="AE402" s="1514"/>
      <c r="AF402" s="1514"/>
      <c r="AG402" s="1514"/>
      <c r="AH402" s="1514"/>
      <c r="AI402" s="1514"/>
      <c r="AJ402" s="1514"/>
    </row>
    <row r="403" spans="1:36" ht="12.95" customHeight="1">
      <c r="D403" s="3" t="s">
        <v>1659</v>
      </c>
      <c r="K403" s="1516"/>
      <c r="L403" s="1516"/>
      <c r="M403" s="1516"/>
      <c r="N403" s="1516"/>
      <c r="O403" s="1516"/>
      <c r="P403" s="1516"/>
      <c r="Q403" s="1516"/>
      <c r="R403" s="1516"/>
      <c r="S403" s="1516"/>
      <c r="T403" s="1516"/>
      <c r="U403" s="1516"/>
      <c r="V403" s="1516"/>
      <c r="W403" s="1516"/>
      <c r="X403" s="1516"/>
      <c r="Y403" s="1516"/>
      <c r="Z403" s="1516"/>
      <c r="AA403" s="1516"/>
      <c r="AB403" s="1516"/>
      <c r="AC403" s="1516"/>
      <c r="AD403" s="1516"/>
      <c r="AE403" s="1516"/>
      <c r="AF403" s="1516"/>
      <c r="AG403" s="1516"/>
      <c r="AH403" s="1516"/>
      <c r="AI403" s="1516"/>
      <c r="AJ403" s="1516"/>
    </row>
    <row r="404" spans="1:36" ht="12.95" customHeight="1">
      <c r="D404" s="3" t="s">
        <v>1662</v>
      </c>
      <c r="K404" s="1516"/>
      <c r="L404" s="1516"/>
      <c r="M404" s="1516"/>
      <c r="N404" s="1516"/>
      <c r="O404" s="1516"/>
      <c r="P404" s="1516"/>
      <c r="Q404" s="1516"/>
      <c r="R404" s="1516"/>
      <c r="S404" s="1516"/>
      <c r="T404" s="1516"/>
      <c r="U404" s="1516"/>
      <c r="V404" s="1516"/>
      <c r="W404" s="1516"/>
      <c r="X404" s="1516"/>
      <c r="Y404" s="1516"/>
      <c r="Z404" s="1516"/>
      <c r="AA404" s="1516"/>
      <c r="AB404" s="1516"/>
      <c r="AC404" s="1516"/>
      <c r="AD404" s="1516"/>
      <c r="AE404" s="1516"/>
      <c r="AF404" s="1516"/>
      <c r="AG404" s="1516"/>
      <c r="AH404" s="1516"/>
      <c r="AI404" s="1516"/>
      <c r="AJ404" s="1516"/>
    </row>
    <row r="405" spans="1:36" ht="12.95" customHeight="1">
      <c r="D405" s="3" t="s">
        <v>1665</v>
      </c>
      <c r="E405" s="478"/>
      <c r="F405" s="478"/>
      <c r="G405" s="478"/>
      <c r="H405" s="478"/>
      <c r="I405" s="478"/>
      <c r="J405" s="478"/>
      <c r="K405" s="478"/>
      <c r="L405" s="478"/>
      <c r="M405" s="478"/>
      <c r="N405" s="478"/>
      <c r="O405" s="478"/>
      <c r="P405" s="478"/>
      <c r="Q405" s="478"/>
      <c r="R405" s="478"/>
      <c r="S405" s="1525" t="s">
        <v>1184</v>
      </c>
      <c r="T405" s="1525"/>
      <c r="U405" s="1525"/>
      <c r="V405" s="1525"/>
      <c r="W405" s="1525"/>
      <c r="X405" s="1525"/>
      <c r="Y405" s="1525"/>
      <c r="Z405" s="1525"/>
      <c r="AA405" s="1525"/>
      <c r="AB405" s="1525"/>
      <c r="AC405" s="1525"/>
      <c r="AD405" s="1525"/>
      <c r="AE405" s="1525"/>
      <c r="AF405" s="1525"/>
      <c r="AG405" s="1525"/>
      <c r="AH405" s="1525"/>
      <c r="AI405" s="1525"/>
      <c r="AJ405" s="1525"/>
    </row>
    <row r="406" spans="1:36" ht="12.95" customHeight="1">
      <c r="D406" s="1268" t="s">
        <v>1664</v>
      </c>
      <c r="E406" s="1268"/>
      <c r="F406" s="1268"/>
      <c r="G406" s="1268"/>
      <c r="H406" s="1268"/>
      <c r="I406" s="1268"/>
      <c r="J406" s="1268"/>
      <c r="K406" s="1268"/>
      <c r="L406" s="1268"/>
      <c r="M406" s="1268"/>
      <c r="N406" s="1268"/>
      <c r="O406" s="1268"/>
      <c r="P406" s="1268"/>
      <c r="Q406" s="1268"/>
      <c r="R406" s="1268"/>
      <c r="S406" s="1268"/>
      <c r="T406" s="1268"/>
      <c r="U406" s="1268"/>
      <c r="V406" s="1268"/>
      <c r="W406" s="1268"/>
      <c r="X406" s="1268"/>
      <c r="Y406" s="1268"/>
      <c r="Z406" s="1268"/>
      <c r="AA406" s="1268"/>
      <c r="AB406" s="1268"/>
      <c r="AC406" s="1268"/>
      <c r="AD406" s="1268"/>
      <c r="AE406" s="1268"/>
      <c r="AF406" s="1268"/>
      <c r="AG406" s="1268"/>
      <c r="AH406" s="1268"/>
      <c r="AI406" s="1268"/>
      <c r="AJ406" s="1268"/>
    </row>
    <row r="407" spans="1:36" ht="12.95" customHeight="1">
      <c r="D407" s="1268"/>
      <c r="E407" s="1268"/>
      <c r="F407" s="1268"/>
      <c r="G407" s="1268"/>
      <c r="H407" s="1268"/>
      <c r="I407" s="1268"/>
      <c r="J407" s="1268"/>
      <c r="K407" s="1268"/>
      <c r="L407" s="1268"/>
      <c r="M407" s="1268"/>
      <c r="N407" s="1268"/>
      <c r="O407" s="1268"/>
      <c r="P407" s="1268"/>
      <c r="Q407" s="1268"/>
      <c r="R407" s="1268"/>
      <c r="S407" s="1268"/>
      <c r="T407" s="1268"/>
      <c r="U407" s="1268"/>
      <c r="V407" s="1268"/>
      <c r="W407" s="1268"/>
      <c r="X407" s="1268"/>
      <c r="Y407" s="1268"/>
      <c r="Z407" s="1268"/>
      <c r="AA407" s="1268"/>
      <c r="AB407" s="1268"/>
      <c r="AC407" s="1268"/>
      <c r="AD407" s="1268"/>
      <c r="AE407" s="1268"/>
      <c r="AF407" s="1268"/>
      <c r="AG407" s="1268"/>
      <c r="AH407" s="1268"/>
      <c r="AI407" s="1268"/>
      <c r="AJ407" s="1268"/>
    </row>
    <row r="408" spans="1:36" ht="12.95" customHeight="1">
      <c r="AG408" s="457"/>
      <c r="AH408" s="457"/>
      <c r="AI408" s="457"/>
      <c r="AJ408" s="457"/>
    </row>
    <row r="409" spans="1:36" ht="12.95" customHeight="1">
      <c r="A409" s="2" t="s">
        <v>589</v>
      </c>
      <c r="B409" s="2"/>
      <c r="C409" s="2" t="s">
        <v>111</v>
      </c>
    </row>
    <row r="410" spans="1:36" ht="12.95" customHeight="1">
      <c r="B410" s="2"/>
      <c r="C410" s="2"/>
      <c r="D410" s="2" t="s">
        <v>1204</v>
      </c>
      <c r="I410" s="1497" t="s">
        <v>2625</v>
      </c>
      <c r="J410" s="1497"/>
      <c r="K410" s="1497"/>
      <c r="L410" s="1497"/>
      <c r="M410" s="1497"/>
      <c r="N410" s="1497"/>
      <c r="O410" s="1497"/>
      <c r="P410" s="1497"/>
      <c r="Q410" s="1497"/>
      <c r="R410" s="1497"/>
      <c r="S410" s="1497"/>
      <c r="T410" s="1497"/>
      <c r="U410" s="1497"/>
      <c r="V410" s="1497"/>
      <c r="W410" s="1497"/>
      <c r="X410" s="1497"/>
      <c r="Y410" s="1497"/>
      <c r="Z410" s="1497"/>
      <c r="AA410" s="1497"/>
      <c r="AB410" s="1497"/>
      <c r="AC410" s="1497"/>
      <c r="AD410" s="1497"/>
      <c r="AE410" s="1497"/>
    </row>
    <row r="411" spans="1:36" ht="12.95" customHeight="1">
      <c r="E411" t="s">
        <v>106</v>
      </c>
      <c r="R411" s="1418" t="s">
        <v>545</v>
      </c>
      <c r="S411" s="1418"/>
      <c r="AC411" s="27" t="s">
        <v>570</v>
      </c>
      <c r="AD411" s="1369">
        <v>3</v>
      </c>
      <c r="AE411" s="1369"/>
    </row>
    <row r="412" spans="1:36" ht="12.95" customHeight="1">
      <c r="E412" t="s">
        <v>107</v>
      </c>
      <c r="R412" s="1418" t="s">
        <v>591</v>
      </c>
      <c r="S412" s="1418"/>
      <c r="AC412" s="27" t="s">
        <v>570</v>
      </c>
      <c r="AD412" s="1369"/>
      <c r="AE412" s="1369"/>
    </row>
    <row r="413" spans="1:36" ht="12.95" customHeight="1">
      <c r="E413" t="s">
        <v>108</v>
      </c>
      <c r="S413" s="1418" t="s">
        <v>591</v>
      </c>
      <c r="T413" s="1418"/>
    </row>
    <row r="414" spans="1:36" ht="12.95" customHeight="1">
      <c r="E414" t="s">
        <v>170</v>
      </c>
      <c r="H414" s="1596" t="s">
        <v>334</v>
      </c>
      <c r="I414" s="1596"/>
      <c r="J414" s="1596"/>
      <c r="K414" s="1596"/>
      <c r="L414" s="1596"/>
      <c r="M414" s="1596"/>
      <c r="N414" s="1596"/>
      <c r="O414" s="1596"/>
      <c r="P414" s="1596"/>
      <c r="Q414" s="1596"/>
      <c r="R414" s="1596"/>
      <c r="S414" s="1596"/>
      <c r="T414" s="1596"/>
      <c r="U414" s="1596"/>
      <c r="V414" s="1596"/>
      <c r="W414" s="1596"/>
      <c r="X414" s="1596"/>
      <c r="Y414" s="1596"/>
      <c r="Z414" s="1596"/>
      <c r="AA414" s="1596"/>
      <c r="AB414" s="1596"/>
      <c r="AC414" s="1596"/>
      <c r="AD414" s="1596"/>
      <c r="AE414" s="1596"/>
    </row>
    <row r="415" spans="1:36" ht="12.95" customHeight="1">
      <c r="H415" s="1597"/>
      <c r="I415" s="1597"/>
      <c r="J415" s="1597"/>
      <c r="K415" s="1597"/>
      <c r="L415" s="1597"/>
      <c r="M415" s="1597"/>
      <c r="N415" s="1597"/>
      <c r="O415" s="1597"/>
      <c r="P415" s="1597"/>
      <c r="Q415" s="1597"/>
      <c r="R415" s="1597"/>
      <c r="S415" s="1597"/>
      <c r="T415" s="1597"/>
      <c r="U415" s="1597"/>
      <c r="V415" s="1597"/>
      <c r="W415" s="1597"/>
      <c r="X415" s="1597"/>
      <c r="Y415" s="1597"/>
      <c r="Z415" s="1597"/>
      <c r="AA415" s="1597"/>
      <c r="AB415" s="1597"/>
      <c r="AC415" s="1597"/>
      <c r="AD415" s="1597"/>
      <c r="AE415" s="1597"/>
    </row>
    <row r="416" spans="1:36" ht="12.95" customHeight="1"/>
    <row r="417" spans="1:39" ht="12.95" customHeight="1">
      <c r="A417" s="2" t="s">
        <v>590</v>
      </c>
      <c r="B417" s="2"/>
      <c r="C417" s="2"/>
      <c r="D417" s="2" t="s">
        <v>114</v>
      </c>
      <c r="AF417" s="2" t="s">
        <v>957</v>
      </c>
    </row>
    <row r="418" spans="1:39" ht="12.95" customHeight="1">
      <c r="E418" s="1508"/>
      <c r="F418" s="1508"/>
      <c r="G418" s="1508"/>
      <c r="H418" s="13" t="s">
        <v>115</v>
      </c>
      <c r="I418" s="1508"/>
      <c r="J418" s="1508"/>
      <c r="K418" s="1508"/>
      <c r="L418" t="s">
        <v>116</v>
      </c>
      <c r="N418" s="27" t="s">
        <v>575</v>
      </c>
      <c r="P418" s="1589">
        <v>2.19</v>
      </c>
      <c r="Q418" s="1589"/>
      <c r="R418" s="1589"/>
      <c r="S418" t="s">
        <v>117</v>
      </c>
      <c r="W418" s="1524">
        <f>IF(E418&gt;0,(E418*I418),(P418*43560))</f>
        <v>95396.4</v>
      </c>
      <c r="X418" s="1524"/>
      <c r="Y418" s="1524"/>
      <c r="Z418" t="s">
        <v>118</v>
      </c>
      <c r="AF418" s="1590">
        <f>IFERROR(IF(P418&gt;0,(AG437/P418),(AG437/(W418/43560))),0)</f>
        <v>39.269406392694066</v>
      </c>
      <c r="AG418" s="1590"/>
      <c r="AH418" s="1590"/>
      <c r="AM418" s="3"/>
    </row>
    <row r="419" spans="1:39" ht="12.95" customHeight="1">
      <c r="E419" t="s">
        <v>51</v>
      </c>
    </row>
    <row r="420" spans="1:39" ht="12.95" customHeight="1">
      <c r="E420" s="1507"/>
      <c r="F420" s="1507"/>
      <c r="G420" s="1507"/>
      <c r="H420" s="1507"/>
      <c r="I420" s="1507"/>
      <c r="J420" s="1507"/>
      <c r="K420" s="1507"/>
      <c r="L420" s="1507"/>
      <c r="M420" s="1507"/>
      <c r="N420" s="1507"/>
      <c r="O420" s="1507"/>
      <c r="P420" s="1507"/>
      <c r="Q420" s="1507"/>
      <c r="R420" s="1507"/>
      <c r="S420" s="1507"/>
      <c r="T420" s="1507"/>
      <c r="U420" s="1507"/>
      <c r="V420" s="1507"/>
      <c r="W420" s="1507"/>
      <c r="X420" s="1507"/>
      <c r="Y420" s="1507"/>
      <c r="Z420" s="1507"/>
      <c r="AA420" s="1507"/>
      <c r="AB420" s="1507"/>
      <c r="AC420" s="1507"/>
      <c r="AD420" s="1507"/>
      <c r="AE420" s="1507"/>
      <c r="AF420" s="1507"/>
      <c r="AG420" s="1507"/>
      <c r="AH420" s="1507"/>
      <c r="AI420" s="1507"/>
      <c r="AJ420" s="1507"/>
    </row>
    <row r="421" spans="1:39" ht="12.95" customHeight="1">
      <c r="E421" s="118" t="s">
        <v>1736</v>
      </c>
      <c r="F421" s="1014"/>
      <c r="G421" s="1014"/>
      <c r="H421" s="1014"/>
      <c r="I421" s="1588">
        <v>2.19</v>
      </c>
      <c r="J421" s="1588"/>
      <c r="K421" s="1588"/>
      <c r="L421" s="1014"/>
      <c r="M421" s="118"/>
      <c r="N421" s="1014"/>
      <c r="O421" s="1014"/>
      <c r="P421" s="1842">
        <f>(DU755+DU778+DU800)/I421</f>
        <v>73.515981735159812</v>
      </c>
      <c r="Q421" s="1842"/>
      <c r="R421" s="1842"/>
      <c r="S421" s="118" t="s">
        <v>1737</v>
      </c>
      <c r="T421" s="1014"/>
      <c r="U421" s="1014"/>
      <c r="V421" s="1014"/>
      <c r="W421" s="1014"/>
      <c r="X421" s="1014"/>
      <c r="Y421" s="1014"/>
      <c r="Z421" s="1014"/>
      <c r="AA421" s="1014"/>
      <c r="AB421" s="1014"/>
      <c r="AC421" s="1014"/>
      <c r="AD421" s="1014"/>
      <c r="AE421" s="1014"/>
      <c r="AF421" s="1014"/>
      <c r="AG421" s="1014"/>
      <c r="AH421" s="1014"/>
      <c r="AI421" s="1014"/>
      <c r="AJ421" s="1014"/>
    </row>
    <row r="422" spans="1:39" ht="12.95" customHeight="1"/>
    <row r="423" spans="1:39" ht="12.95" customHeight="1">
      <c r="A423" s="2" t="s">
        <v>592</v>
      </c>
      <c r="B423" s="2"/>
      <c r="C423" s="2"/>
      <c r="D423" s="2" t="s">
        <v>120</v>
      </c>
    </row>
    <row r="424" spans="1:39" ht="12.95" customHeight="1">
      <c r="E424" t="s">
        <v>121</v>
      </c>
      <c r="P424" s="1418">
        <v>5</v>
      </c>
      <c r="Q424" s="1418"/>
      <c r="S424" t="s">
        <v>189</v>
      </c>
      <c r="AE424" s="1418">
        <v>0</v>
      </c>
      <c r="AF424" s="1418"/>
    </row>
    <row r="425" spans="1:39" ht="12.95" customHeight="1">
      <c r="E425" t="s">
        <v>190</v>
      </c>
      <c r="P425" s="1418">
        <v>0</v>
      </c>
      <c r="Q425" s="1418"/>
      <c r="S425" t="s">
        <v>131</v>
      </c>
      <c r="AE425" s="1418" t="s">
        <v>591</v>
      </c>
      <c r="AF425" s="1418"/>
    </row>
    <row r="426" spans="1:39" ht="12.95" customHeight="1">
      <c r="F426" s="28" t="s">
        <v>132</v>
      </c>
    </row>
    <row r="427" spans="1:39" ht="12.95" customHeight="1">
      <c r="F427" s="1522"/>
      <c r="G427" s="1522"/>
      <c r="H427" s="1522"/>
      <c r="I427" s="1522"/>
      <c r="J427" s="1522"/>
      <c r="K427" s="1522"/>
      <c r="L427" s="1522"/>
      <c r="M427" s="1522"/>
      <c r="N427" s="1522"/>
      <c r="O427" s="1522"/>
      <c r="P427" s="1522"/>
      <c r="Q427" s="1522"/>
      <c r="R427" s="1522"/>
      <c r="S427" s="1522"/>
      <c r="T427" s="1522"/>
      <c r="U427" s="1522"/>
      <c r="V427" s="1522"/>
      <c r="W427" s="1522"/>
      <c r="X427" s="1522"/>
      <c r="Y427" s="1522"/>
      <c r="Z427" s="1522"/>
      <c r="AA427" s="1522"/>
      <c r="AB427" s="1522"/>
      <c r="AC427" s="1522"/>
      <c r="AD427" s="1522"/>
      <c r="AE427" s="1522"/>
      <c r="AF427" s="1522"/>
      <c r="AG427" s="1522"/>
      <c r="AH427" s="1522"/>
    </row>
    <row r="428" spans="1:39" ht="12.95" customHeight="1">
      <c r="F428" s="1523"/>
      <c r="G428" s="1523"/>
      <c r="H428" s="1523"/>
      <c r="I428" s="1523"/>
      <c r="J428" s="1523"/>
      <c r="K428" s="1523"/>
      <c r="L428" s="1523"/>
      <c r="M428" s="1523"/>
      <c r="N428" s="1523"/>
      <c r="O428" s="1523"/>
      <c r="P428" s="1523"/>
      <c r="Q428" s="1523"/>
      <c r="R428" s="1523"/>
      <c r="S428" s="1523"/>
      <c r="T428" s="1523"/>
      <c r="U428" s="1523"/>
      <c r="V428" s="1523"/>
      <c r="W428" s="1523"/>
      <c r="X428" s="1523"/>
      <c r="Y428" s="1523"/>
      <c r="Z428" s="1523"/>
      <c r="AA428" s="1523"/>
      <c r="AB428" s="1523"/>
      <c r="AC428" s="1523"/>
      <c r="AD428" s="1523"/>
      <c r="AE428" s="1523"/>
      <c r="AF428" s="1523"/>
      <c r="AG428" s="1523"/>
      <c r="AH428" s="1523"/>
    </row>
    <row r="429" spans="1:39" ht="12.95" customHeight="1">
      <c r="E429" t="s">
        <v>608</v>
      </c>
      <c r="P429" s="1"/>
      <c r="Q429" s="1418" t="s">
        <v>669</v>
      </c>
      <c r="R429" s="1418"/>
    </row>
    <row r="430" spans="1:39" ht="12.95" customHeight="1">
      <c r="F430" t="s">
        <v>609</v>
      </c>
      <c r="P430" s="1"/>
      <c r="Q430" s="1"/>
      <c r="AF430" s="1418" t="s">
        <v>591</v>
      </c>
      <c r="AG430" s="1510"/>
    </row>
    <row r="431" spans="1:39" ht="12.95" customHeight="1"/>
    <row r="432" spans="1:39" ht="12.95" customHeight="1">
      <c r="A432" s="2"/>
      <c r="B432" s="2"/>
      <c r="C432" s="2"/>
      <c r="E432" s="4" t="s">
        <v>308</v>
      </c>
      <c r="Z432" s="1418" t="s">
        <v>669</v>
      </c>
      <c r="AA432" s="1418"/>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707</v>
      </c>
      <c r="G434" s="40"/>
      <c r="I434" s="40"/>
      <c r="J434" s="40"/>
      <c r="K434" s="40"/>
      <c r="L434" s="40"/>
      <c r="M434" s="40"/>
      <c r="N434" s="40"/>
      <c r="O434" s="28"/>
      <c r="P434" s="40"/>
      <c r="Q434" s="40"/>
      <c r="R434" s="40"/>
      <c r="S434" s="40"/>
      <c r="T434" s="40"/>
      <c r="U434" s="40"/>
      <c r="V434" s="40"/>
      <c r="W434" s="40"/>
      <c r="Z434" s="1418" t="s">
        <v>591</v>
      </c>
      <c r="AA434" s="1418"/>
    </row>
    <row r="435" spans="1:55" ht="12.95" customHeight="1"/>
    <row r="436" spans="1:55" ht="12.95" customHeight="1">
      <c r="A436" s="2" t="s">
        <v>467</v>
      </c>
      <c r="B436" s="2"/>
      <c r="C436" s="2"/>
      <c r="D436" s="2" t="s">
        <v>764</v>
      </c>
      <c r="AF436" s="48"/>
    </row>
    <row r="437" spans="1:55" ht="12.95" customHeight="1">
      <c r="D437" s="1509" t="s">
        <v>43</v>
      </c>
      <c r="E437" s="1464"/>
      <c r="F437" s="1464"/>
      <c r="G437" s="1464"/>
      <c r="H437" s="1464"/>
      <c r="I437" s="1464"/>
      <c r="J437" s="1464"/>
      <c r="K437" s="1464"/>
      <c r="L437" s="1464"/>
      <c r="M437" s="1464"/>
      <c r="N437" s="1464"/>
      <c r="O437" s="1464"/>
      <c r="P437" s="1464"/>
      <c r="Q437" s="1464"/>
      <c r="R437" s="1464"/>
      <c r="S437" s="1464"/>
      <c r="T437" s="1464"/>
      <c r="U437" s="1464"/>
      <c r="V437" s="1464"/>
      <c r="W437" s="1464"/>
      <c r="X437" s="1464"/>
      <c r="Y437" s="1464"/>
      <c r="Z437" s="1464"/>
      <c r="AA437" s="1464"/>
      <c r="AB437" s="1464"/>
      <c r="AC437" s="1464"/>
      <c r="AD437" s="1464"/>
      <c r="AE437" s="1464"/>
      <c r="AF437" s="1465"/>
      <c r="AG437" s="1430">
        <v>86</v>
      </c>
      <c r="AH437" s="1430"/>
      <c r="AI437" s="1430"/>
      <c r="AJ437" s="1430"/>
    </row>
    <row r="438" spans="1:55" ht="12.95" customHeight="1">
      <c r="D438" s="1448" t="s">
        <v>1222</v>
      </c>
      <c r="E438" s="1449"/>
      <c r="F438" s="1449"/>
      <c r="G438" s="1449"/>
      <c r="H438" s="1449"/>
      <c r="I438" s="1449"/>
      <c r="J438" s="1449"/>
      <c r="K438" s="1449"/>
      <c r="L438" s="1449"/>
      <c r="M438" s="1449"/>
      <c r="N438" s="1449"/>
      <c r="O438" s="1449"/>
      <c r="P438" s="1449"/>
      <c r="Q438" s="1449"/>
      <c r="R438" s="1449"/>
      <c r="S438" s="1449"/>
      <c r="T438" s="1449"/>
      <c r="U438" s="1449"/>
      <c r="V438" s="1449"/>
      <c r="W438" s="1449"/>
      <c r="X438" s="1449"/>
      <c r="Y438" s="1449"/>
      <c r="Z438" s="1449"/>
      <c r="AA438" s="1449"/>
      <c r="AB438" s="1449"/>
      <c r="AC438" s="1449"/>
      <c r="AD438" s="1449"/>
      <c r="AE438" s="1449"/>
      <c r="AF438" s="1450"/>
      <c r="AG438" s="1434">
        <v>0</v>
      </c>
      <c r="AH438" s="1435"/>
      <c r="AI438" s="1435"/>
      <c r="AJ438" s="1435"/>
    </row>
    <row r="439" spans="1:55" ht="12.95" customHeight="1">
      <c r="D439" s="1448" t="s">
        <v>1031</v>
      </c>
      <c r="E439" s="1449"/>
      <c r="F439" s="1449"/>
      <c r="G439" s="1449"/>
      <c r="H439" s="1449"/>
      <c r="I439" s="1449"/>
      <c r="J439" s="1449"/>
      <c r="K439" s="1449"/>
      <c r="L439" s="1449"/>
      <c r="M439" s="1449"/>
      <c r="N439" s="1449"/>
      <c r="O439" s="1449"/>
      <c r="P439" s="1449"/>
      <c r="Q439" s="1449"/>
      <c r="R439" s="1449"/>
      <c r="S439" s="1449"/>
      <c r="T439" s="1449"/>
      <c r="U439" s="1449"/>
      <c r="V439" s="1449"/>
      <c r="W439" s="1449"/>
      <c r="X439" s="1449"/>
      <c r="Y439" s="1449"/>
      <c r="Z439" s="1449"/>
      <c r="AA439" s="1449"/>
      <c r="AB439" s="1449"/>
      <c r="AC439" s="1449"/>
      <c r="AD439" s="1449"/>
      <c r="AE439" s="1449"/>
      <c r="AF439" s="1450"/>
      <c r="AG439" s="1430">
        <v>84</v>
      </c>
      <c r="AH439" s="1430"/>
      <c r="AI439" s="1430"/>
      <c r="AJ439" s="1430"/>
    </row>
    <row r="440" spans="1:55" ht="12.95" customHeight="1">
      <c r="D440" s="1448" t="s">
        <v>1032</v>
      </c>
      <c r="E440" s="1449"/>
      <c r="F440" s="1449"/>
      <c r="G440" s="1449"/>
      <c r="H440" s="1449"/>
      <c r="I440" s="1449"/>
      <c r="J440" s="1449"/>
      <c r="K440" s="1449"/>
      <c r="L440" s="1449"/>
      <c r="M440" s="1449"/>
      <c r="N440" s="1449"/>
      <c r="O440" s="1449"/>
      <c r="P440" s="1449"/>
      <c r="Q440" s="1449"/>
      <c r="R440" s="1449"/>
      <c r="S440" s="1449"/>
      <c r="T440" s="1449"/>
      <c r="U440" s="1449"/>
      <c r="V440" s="1449"/>
      <c r="W440" s="1449"/>
      <c r="X440" s="1449"/>
      <c r="Y440" s="1449"/>
      <c r="Z440" s="1449"/>
      <c r="AA440" s="1449"/>
      <c r="AB440" s="1449"/>
      <c r="AC440" s="1449"/>
      <c r="AD440" s="1449"/>
      <c r="AE440" s="1449"/>
      <c r="AF440" s="1450"/>
      <c r="AG440" s="1430">
        <v>84</v>
      </c>
      <c r="AH440" s="1430"/>
      <c r="AI440" s="1430"/>
      <c r="AJ440" s="1430"/>
    </row>
    <row r="441" spans="1:55" ht="12.95" customHeight="1">
      <c r="D441" s="1448" t="s">
        <v>1034</v>
      </c>
      <c r="E441" s="1449"/>
      <c r="F441" s="1449"/>
      <c r="G441" s="1449"/>
      <c r="H441" s="1449"/>
      <c r="I441" s="1449"/>
      <c r="J441" s="1449"/>
      <c r="K441" s="1449"/>
      <c r="L441" s="1449"/>
      <c r="M441" s="1449"/>
      <c r="N441" s="1449"/>
      <c r="O441" s="1449"/>
      <c r="P441" s="1449"/>
      <c r="Q441" s="1449"/>
      <c r="R441" s="1449"/>
      <c r="S441" s="1449"/>
      <c r="T441" s="1449"/>
      <c r="U441" s="1449"/>
      <c r="V441" s="1449"/>
      <c r="W441" s="1449"/>
      <c r="X441" s="1449"/>
      <c r="Y441" s="1449"/>
      <c r="Z441" s="1449"/>
      <c r="AA441" s="1449"/>
      <c r="AB441" s="1449"/>
      <c r="AC441" s="1449"/>
      <c r="AD441" s="1449"/>
      <c r="AE441" s="1449"/>
      <c r="AF441" s="1450"/>
      <c r="AG441" s="1447">
        <f>IF(ISERROR(AG440/AG439),0,AG440/AG439)</f>
        <v>1</v>
      </c>
      <c r="AH441" s="1447"/>
      <c r="AI441" s="1447"/>
      <c r="AJ441" s="1447"/>
    </row>
    <row r="442" spans="1:55" ht="12.95" customHeight="1">
      <c r="D442" s="1448" t="s">
        <v>1033</v>
      </c>
      <c r="E442" s="1449"/>
      <c r="F442" s="1449"/>
      <c r="G442" s="1449"/>
      <c r="H442" s="1449"/>
      <c r="I442" s="1449"/>
      <c r="J442" s="1449"/>
      <c r="K442" s="1449"/>
      <c r="L442" s="1449"/>
      <c r="M442" s="1449"/>
      <c r="N442" s="1449"/>
      <c r="O442" s="1449"/>
      <c r="P442" s="1449"/>
      <c r="Q442" s="1449"/>
      <c r="R442" s="1449"/>
      <c r="S442" s="1449"/>
      <c r="T442" s="1449"/>
      <c r="U442" s="1449"/>
      <c r="V442" s="1449"/>
      <c r="W442" s="1449"/>
      <c r="X442" s="1449"/>
      <c r="Y442" s="1449"/>
      <c r="Z442" s="1449"/>
      <c r="AA442" s="1449"/>
      <c r="AB442" s="1449"/>
      <c r="AC442" s="1449"/>
      <c r="AD442" s="1449"/>
      <c r="AE442" s="1449"/>
      <c r="AF442" s="1450"/>
      <c r="AG442" s="1446">
        <f>28712-697-1018</f>
        <v>26997</v>
      </c>
      <c r="AH442" s="1446"/>
      <c r="AI442" s="1446"/>
      <c r="AJ442" s="1446"/>
    </row>
    <row r="443" spans="1:55" ht="12.95" customHeight="1">
      <c r="D443" s="1448" t="s">
        <v>1035</v>
      </c>
      <c r="E443" s="1449"/>
      <c r="F443" s="1449"/>
      <c r="G443" s="1449"/>
      <c r="H443" s="1449"/>
      <c r="I443" s="1449"/>
      <c r="J443" s="1449"/>
      <c r="K443" s="1449"/>
      <c r="L443" s="1449"/>
      <c r="M443" s="1449"/>
      <c r="N443" s="1449"/>
      <c r="O443" s="1449"/>
      <c r="P443" s="1449"/>
      <c r="Q443" s="1449"/>
      <c r="R443" s="1449"/>
      <c r="S443" s="1449"/>
      <c r="T443" s="1449"/>
      <c r="U443" s="1449"/>
      <c r="V443" s="1449"/>
      <c r="W443" s="1449"/>
      <c r="X443" s="1449"/>
      <c r="Y443" s="1449"/>
      <c r="Z443" s="1449"/>
      <c r="AA443" s="1449"/>
      <c r="AB443" s="1449"/>
      <c r="AC443" s="1449"/>
      <c r="AD443" s="1449"/>
      <c r="AE443" s="1449"/>
      <c r="AF443" s="1450"/>
      <c r="AG443" s="1446">
        <v>26997</v>
      </c>
      <c r="AH443" s="1446"/>
      <c r="AI443" s="1446"/>
      <c r="AJ443" s="1446"/>
    </row>
    <row r="444" spans="1:55" ht="12.95" customHeight="1">
      <c r="D444" s="1448" t="s">
        <v>1036</v>
      </c>
      <c r="E444" s="1449"/>
      <c r="F444" s="1449"/>
      <c r="G444" s="1449"/>
      <c r="H444" s="1449"/>
      <c r="I444" s="1449"/>
      <c r="J444" s="1449"/>
      <c r="K444" s="1449"/>
      <c r="L444" s="1449"/>
      <c r="M444" s="1449"/>
      <c r="N444" s="1449"/>
      <c r="O444" s="1449"/>
      <c r="P444" s="1449"/>
      <c r="Q444" s="1449"/>
      <c r="R444" s="1449"/>
      <c r="S444" s="1449"/>
      <c r="T444" s="1449"/>
      <c r="U444" s="1449"/>
      <c r="V444" s="1449"/>
      <c r="W444" s="1449"/>
      <c r="X444" s="1449"/>
      <c r="Y444" s="1449"/>
      <c r="Z444" s="1449"/>
      <c r="AA444" s="1449"/>
      <c r="AB444" s="1449"/>
      <c r="AC444" s="1449"/>
      <c r="AD444" s="1449"/>
      <c r="AE444" s="1449"/>
      <c r="AF444" s="1450"/>
      <c r="AG444" s="1447">
        <f>IF(ISERROR(AG443/AG442),0,AG443/AG442)</f>
        <v>1</v>
      </c>
      <c r="AH444" s="1447"/>
      <c r="AI444" s="1447"/>
      <c r="AJ444" s="1447"/>
    </row>
    <row r="445" spans="1:55" ht="12.95" customHeight="1">
      <c r="D445" s="1448" t="s">
        <v>1037</v>
      </c>
      <c r="E445" s="1449"/>
      <c r="F445" s="1449"/>
      <c r="G445" s="1449"/>
      <c r="H445" s="1449"/>
      <c r="I445" s="1449"/>
      <c r="J445" s="1449"/>
      <c r="K445" s="1449"/>
      <c r="L445" s="1449"/>
      <c r="M445" s="1449"/>
      <c r="N445" s="1449"/>
      <c r="O445" s="1449"/>
      <c r="P445" s="1449"/>
      <c r="Q445" s="1449"/>
      <c r="R445" s="1449"/>
      <c r="S445" s="1449"/>
      <c r="T445" s="1449"/>
      <c r="U445" s="1449"/>
      <c r="V445" s="1449"/>
      <c r="W445" s="1449"/>
      <c r="X445" s="1449"/>
      <c r="Y445" s="1449"/>
      <c r="Z445" s="1449"/>
      <c r="AA445" s="1449"/>
      <c r="AB445" s="1449"/>
      <c r="AC445" s="1449"/>
      <c r="AD445" s="1449"/>
      <c r="AE445" s="1449"/>
      <c r="AF445" s="1450"/>
      <c r="AG445" s="1447">
        <f>MIN(IF(AG441&gt;AG444,AG444,AG441),1)</f>
        <v>1</v>
      </c>
      <c r="AH445" s="1447"/>
      <c r="AI445" s="1447"/>
      <c r="AJ445" s="1447"/>
    </row>
    <row r="446" spans="1:55" ht="12.95" customHeight="1">
      <c r="D446" s="1448" t="s">
        <v>2089</v>
      </c>
      <c r="E446" s="1464"/>
      <c r="F446" s="1464"/>
      <c r="G446" s="1464"/>
      <c r="H446" s="1464"/>
      <c r="I446" s="1464"/>
      <c r="J446" s="1464"/>
      <c r="K446" s="1464"/>
      <c r="L446" s="1464"/>
      <c r="M446" s="1464"/>
      <c r="N446" s="1464"/>
      <c r="O446" s="1464"/>
      <c r="P446" s="1464"/>
      <c r="Q446" s="1464"/>
      <c r="R446" s="1464"/>
      <c r="S446" s="1464"/>
      <c r="T446" s="1464"/>
      <c r="U446" s="1464"/>
      <c r="V446" s="1464"/>
      <c r="W446" s="1464"/>
      <c r="X446" s="1464"/>
      <c r="Y446" s="1464"/>
      <c r="Z446" s="1464"/>
      <c r="AA446" s="1464"/>
      <c r="AB446" s="1464"/>
      <c r="AC446" s="1464"/>
      <c r="AD446" s="1464"/>
      <c r="AE446" s="1464"/>
      <c r="AF446" s="1465"/>
      <c r="AG446" s="1446">
        <v>0</v>
      </c>
      <c r="AH446" s="1446"/>
      <c r="AI446" s="1446"/>
      <c r="AJ446" s="1446"/>
      <c r="AZ446" s="34"/>
      <c r="BA446" s="34"/>
      <c r="BB446" s="34"/>
      <c r="BC446" s="34"/>
    </row>
    <row r="447" spans="1:55" ht="12.95" customHeight="1">
      <c r="D447" s="1509" t="s">
        <v>569</v>
      </c>
      <c r="E447" s="1464"/>
      <c r="F447" s="1464"/>
      <c r="G447" s="1464"/>
      <c r="H447" s="1464"/>
      <c r="I447" s="1464"/>
      <c r="J447" s="1464"/>
      <c r="K447" s="1464"/>
      <c r="L447" s="1464"/>
      <c r="M447" s="1464"/>
      <c r="N447" s="1464"/>
      <c r="O447" s="1464"/>
      <c r="P447" s="1464"/>
      <c r="Q447" s="1464"/>
      <c r="R447" s="1464"/>
      <c r="S447" s="1464"/>
      <c r="T447" s="1464"/>
      <c r="U447" s="1464"/>
      <c r="V447" s="1464"/>
      <c r="W447" s="1464"/>
      <c r="X447" s="1464"/>
      <c r="Y447" s="1464"/>
      <c r="Z447" s="1464"/>
      <c r="AA447" s="1464"/>
      <c r="AB447" s="1464"/>
      <c r="AC447" s="1464"/>
      <c r="AD447" s="1464"/>
      <c r="AE447" s="1464"/>
      <c r="AF447" s="1465"/>
      <c r="AG447" s="1446">
        <v>0</v>
      </c>
      <c r="AH447" s="1446"/>
      <c r="AI447" s="1446"/>
      <c r="AJ447" s="1446"/>
      <c r="AZ447" s="3"/>
      <c r="BA447" s="3"/>
      <c r="BB447" s="3"/>
      <c r="BC447" s="3"/>
    </row>
    <row r="448" spans="1:55" ht="12.95" customHeight="1">
      <c r="D448" s="1448" t="s">
        <v>1205</v>
      </c>
      <c r="E448" s="1464"/>
      <c r="F448" s="1464"/>
      <c r="G448" s="1464"/>
      <c r="H448" s="1464"/>
      <c r="I448" s="1464"/>
      <c r="J448" s="1464"/>
      <c r="K448" s="1464"/>
      <c r="L448" s="1464"/>
      <c r="M448" s="1464"/>
      <c r="N448" s="1464"/>
      <c r="O448" s="1464"/>
      <c r="P448" s="1464"/>
      <c r="Q448" s="1464"/>
      <c r="R448" s="1464"/>
      <c r="S448" s="1464"/>
      <c r="T448" s="1464"/>
      <c r="U448" s="1464"/>
      <c r="V448" s="1464"/>
      <c r="W448" s="1464"/>
      <c r="X448" s="1464"/>
      <c r="Y448" s="1464"/>
      <c r="Z448" s="1464"/>
      <c r="AA448" s="1464"/>
      <c r="AB448" s="1464"/>
      <c r="AC448" s="1464"/>
      <c r="AD448" s="1464"/>
      <c r="AE448" s="1464"/>
      <c r="AF448" s="1465"/>
      <c r="AG448" s="1446">
        <v>11724</v>
      </c>
      <c r="AH448" s="1446"/>
      <c r="AI448" s="1446"/>
      <c r="AJ448" s="1446"/>
      <c r="AZ448" s="3"/>
      <c r="BA448" s="3"/>
      <c r="BB448" s="3"/>
      <c r="BC448" s="3"/>
    </row>
    <row r="449" spans="1:55" ht="12.95" customHeight="1">
      <c r="D449" s="1448" t="s">
        <v>1038</v>
      </c>
      <c r="E449" s="1464"/>
      <c r="F449" s="1464"/>
      <c r="G449" s="1464"/>
      <c r="H449" s="1464"/>
      <c r="I449" s="1464"/>
      <c r="J449" s="1464"/>
      <c r="K449" s="1464"/>
      <c r="L449" s="1464"/>
      <c r="M449" s="1464"/>
      <c r="N449" s="1464"/>
      <c r="O449" s="1464"/>
      <c r="P449" s="1464"/>
      <c r="Q449" s="1464"/>
      <c r="R449" s="1464"/>
      <c r="S449" s="1464"/>
      <c r="T449" s="1464"/>
      <c r="U449" s="1464"/>
      <c r="V449" s="1464"/>
      <c r="W449" s="1464"/>
      <c r="X449" s="1464"/>
      <c r="Y449" s="1464"/>
      <c r="Z449" s="1464"/>
      <c r="AA449" s="1464"/>
      <c r="AB449" s="1464"/>
      <c r="AC449" s="1464"/>
      <c r="AD449" s="1464"/>
      <c r="AE449" s="1464"/>
      <c r="AF449" s="1465"/>
      <c r="AG449" s="1446">
        <v>46264</v>
      </c>
      <c r="AH449" s="1446"/>
      <c r="AI449" s="1446"/>
      <c r="AJ449" s="1446"/>
      <c r="BB449" s="3"/>
      <c r="BC449" s="3"/>
    </row>
    <row r="450" spans="1:55" ht="12.95" customHeight="1">
      <c r="D450" s="1568" t="s">
        <v>1039</v>
      </c>
      <c r="E450" s="1569"/>
      <c r="F450" s="1569"/>
      <c r="G450" s="1569"/>
      <c r="H450" s="1569"/>
      <c r="I450" s="1569"/>
      <c r="J450" s="1569"/>
      <c r="K450" s="1569"/>
      <c r="L450" s="1569"/>
      <c r="M450" s="1569"/>
      <c r="N450" s="1569"/>
      <c r="O450" s="1569"/>
      <c r="P450" s="1569"/>
      <c r="Q450" s="1569"/>
      <c r="R450" s="1569"/>
      <c r="S450" s="1569"/>
      <c r="T450" s="1569"/>
      <c r="U450" s="1569"/>
      <c r="V450" s="1569"/>
      <c r="W450" s="1569"/>
      <c r="X450" s="1569"/>
      <c r="Y450" s="1569"/>
      <c r="Z450" s="1569"/>
      <c r="AA450" s="1569"/>
      <c r="AB450" s="1569"/>
      <c r="AC450" s="1569"/>
      <c r="AD450" s="1569"/>
      <c r="AE450" s="1569"/>
      <c r="AF450" s="1570"/>
      <c r="AG450" s="1511">
        <f>AG442+AG446+AG448+AG449</f>
        <v>84985</v>
      </c>
      <c r="AH450" s="1511"/>
      <c r="AI450" s="1511"/>
      <c r="AJ450" s="1511"/>
      <c r="AZ450" s="3"/>
      <c r="BA450" s="3"/>
      <c r="BB450" s="3"/>
      <c r="BC450" s="3"/>
    </row>
    <row r="451" spans="1:55" ht="12.95" customHeight="1">
      <c r="D451" s="1591" t="s">
        <v>1206</v>
      </c>
      <c r="E451" s="1591"/>
      <c r="F451" s="1591"/>
      <c r="G451" s="1591"/>
      <c r="H451" s="1591"/>
      <c r="I451" s="1591"/>
      <c r="J451" s="1591"/>
      <c r="K451" s="1591"/>
      <c r="L451" s="1591"/>
      <c r="M451" s="1591"/>
      <c r="N451" s="1591"/>
      <c r="O451" s="1591"/>
      <c r="P451" s="1591"/>
      <c r="Q451" s="1591"/>
      <c r="R451" s="1591"/>
      <c r="S451" s="1591"/>
      <c r="T451" s="1591"/>
      <c r="U451" s="1591"/>
      <c r="V451" s="1591"/>
      <c r="W451" s="1591"/>
      <c r="X451" s="1591"/>
      <c r="Y451" s="1591"/>
      <c r="Z451" s="1591"/>
      <c r="AA451" s="1591"/>
      <c r="AB451" s="1591"/>
      <c r="AC451" s="1591"/>
      <c r="AD451" s="1591"/>
      <c r="AE451" s="1591"/>
      <c r="AF451" s="1591"/>
      <c r="AG451" s="1591"/>
      <c r="AH451" s="1591"/>
      <c r="AI451" s="1591"/>
      <c r="AJ451" s="1591"/>
      <c r="AZ451" s="3"/>
      <c r="BA451" s="3"/>
      <c r="BB451" s="3"/>
      <c r="BC451" s="3"/>
    </row>
    <row r="452" spans="1:55" ht="12.95" customHeight="1">
      <c r="D452" s="1592"/>
      <c r="E452" s="1592"/>
      <c r="F452" s="1592"/>
      <c r="G452" s="1592"/>
      <c r="H452" s="1592"/>
      <c r="I452" s="1592"/>
      <c r="J452" s="1592"/>
      <c r="K452" s="1592"/>
      <c r="L452" s="1592"/>
      <c r="M452" s="1592"/>
      <c r="N452" s="1592"/>
      <c r="O452" s="1592"/>
      <c r="P452" s="1592"/>
      <c r="Q452" s="1592"/>
      <c r="R452" s="1592"/>
      <c r="S452" s="1592"/>
      <c r="T452" s="1592"/>
      <c r="U452" s="1592"/>
      <c r="V452" s="1592"/>
      <c r="W452" s="1592"/>
      <c r="X452" s="1592"/>
      <c r="Y452" s="1592"/>
      <c r="Z452" s="1592"/>
      <c r="AA452" s="1592"/>
      <c r="AB452" s="1592"/>
      <c r="AC452" s="1592"/>
      <c r="AD452" s="1592"/>
      <c r="AE452" s="1592"/>
      <c r="AF452" s="1592"/>
      <c r="AG452" s="1592"/>
      <c r="AH452" s="1592"/>
      <c r="AI452" s="1592"/>
      <c r="AJ452" s="1592"/>
      <c r="AZ452" s="3"/>
      <c r="BA452" s="3"/>
      <c r="BB452" s="3"/>
      <c r="BC452" s="3"/>
    </row>
    <row r="453" spans="1:55" ht="12.95" customHeight="1">
      <c r="D453" s="532"/>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6"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422">
        <f>IF(AG437=0,"",'Sources and Uses Budget'!B105/Application!AG437)</f>
        <v>389731.23255813954</v>
      </c>
      <c r="AD454" s="1422"/>
      <c r="AE454" s="1422"/>
      <c r="AF454" s="1422"/>
      <c r="AG454" s="177"/>
      <c r="AH454" s="177"/>
      <c r="AI454" s="177"/>
      <c r="AJ454" s="183"/>
      <c r="AZ454" s="3"/>
      <c r="BA454" s="3" t="str">
        <f>AG575</f>
        <v>Yes</v>
      </c>
      <c r="BB454" s="3"/>
      <c r="BC454" s="3"/>
    </row>
    <row r="455" spans="1:55" ht="12.95" customHeight="1">
      <c r="D455" s="206"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422">
        <f>IF(AG437=0,"",'Sources and Uses Budget'!C105/Application!AG437)</f>
        <v>389731.23255813954</v>
      </c>
      <c r="AD455" s="1422"/>
      <c r="AE455" s="1422"/>
      <c r="AF455" s="1422"/>
      <c r="AG455" s="177"/>
      <c r="AH455" s="177"/>
      <c r="AI455" s="177"/>
      <c r="AJ455" s="183"/>
      <c r="AZ455" s="3"/>
      <c r="BA455" s="3"/>
      <c r="BB455" s="3"/>
      <c r="BC455" s="3"/>
    </row>
    <row r="456" spans="1:55" ht="12.95" customHeight="1">
      <c r="D456" s="206"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422">
        <f>IF(AG437=0,"",('Sources and Uses Budget'!$S$107+'Sources and Uses Budget'!$T$107)/Application!AG437)</f>
        <v>331951.12790697673</v>
      </c>
      <c r="AD456" s="1422"/>
      <c r="AE456" s="1422"/>
      <c r="AF456" s="1422"/>
      <c r="AG456" s="177"/>
      <c r="AH456" s="177"/>
      <c r="AI456" s="177"/>
      <c r="AJ456" s="183"/>
      <c r="AZ456" s="3"/>
      <c r="BA456" s="3"/>
      <c r="BB456" s="3"/>
      <c r="BC456" s="3"/>
    </row>
    <row r="457" spans="1:55" ht="12.95" customHeight="1">
      <c r="D457" s="177"/>
      <c r="E457" s="177"/>
      <c r="F457" s="1423" t="str">
        <f>IFERROR(IF(AC454&gt;650000,"Please provide a justification of cost per unit in Tab 12 for all projects with per unit costs of greater than $650,000.",""),"")</f>
        <v/>
      </c>
      <c r="G457" s="1423"/>
      <c r="H457" s="1423"/>
      <c r="I457" s="1423"/>
      <c r="J457" s="1423"/>
      <c r="K457" s="1423"/>
      <c r="L457" s="1423"/>
      <c r="M457" s="1423"/>
      <c r="N457" s="1423"/>
      <c r="O457" s="1423"/>
      <c r="P457" s="1423"/>
      <c r="Q457" s="1423"/>
      <c r="R457" s="1423"/>
      <c r="S457" s="1423"/>
      <c r="T457" s="1423"/>
      <c r="U457" s="1423"/>
      <c r="V457" s="1423"/>
      <c r="W457" s="1423"/>
      <c r="X457" s="1423"/>
      <c r="Y457" s="1423"/>
      <c r="Z457" s="1423"/>
      <c r="AA457" s="1423"/>
      <c r="AB457" s="1423"/>
      <c r="AC457" s="516"/>
      <c r="AD457" s="177"/>
      <c r="AE457" s="177"/>
      <c r="AF457" s="177"/>
      <c r="AG457" s="177"/>
      <c r="AH457" s="177"/>
      <c r="AI457" s="177"/>
      <c r="AJ457" s="183"/>
      <c r="AZ457" s="3"/>
      <c r="BA457" s="3"/>
      <c r="BB457" s="3"/>
      <c r="BC457" s="3"/>
    </row>
    <row r="458" spans="1:55" ht="12.95" customHeight="1">
      <c r="A458" s="2"/>
      <c r="D458" s="2"/>
      <c r="E458" s="177"/>
      <c r="F458" s="1423"/>
      <c r="G458" s="1423"/>
      <c r="H458" s="1423"/>
      <c r="I458" s="1423"/>
      <c r="J458" s="1423"/>
      <c r="K458" s="1423"/>
      <c r="L458" s="1423"/>
      <c r="M458" s="1423"/>
      <c r="N458" s="1423"/>
      <c r="O458" s="1423"/>
      <c r="P458" s="1423"/>
      <c r="Q458" s="1423"/>
      <c r="R458" s="1423"/>
      <c r="S458" s="1423"/>
      <c r="T458" s="1423"/>
      <c r="U458" s="1423"/>
      <c r="V458" s="1423"/>
      <c r="W458" s="1423"/>
      <c r="X458" s="1423"/>
      <c r="Y458" s="1423"/>
      <c r="Z458" s="1423"/>
      <c r="AA458" s="1423"/>
      <c r="AB458" s="1423"/>
      <c r="AC458" s="177"/>
      <c r="AD458" s="177"/>
      <c r="AE458" s="177"/>
      <c r="AF458" s="177"/>
      <c r="AG458" s="177"/>
      <c r="AH458" s="177"/>
      <c r="AI458" s="177"/>
      <c r="AJ458" s="183"/>
      <c r="AZ458" s="3"/>
      <c r="BA458" s="3"/>
      <c r="BB458" s="3"/>
      <c r="BC458" s="3"/>
    </row>
    <row r="459" spans="1:55" ht="12.95" customHeight="1">
      <c r="A459" s="2" t="s">
        <v>613</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2"/>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376" t="s">
        <v>2101</v>
      </c>
      <c r="E465" s="1392"/>
      <c r="F465" s="1392"/>
      <c r="G465" s="1392"/>
      <c r="H465" s="1392"/>
      <c r="I465" s="1392"/>
      <c r="J465" s="1392"/>
      <c r="K465" s="1392"/>
      <c r="L465" s="1392"/>
      <c r="M465" s="1392"/>
      <c r="N465" s="1392"/>
      <c r="O465" s="1392"/>
      <c r="P465" s="1392"/>
      <c r="Q465" s="1392"/>
      <c r="R465" s="1392"/>
      <c r="S465" s="1392"/>
      <c r="T465" s="1392"/>
      <c r="U465" s="1392"/>
      <c r="V465" s="1393"/>
      <c r="W465" s="1379">
        <v>0</v>
      </c>
      <c r="X465" s="1380"/>
      <c r="Y465" s="1381"/>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391" t="s">
        <v>693</v>
      </c>
      <c r="E466" s="1392"/>
      <c r="F466" s="1392"/>
      <c r="G466" s="1392"/>
      <c r="H466" s="1392"/>
      <c r="I466" s="1392"/>
      <c r="J466" s="1392"/>
      <c r="K466" s="1392"/>
      <c r="L466" s="1392"/>
      <c r="M466" s="1392"/>
      <c r="N466" s="1392"/>
      <c r="O466" s="1392"/>
      <c r="P466" s="1392"/>
      <c r="Q466" s="1392"/>
      <c r="R466" s="1392"/>
      <c r="S466" s="1392"/>
      <c r="T466" s="1392"/>
      <c r="U466" s="1392"/>
      <c r="V466" s="1393"/>
      <c r="W466" s="1379">
        <v>0</v>
      </c>
      <c r="X466" s="1380"/>
      <c r="Y466" s="1381"/>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391" t="s">
        <v>694</v>
      </c>
      <c r="E467" s="1392"/>
      <c r="F467" s="1392"/>
      <c r="G467" s="1392"/>
      <c r="H467" s="1392"/>
      <c r="I467" s="1392"/>
      <c r="J467" s="1392"/>
      <c r="K467" s="1392"/>
      <c r="L467" s="1392"/>
      <c r="M467" s="1392"/>
      <c r="N467" s="1392"/>
      <c r="O467" s="1392"/>
      <c r="P467" s="1392"/>
      <c r="Q467" s="1392"/>
      <c r="R467" s="1392"/>
      <c r="S467" s="1392"/>
      <c r="T467" s="1392"/>
      <c r="U467" s="1392"/>
      <c r="V467" s="1393"/>
      <c r="W467" s="1379">
        <v>0</v>
      </c>
      <c r="X467" s="1380"/>
      <c r="Y467" s="1381"/>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391" t="s">
        <v>695</v>
      </c>
      <c r="E468" s="1392"/>
      <c r="F468" s="1392"/>
      <c r="G468" s="1392"/>
      <c r="H468" s="1392"/>
      <c r="I468" s="1392"/>
      <c r="J468" s="1392"/>
      <c r="K468" s="1392"/>
      <c r="L468" s="1392"/>
      <c r="M468" s="1392"/>
      <c r="N468" s="1392"/>
      <c r="O468" s="1392"/>
      <c r="P468" s="1392"/>
      <c r="Q468" s="1392"/>
      <c r="R468" s="1392"/>
      <c r="S468" s="1392"/>
      <c r="T468" s="1392"/>
      <c r="U468" s="1392"/>
      <c r="V468" s="1393"/>
      <c r="W468" s="1379">
        <v>0</v>
      </c>
      <c r="X468" s="1380"/>
      <c r="Y468" s="1381"/>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391" t="s">
        <v>881</v>
      </c>
      <c r="E469" s="1392"/>
      <c r="F469" s="1392"/>
      <c r="G469" s="1392"/>
      <c r="H469" s="1392"/>
      <c r="I469" s="1392"/>
      <c r="J469" s="1392"/>
      <c r="K469" s="1392"/>
      <c r="L469" s="1392"/>
      <c r="M469" s="1392"/>
      <c r="N469" s="1392"/>
      <c r="O469" s="1392"/>
      <c r="P469" s="1392"/>
      <c r="Q469" s="1392"/>
      <c r="R469" s="1392"/>
      <c r="S469" s="1392"/>
      <c r="T469" s="1392"/>
      <c r="U469" s="1392"/>
      <c r="V469" s="1393"/>
      <c r="W469" s="1379">
        <v>0</v>
      </c>
      <c r="X469" s="1380"/>
      <c r="Y469" s="1381"/>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391" t="s">
        <v>696</v>
      </c>
      <c r="E470" s="1392"/>
      <c r="F470" s="1392"/>
      <c r="G470" s="1392"/>
      <c r="H470" s="1392"/>
      <c r="I470" s="1392"/>
      <c r="J470" s="1392"/>
      <c r="K470" s="1392"/>
      <c r="L470" s="1392"/>
      <c r="M470" s="1392"/>
      <c r="N470" s="1392"/>
      <c r="O470" s="1392"/>
      <c r="P470" s="1392"/>
      <c r="Q470" s="1392"/>
      <c r="R470" s="1392"/>
      <c r="S470" s="1392"/>
      <c r="T470" s="1392"/>
      <c r="U470" s="1392"/>
      <c r="V470" s="1393"/>
      <c r="W470" s="1379">
        <v>0</v>
      </c>
      <c r="X470" s="1380"/>
      <c r="Y470" s="1381"/>
      <c r="Z470" s="184"/>
      <c r="AA470" s="184"/>
      <c r="AB470" s="184"/>
      <c r="AC470" s="184"/>
      <c r="AD470" s="177"/>
      <c r="AE470" s="177"/>
      <c r="AF470" s="177"/>
      <c r="AG470" s="177"/>
      <c r="AH470" s="177"/>
      <c r="AI470" s="177"/>
      <c r="AJ470" s="183"/>
      <c r="AZ470" s="3"/>
      <c r="BA470" s="3" t="str">
        <f>AG591</f>
        <v>No</v>
      </c>
      <c r="BB470" s="3"/>
      <c r="BC470" s="3"/>
    </row>
    <row r="471" spans="1:55" ht="12.95" customHeight="1">
      <c r="A471" s="3"/>
      <c r="B471" s="3"/>
      <c r="C471" s="3"/>
      <c r="D471" s="1391" t="s">
        <v>1012</v>
      </c>
      <c r="E471" s="1392"/>
      <c r="F471" s="1392"/>
      <c r="G471" s="1392"/>
      <c r="H471" s="1392"/>
      <c r="I471" s="1392"/>
      <c r="J471" s="1392"/>
      <c r="K471" s="1392"/>
      <c r="L471" s="1392"/>
      <c r="M471" s="1392"/>
      <c r="N471" s="1392"/>
      <c r="O471" s="1392"/>
      <c r="P471" s="1392"/>
      <c r="Q471" s="1392"/>
      <c r="R471" s="1392"/>
      <c r="S471" s="1392"/>
      <c r="T471" s="1392"/>
      <c r="U471" s="1392"/>
      <c r="V471" s="1393"/>
      <c r="W471" s="1379">
        <v>0</v>
      </c>
      <c r="X471" s="1380"/>
      <c r="Y471" s="1381"/>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376" t="s">
        <v>2192</v>
      </c>
      <c r="E472" s="1377"/>
      <c r="F472" s="1377"/>
      <c r="G472" s="1377"/>
      <c r="H472" s="1377"/>
      <c r="I472" s="1377"/>
      <c r="J472" s="1377"/>
      <c r="K472" s="1377"/>
      <c r="L472" s="1377"/>
      <c r="M472" s="1377"/>
      <c r="N472" s="1377"/>
      <c r="O472" s="1377"/>
      <c r="P472" s="1377"/>
      <c r="Q472" s="1377"/>
      <c r="R472" s="1377"/>
      <c r="S472" s="1377"/>
      <c r="T472" s="1377"/>
      <c r="U472" s="1377"/>
      <c r="V472" s="1378"/>
      <c r="W472" s="1379">
        <v>0</v>
      </c>
      <c r="X472" s="1380"/>
      <c r="Y472" s="1381"/>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376" t="s">
        <v>1654</v>
      </c>
      <c r="E473" s="1392"/>
      <c r="F473" s="1392"/>
      <c r="G473" s="1392"/>
      <c r="H473" s="1392"/>
      <c r="I473" s="1392"/>
      <c r="J473" s="1392"/>
      <c r="K473" s="1392"/>
      <c r="L473" s="1392"/>
      <c r="M473" s="1392"/>
      <c r="N473" s="1392"/>
      <c r="O473" s="1392"/>
      <c r="P473" s="1392"/>
      <c r="Q473" s="1392"/>
      <c r="R473" s="1392"/>
      <c r="S473" s="1392"/>
      <c r="T473" s="1392"/>
      <c r="U473" s="1392"/>
      <c r="V473" s="1393"/>
      <c r="W473" s="1379">
        <v>0</v>
      </c>
      <c r="X473" s="1380"/>
      <c r="Y473" s="1381"/>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4" t="s">
        <v>170</v>
      </c>
      <c r="E474" s="245"/>
      <c r="F474" s="246"/>
      <c r="G474" s="1607"/>
      <c r="H474" s="1608"/>
      <c r="I474" s="1608"/>
      <c r="J474" s="1608"/>
      <c r="K474" s="1608"/>
      <c r="L474" s="1608"/>
      <c r="M474" s="1608"/>
      <c r="N474" s="1608"/>
      <c r="O474" s="1608"/>
      <c r="P474" s="1608"/>
      <c r="Q474" s="1608"/>
      <c r="R474" s="1608"/>
      <c r="S474" s="1608"/>
      <c r="T474" s="1608"/>
      <c r="U474" s="1608"/>
      <c r="V474" s="1609"/>
      <c r="W474" s="1379">
        <v>0</v>
      </c>
      <c r="X474" s="1380"/>
      <c r="Y474" s="1381"/>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7" t="s">
        <v>882</v>
      </c>
      <c r="E475" s="248"/>
      <c r="F475" s="248"/>
      <c r="G475" s="185"/>
      <c r="H475" s="185"/>
      <c r="I475" s="185"/>
      <c r="J475" s="185"/>
      <c r="K475" s="185"/>
      <c r="L475" s="185"/>
      <c r="M475" s="185"/>
      <c r="N475" s="185"/>
      <c r="O475" s="185"/>
      <c r="P475" s="185"/>
      <c r="Q475" s="185"/>
      <c r="R475" s="185"/>
      <c r="S475" s="185"/>
      <c r="T475" s="185"/>
      <c r="U475" s="185"/>
      <c r="V475" s="185"/>
      <c r="W475" s="249"/>
      <c r="X475" s="249"/>
      <c r="Y475" s="250"/>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1"/>
      <c r="E476" s="252"/>
      <c r="F476" s="252"/>
      <c r="G476" s="252"/>
      <c r="H476" s="252"/>
      <c r="I476" s="252"/>
      <c r="J476" s="252"/>
      <c r="K476" s="252"/>
      <c r="L476" s="252"/>
      <c r="M476" s="252"/>
      <c r="N476" s="252"/>
      <c r="O476" s="252"/>
      <c r="P476" s="252"/>
      <c r="Q476" s="252"/>
      <c r="R476" s="252"/>
      <c r="S476" s="252"/>
      <c r="T476" s="252"/>
      <c r="U476" s="252"/>
      <c r="V476" s="252"/>
      <c r="W476" s="253"/>
      <c r="X476" s="253"/>
      <c r="Y476" s="254"/>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1"/>
      <c r="E477" s="252"/>
      <c r="F477" s="252"/>
      <c r="G477" s="252"/>
      <c r="H477" s="252"/>
      <c r="I477" s="252"/>
      <c r="J477" s="252"/>
      <c r="K477" s="252"/>
      <c r="L477" s="252"/>
      <c r="M477" s="252"/>
      <c r="N477" s="252"/>
      <c r="O477" s="252"/>
      <c r="P477" s="252"/>
      <c r="Q477" s="252"/>
      <c r="R477" s="252"/>
      <c r="S477" s="252"/>
      <c r="T477" s="252"/>
      <c r="U477" s="252"/>
      <c r="V477" s="252"/>
      <c r="W477" s="253"/>
      <c r="X477" s="253"/>
      <c r="Y477" s="254"/>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1"/>
      <c r="E478" s="252"/>
      <c r="F478" s="252"/>
      <c r="G478" s="252"/>
      <c r="H478" s="252"/>
      <c r="I478" s="252"/>
      <c r="J478" s="252"/>
      <c r="K478" s="252"/>
      <c r="L478" s="252"/>
      <c r="M478" s="252"/>
      <c r="N478" s="252"/>
      <c r="O478" s="252"/>
      <c r="P478" s="252"/>
      <c r="Q478" s="252"/>
      <c r="R478" s="252"/>
      <c r="S478" s="252"/>
      <c r="T478" s="252"/>
      <c r="U478" s="252"/>
      <c r="V478" s="252"/>
      <c r="W478" s="253"/>
      <c r="X478" s="253"/>
      <c r="Y478" s="254"/>
      <c r="Z478" s="184"/>
      <c r="AA478" s="184"/>
      <c r="AB478" s="184"/>
      <c r="AC478" s="184"/>
      <c r="AD478" s="177"/>
      <c r="AE478" s="177"/>
      <c r="AF478" s="177"/>
      <c r="AG478" s="177"/>
      <c r="AH478" s="177"/>
      <c r="AI478" s="177"/>
      <c r="AJ478" s="183"/>
      <c r="AZ478" s="3"/>
      <c r="BA478" s="3" t="str">
        <f>N599</f>
        <v>No</v>
      </c>
      <c r="BB478" s="3"/>
      <c r="BC478" s="3"/>
    </row>
    <row r="479" spans="1:55" ht="12.95" customHeight="1">
      <c r="AU479" s="95"/>
      <c r="AV479" s="95"/>
      <c r="AW479" s="95"/>
      <c r="AX479" s="95"/>
      <c r="AY479" s="95"/>
      <c r="AZ479" s="3"/>
      <c r="BA479" s="3" t="str">
        <f>AG599</f>
        <v>No</v>
      </c>
      <c r="BB479" s="3"/>
      <c r="BC479" s="3"/>
    </row>
    <row r="480" spans="1:55" ht="12.95" customHeight="1">
      <c r="A480" s="1537" t="s">
        <v>810</v>
      </c>
      <c r="B480" s="1537"/>
      <c r="C480" s="1537"/>
      <c r="D480" s="1537"/>
      <c r="E480" s="1537"/>
      <c r="F480" s="1537"/>
      <c r="G480" s="1537"/>
      <c r="H480" s="1537"/>
      <c r="I480" s="1537"/>
      <c r="J480" s="1537"/>
      <c r="K480" s="1537"/>
      <c r="L480" s="1537"/>
      <c r="M480" s="1537"/>
      <c r="N480" s="1537"/>
      <c r="O480" s="1537"/>
      <c r="P480" s="1537"/>
      <c r="Q480" s="1537"/>
      <c r="R480" s="1537"/>
      <c r="S480" s="1537"/>
      <c r="T480" s="1537"/>
      <c r="U480" s="1537"/>
      <c r="V480" s="1537"/>
      <c r="W480" s="1537"/>
      <c r="X480" s="1537"/>
      <c r="Y480" s="1537"/>
      <c r="Z480" s="1537"/>
      <c r="AA480" s="1537"/>
      <c r="AB480" s="1537"/>
      <c r="AC480" s="1537"/>
      <c r="AD480" s="1537"/>
      <c r="AE480" s="1537"/>
      <c r="AF480" s="1537"/>
      <c r="AG480" s="1537"/>
      <c r="AH480" s="1537"/>
      <c r="AI480" s="1537"/>
      <c r="AJ480" s="1537"/>
      <c r="AK480" s="1537"/>
      <c r="AL480" s="1537"/>
      <c r="AM480" s="1537"/>
      <c r="AN480" s="1537"/>
      <c r="AO480" s="1537"/>
      <c r="AP480" s="1537"/>
      <c r="AQ480" s="1537"/>
      <c r="AR480" s="1537"/>
      <c r="AS480" s="1537"/>
      <c r="AT480" s="1537"/>
      <c r="AU480" s="95"/>
      <c r="AV480" s="95"/>
      <c r="AW480" s="95"/>
      <c r="AX480" s="95"/>
      <c r="AY480" s="95"/>
      <c r="AZ480" s="3"/>
      <c r="BB480" s="3"/>
      <c r="BC480" s="3"/>
    </row>
    <row r="481" spans="1:55" ht="12.95" customHeight="1">
      <c r="A481" s="1537"/>
      <c r="B481" s="1537"/>
      <c r="C481" s="1537"/>
      <c r="D481" s="1537"/>
      <c r="E481" s="1537"/>
      <c r="F481" s="1537"/>
      <c r="G481" s="1537"/>
      <c r="H481" s="1537"/>
      <c r="I481" s="1537"/>
      <c r="J481" s="1537"/>
      <c r="K481" s="1537"/>
      <c r="L481" s="1537"/>
      <c r="M481" s="1537"/>
      <c r="N481" s="1537"/>
      <c r="O481" s="1537"/>
      <c r="P481" s="1537"/>
      <c r="Q481" s="1537"/>
      <c r="R481" s="1537"/>
      <c r="S481" s="1537"/>
      <c r="T481" s="1537"/>
      <c r="U481" s="1537"/>
      <c r="V481" s="1537"/>
      <c r="W481" s="1537"/>
      <c r="X481" s="1537"/>
      <c r="Y481" s="1537"/>
      <c r="Z481" s="1537"/>
      <c r="AA481" s="1537"/>
      <c r="AB481" s="1537"/>
      <c r="AC481" s="1537"/>
      <c r="AD481" s="1537"/>
      <c r="AE481" s="1537"/>
      <c r="AF481" s="1537"/>
      <c r="AG481" s="1537"/>
      <c r="AH481" s="1537"/>
      <c r="AI481" s="1537"/>
      <c r="AJ481" s="1537"/>
      <c r="AK481" s="1537"/>
      <c r="AL481" s="1537"/>
      <c r="AM481" s="1537"/>
      <c r="AN481" s="1537"/>
      <c r="AO481" s="1537"/>
      <c r="AP481" s="1537"/>
      <c r="AQ481" s="1537"/>
      <c r="AR481" s="1537"/>
      <c r="AS481" s="1537"/>
      <c r="AT481" s="1537"/>
      <c r="AZ481" s="3"/>
      <c r="BB481" s="3"/>
      <c r="BC481" s="3"/>
    </row>
    <row r="482" spans="1:55" ht="12.95" customHeight="1">
      <c r="AZ482" s="3"/>
      <c r="BB482" s="3"/>
      <c r="BC482" s="3"/>
    </row>
    <row r="483" spans="1:55" ht="12.95" customHeight="1">
      <c r="A483" s="2" t="s">
        <v>319</v>
      </c>
      <c r="C483" s="2" t="s">
        <v>808</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431" t="s">
        <v>393</v>
      </c>
      <c r="R485" s="1432"/>
      <c r="S485" s="1432"/>
      <c r="T485" s="1432"/>
      <c r="U485" s="1432"/>
      <c r="V485" s="1432"/>
      <c r="W485" s="1432"/>
      <c r="X485" s="1432"/>
      <c r="Y485" s="1432"/>
      <c r="Z485" s="1432"/>
      <c r="AA485" s="1432"/>
      <c r="AB485" s="1432"/>
      <c r="AC485" s="1432"/>
      <c r="AD485" s="1432"/>
      <c r="AE485" s="1432"/>
      <c r="AF485" s="1432"/>
      <c r="AG485" s="1432"/>
      <c r="AH485" s="1432"/>
      <c r="AI485" s="1432"/>
      <c r="AJ485" s="1432"/>
      <c r="AK485" s="1433"/>
      <c r="AZ485" s="3"/>
      <c r="BB485" s="3"/>
      <c r="BC485" s="3"/>
    </row>
    <row r="486" spans="1:55" ht="12.95" customHeight="1">
      <c r="B486" s="45" t="s">
        <v>394</v>
      </c>
      <c r="C486" s="5"/>
      <c r="D486" s="5"/>
      <c r="E486" s="5"/>
      <c r="F486" s="5"/>
      <c r="G486" s="5"/>
      <c r="H486" s="5"/>
      <c r="I486" s="5"/>
      <c r="J486" s="5"/>
      <c r="K486" s="5"/>
      <c r="L486" s="5"/>
      <c r="M486" s="5"/>
      <c r="N486" s="5"/>
      <c r="O486" s="5"/>
      <c r="P486" s="5"/>
      <c r="Q486" s="1463" t="s">
        <v>2626</v>
      </c>
      <c r="R486" s="1420"/>
      <c r="S486" s="1420"/>
      <c r="T486" s="1420"/>
      <c r="U486" s="1420"/>
      <c r="V486" s="1420"/>
      <c r="W486" s="1420"/>
      <c r="X486" s="1420"/>
      <c r="Y486" s="1420"/>
      <c r="Z486" s="1420"/>
      <c r="AA486" s="1420"/>
      <c r="AB486" s="1420"/>
      <c r="AC486" s="1420"/>
      <c r="AD486" s="1420"/>
      <c r="AE486" s="1420"/>
      <c r="AF486" s="1420"/>
      <c r="AG486" s="1420"/>
      <c r="AH486" s="1420"/>
      <c r="AI486" s="1420"/>
      <c r="AJ486" s="1420"/>
      <c r="AK486" s="1421"/>
      <c r="AZ486" s="3"/>
      <c r="BB486" s="3"/>
      <c r="BC486" s="3"/>
    </row>
    <row r="487" spans="1:55" ht="12.95" customHeight="1">
      <c r="B487" s="45" t="s">
        <v>395</v>
      </c>
      <c r="C487" s="5"/>
      <c r="D487" s="5"/>
      <c r="E487" s="5"/>
      <c r="F487" s="5"/>
      <c r="G487" s="5"/>
      <c r="H487" s="5"/>
      <c r="I487" s="5"/>
      <c r="J487" s="5"/>
      <c r="K487" s="5"/>
      <c r="L487" s="5"/>
      <c r="M487" s="5"/>
      <c r="N487" s="5"/>
      <c r="O487" s="5"/>
      <c r="P487" s="5"/>
      <c r="Q487" s="1463" t="s">
        <v>2627</v>
      </c>
      <c r="R487" s="1420"/>
      <c r="S487" s="1420"/>
      <c r="T487" s="1420"/>
      <c r="U487" s="1420"/>
      <c r="V487" s="1420"/>
      <c r="W487" s="1420"/>
      <c r="X487" s="1420"/>
      <c r="Y487" s="1420"/>
      <c r="Z487" s="1420"/>
      <c r="AA487" s="1420"/>
      <c r="AB487" s="1420"/>
      <c r="AC487" s="1420"/>
      <c r="AD487" s="1420"/>
      <c r="AE487" s="1420"/>
      <c r="AF487" s="1420"/>
      <c r="AG487" s="1420"/>
      <c r="AH487" s="1420"/>
      <c r="AI487" s="1420"/>
      <c r="AJ487" s="1420"/>
      <c r="AK487" s="1421"/>
      <c r="AZ487" s="3"/>
      <c r="BB487" s="3"/>
      <c r="BC487" s="3"/>
    </row>
    <row r="488" spans="1:55" ht="12.95" customHeight="1">
      <c r="B488" s="45" t="s">
        <v>396</v>
      </c>
      <c r="C488" s="5"/>
      <c r="D488" s="5"/>
      <c r="E488" s="5"/>
      <c r="F488" s="5"/>
      <c r="G488" s="5"/>
      <c r="H488" s="5"/>
      <c r="I488" s="5"/>
      <c r="J488" s="5"/>
      <c r="K488" s="5"/>
      <c r="L488" s="5"/>
      <c r="M488" s="5"/>
      <c r="N488" s="5"/>
      <c r="O488" s="5"/>
      <c r="P488" s="5"/>
      <c r="Q488" s="1419" t="s">
        <v>2627</v>
      </c>
      <c r="R488" s="1420"/>
      <c r="S488" s="1420"/>
      <c r="T488" s="1420"/>
      <c r="U488" s="1420"/>
      <c r="V488" s="1420"/>
      <c r="W488" s="1420"/>
      <c r="X488" s="1420"/>
      <c r="Y488" s="1420"/>
      <c r="Z488" s="1420"/>
      <c r="AA488" s="1420"/>
      <c r="AB488" s="1420"/>
      <c r="AC488" s="1420"/>
      <c r="AD488" s="1420"/>
      <c r="AE488" s="1420"/>
      <c r="AF488" s="1420"/>
      <c r="AG488" s="1420"/>
      <c r="AH488" s="1420"/>
      <c r="AI488" s="1420"/>
      <c r="AJ488" s="1420"/>
      <c r="AK488" s="1421"/>
      <c r="AZ488" s="3"/>
      <c r="BA488" s="3"/>
      <c r="BB488" s="3"/>
      <c r="BC488" s="3"/>
    </row>
    <row r="489" spans="1:55" ht="12.95" customHeight="1">
      <c r="B489" s="1576" t="s">
        <v>397</v>
      </c>
      <c r="C489" s="1577"/>
      <c r="D489" s="1577"/>
      <c r="E489" s="1577"/>
      <c r="F489" s="1577"/>
      <c r="G489" s="1577"/>
      <c r="H489" s="1577"/>
      <c r="I489" s="1577"/>
      <c r="J489" s="1577"/>
      <c r="K489" s="1577"/>
      <c r="L489" s="1577"/>
      <c r="M489" s="1577"/>
      <c r="N489" s="1577"/>
      <c r="O489" s="1577"/>
      <c r="P489" s="1578"/>
      <c r="Q489" s="1572" t="s">
        <v>669</v>
      </c>
      <c r="R489" s="1573"/>
      <c r="S489" s="1583" t="s">
        <v>166</v>
      </c>
      <c r="T489" s="1584"/>
      <c r="U489" s="1584"/>
      <c r="V489" s="1584"/>
      <c r="W489" s="1584"/>
      <c r="X489" s="1584"/>
      <c r="Y489" s="1584"/>
      <c r="Z489" s="1584"/>
      <c r="AA489" s="1584"/>
      <c r="AB489" s="1584"/>
      <c r="AC489" s="1584"/>
      <c r="AD489" s="1584"/>
      <c r="AE489" s="1584"/>
      <c r="AF489" s="1584"/>
      <c r="AG489" s="1584"/>
      <c r="AH489" s="1584"/>
      <c r="AI489" s="1584"/>
      <c r="AJ489" s="1584"/>
      <c r="AK489" s="1585"/>
      <c r="AZ489" s="3"/>
      <c r="BA489" s="3"/>
      <c r="BB489" s="3"/>
      <c r="BC489" s="3"/>
    </row>
    <row r="490" spans="1:55" ht="12.95" customHeight="1">
      <c r="B490" s="1579"/>
      <c r="C490" s="1580"/>
      <c r="D490" s="1580"/>
      <c r="E490" s="1580"/>
      <c r="F490" s="1580"/>
      <c r="G490" s="1580"/>
      <c r="H490" s="1580"/>
      <c r="I490" s="1580"/>
      <c r="J490" s="1580"/>
      <c r="K490" s="1580"/>
      <c r="L490" s="1580"/>
      <c r="M490" s="1580"/>
      <c r="N490" s="1580"/>
      <c r="O490" s="1580"/>
      <c r="P490" s="1581"/>
      <c r="Q490" s="1574"/>
      <c r="R490" s="1575"/>
      <c r="S490" s="1586"/>
      <c r="T490" s="1523"/>
      <c r="U490" s="1523"/>
      <c r="V490" s="1523"/>
      <c r="W490" s="1523"/>
      <c r="X490" s="1523"/>
      <c r="Y490" s="1523"/>
      <c r="Z490" s="1523"/>
      <c r="AA490" s="1523"/>
      <c r="AB490" s="1523"/>
      <c r="AC490" s="1523"/>
      <c r="AD490" s="1523"/>
      <c r="AE490" s="1523"/>
      <c r="AF490" s="1523"/>
      <c r="AG490" s="1523"/>
      <c r="AH490" s="1523"/>
      <c r="AI490" s="1523"/>
      <c r="AJ490" s="1523"/>
      <c r="AK490" s="1587"/>
      <c r="AZ490" s="3"/>
      <c r="BA490" s="3"/>
      <c r="BB490" s="3"/>
      <c r="BC490" s="3"/>
    </row>
    <row r="491" spans="1:55" ht="12.95" customHeight="1">
      <c r="B491" s="896" t="s">
        <v>1671</v>
      </c>
      <c r="C491" s="874"/>
      <c r="D491" s="874"/>
      <c r="E491" s="874"/>
      <c r="F491" s="874"/>
      <c r="G491" s="874"/>
      <c r="H491" s="874"/>
      <c r="I491" s="874"/>
      <c r="J491" s="874"/>
      <c r="K491" s="874"/>
      <c r="L491" s="874"/>
      <c r="M491" s="874"/>
      <c r="N491" s="874"/>
      <c r="O491" s="874"/>
      <c r="P491" s="874"/>
      <c r="Q491" s="1424" t="s">
        <v>669</v>
      </c>
      <c r="R491" s="1425"/>
      <c r="S491" s="1425"/>
      <c r="T491" s="1425"/>
      <c r="U491" s="1425"/>
      <c r="V491" s="1425"/>
      <c r="W491" s="1425"/>
      <c r="X491" s="1425"/>
      <c r="Y491" s="1425"/>
      <c r="Z491" s="1425"/>
      <c r="AA491" s="1425"/>
      <c r="AB491" s="1425"/>
      <c r="AC491" s="1425"/>
      <c r="AD491" s="1425"/>
      <c r="AE491" s="1425"/>
      <c r="AF491" s="1425"/>
      <c r="AG491" s="1425"/>
      <c r="AH491" s="1425"/>
      <c r="AI491" s="1425"/>
      <c r="AJ491" s="1425"/>
      <c r="AK491" s="1426"/>
      <c r="AZ491" s="3"/>
      <c r="BA491" s="3"/>
      <c r="BB491" s="3"/>
      <c r="BC491" s="3"/>
    </row>
    <row r="492" spans="1:55" ht="12.95" customHeight="1">
      <c r="B492" s="45" t="s">
        <v>398</v>
      </c>
      <c r="C492" s="5"/>
      <c r="D492" s="5"/>
      <c r="E492" s="5"/>
      <c r="F492" s="5"/>
      <c r="G492" s="5"/>
      <c r="H492" s="5"/>
      <c r="I492" s="5"/>
      <c r="J492" s="5"/>
      <c r="K492" s="5"/>
      <c r="L492" s="5"/>
      <c r="M492" s="5"/>
      <c r="N492" s="5"/>
      <c r="O492" s="5"/>
      <c r="P492" s="5"/>
      <c r="Q492" s="1419">
        <v>0</v>
      </c>
      <c r="R492" s="1420"/>
      <c r="S492" s="1420"/>
      <c r="T492" s="1420"/>
      <c r="U492" s="1420"/>
      <c r="V492" s="1420"/>
      <c r="W492" s="1420"/>
      <c r="X492" s="1420"/>
      <c r="Y492" s="1420"/>
      <c r="Z492" s="1420"/>
      <c r="AA492" s="1420"/>
      <c r="AB492" s="1420"/>
      <c r="AC492" s="1420"/>
      <c r="AD492" s="1420"/>
      <c r="AE492" s="1420"/>
      <c r="AF492" s="1420"/>
      <c r="AG492" s="1420"/>
      <c r="AH492" s="1420"/>
      <c r="AI492" s="1420"/>
      <c r="AJ492" s="1420"/>
      <c r="AK492" s="1421"/>
      <c r="AZ492" s="3"/>
      <c r="BA492" s="3"/>
      <c r="BB492" s="3"/>
      <c r="BC492" s="3"/>
    </row>
    <row r="493" spans="1:55" ht="12.95" customHeight="1">
      <c r="B493" s="45" t="s">
        <v>399</v>
      </c>
      <c r="C493" s="5"/>
      <c r="D493" s="5"/>
      <c r="E493" s="5"/>
      <c r="F493" s="5"/>
      <c r="G493" s="5"/>
      <c r="H493" s="5"/>
      <c r="I493" s="5"/>
      <c r="J493" s="5"/>
      <c r="K493" s="5"/>
      <c r="L493" s="5"/>
      <c r="M493" s="5"/>
      <c r="N493" s="5"/>
      <c r="O493" s="5"/>
      <c r="P493" s="5"/>
      <c r="Q493" s="1419">
        <v>0</v>
      </c>
      <c r="R493" s="1420"/>
      <c r="S493" s="1420"/>
      <c r="T493" s="1420"/>
      <c r="U493" s="1420"/>
      <c r="V493" s="1420"/>
      <c r="W493" s="1420"/>
      <c r="X493" s="1420"/>
      <c r="Y493" s="1420"/>
      <c r="Z493" s="1420"/>
      <c r="AA493" s="1420"/>
      <c r="AB493" s="1420"/>
      <c r="AC493" s="1420"/>
      <c r="AD493" s="1420"/>
      <c r="AE493" s="1420"/>
      <c r="AF493" s="1420"/>
      <c r="AG493" s="1420"/>
      <c r="AH493" s="1420"/>
      <c r="AI493" s="1420"/>
      <c r="AJ493" s="1420"/>
      <c r="AK493" s="1421"/>
      <c r="AZ493" s="3"/>
      <c r="BA493" s="3"/>
      <c r="BB493" s="3"/>
      <c r="BC493" s="3"/>
    </row>
    <row r="494" spans="1:55" ht="12.95" customHeight="1">
      <c r="B494" s="121" t="s">
        <v>1668</v>
      </c>
      <c r="C494" s="5"/>
      <c r="D494" s="5"/>
      <c r="E494" s="5"/>
      <c r="F494" s="5"/>
      <c r="G494" s="5"/>
      <c r="H494" s="5"/>
      <c r="I494" s="5"/>
      <c r="J494" s="5"/>
      <c r="K494" s="5"/>
      <c r="L494" s="5"/>
      <c r="M494" s="5"/>
      <c r="N494" s="5"/>
      <c r="O494" s="5"/>
      <c r="P494" s="5"/>
      <c r="Q494" s="1419">
        <v>126</v>
      </c>
      <c r="R494" s="1420"/>
      <c r="S494" s="1420"/>
      <c r="T494" s="1420"/>
      <c r="U494" s="1420"/>
      <c r="V494" s="1420"/>
      <c r="W494" s="1420"/>
      <c r="X494" s="1420"/>
      <c r="Y494" s="1420"/>
      <c r="Z494" s="1420"/>
      <c r="AA494" s="1420"/>
      <c r="AB494" s="1420"/>
      <c r="AC494" s="1420"/>
      <c r="AD494" s="1420"/>
      <c r="AE494" s="1420"/>
      <c r="AF494" s="1420"/>
      <c r="AG494" s="1420"/>
      <c r="AH494" s="1420"/>
      <c r="AI494" s="1420"/>
      <c r="AJ494" s="1420"/>
      <c r="AK494" s="1421"/>
      <c r="AZ494" s="3"/>
      <c r="BA494" s="3"/>
      <c r="BB494" s="3"/>
      <c r="BC494" s="3"/>
    </row>
    <row r="495" spans="1:55" ht="12.95" customHeight="1">
      <c r="B495" s="121" t="s">
        <v>1669</v>
      </c>
      <c r="C495" s="5"/>
      <c r="D495" s="5"/>
      <c r="E495" s="5"/>
      <c r="F495" s="5"/>
      <c r="G495" s="5"/>
      <c r="H495" s="5"/>
      <c r="I495" s="5"/>
      <c r="J495" s="5"/>
      <c r="K495" s="5"/>
      <c r="L495" s="5"/>
      <c r="M495" s="1427">
        <v>126</v>
      </c>
      <c r="N495" s="1428"/>
      <c r="O495" s="1428"/>
      <c r="P495" s="1429"/>
      <c r="Q495" s="121" t="s">
        <v>1670</v>
      </c>
      <c r="R495" s="5"/>
      <c r="S495" s="5"/>
      <c r="T495" s="5"/>
      <c r="U495" s="5"/>
      <c r="V495" s="5"/>
      <c r="W495" s="5"/>
      <c r="X495" s="5"/>
      <c r="Y495" s="5"/>
      <c r="Z495" s="5"/>
      <c r="AA495" s="5"/>
      <c r="AB495" s="5"/>
      <c r="AC495" s="5"/>
      <c r="AD495" s="5"/>
      <c r="AE495" s="5"/>
      <c r="AF495" s="5"/>
      <c r="AG495" s="5"/>
      <c r="AH495" s="1427">
        <v>0</v>
      </c>
      <c r="AI495" s="1428"/>
      <c r="AJ495" s="1428"/>
      <c r="AK495" s="1429"/>
      <c r="AZ495" s="3"/>
      <c r="BA495" s="3"/>
      <c r="BB495" s="3"/>
      <c r="BC495" s="3"/>
    </row>
    <row r="496" spans="1:55" ht="12.95" customHeight="1">
      <c r="B496" s="513"/>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576</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9"/>
      <c r="C498" s="513"/>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31" t="s">
        <v>401</v>
      </c>
      <c r="AD499" s="1432"/>
      <c r="AE499" s="1432"/>
      <c r="AF499" s="1432"/>
      <c r="AG499" s="1432"/>
      <c r="AH499" s="1432"/>
      <c r="AI499" s="1432"/>
      <c r="AJ499" s="1432"/>
      <c r="AK499" s="1433"/>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31" t="s">
        <v>402</v>
      </c>
      <c r="AD500" s="1432"/>
      <c r="AE500" s="1432"/>
      <c r="AF500" s="1432"/>
      <c r="AG500" s="50" t="s">
        <v>403</v>
      </c>
      <c r="AH500" s="1432" t="s">
        <v>404</v>
      </c>
      <c r="AI500" s="1432"/>
      <c r="AJ500" s="1432"/>
      <c r="AK500" s="1433"/>
      <c r="AZ500" s="3"/>
      <c r="BA500" s="3"/>
      <c r="BB500" s="3"/>
      <c r="BC500" s="3"/>
      <c r="BD500" s="3"/>
      <c r="BE500" s="3"/>
      <c r="BF500" s="3"/>
      <c r="BG500" s="3"/>
      <c r="BH500" s="3"/>
      <c r="BI500" s="3"/>
      <c r="BJ500" s="3"/>
      <c r="BK500" s="3"/>
      <c r="BL500" s="3"/>
      <c r="BM500" s="3"/>
      <c r="BN500" s="3"/>
    </row>
    <row r="501" spans="1:66" ht="12.95" customHeight="1">
      <c r="B501" s="1382" t="s">
        <v>405</v>
      </c>
      <c r="C501" s="1383"/>
      <c r="D501" s="1383"/>
      <c r="E501" s="1383"/>
      <c r="F501" s="1383"/>
      <c r="G501" s="1383"/>
      <c r="H501" s="1384"/>
      <c r="I501" s="42" t="s">
        <v>406</v>
      </c>
      <c r="J501" s="42"/>
      <c r="K501" s="42"/>
      <c r="L501" s="42"/>
      <c r="M501" s="42"/>
      <c r="N501" s="42"/>
      <c r="O501" s="42"/>
      <c r="P501" s="42"/>
      <c r="Q501" s="42"/>
      <c r="R501" s="42"/>
      <c r="S501" s="42"/>
      <c r="T501" s="42"/>
      <c r="U501" s="42"/>
      <c r="V501" s="42"/>
      <c r="W501" s="42"/>
      <c r="AC501" s="1402" t="s">
        <v>591</v>
      </c>
      <c r="AD501" s="1369"/>
      <c r="AE501" s="1369"/>
      <c r="AF501" s="1369"/>
      <c r="AG501" s="13" t="s">
        <v>403</v>
      </c>
      <c r="AH501" s="1400">
        <v>0</v>
      </c>
      <c r="AI501" s="1400"/>
      <c r="AJ501" s="1400"/>
      <c r="AK501" s="1401"/>
      <c r="AZ501" s="3"/>
      <c r="BA501" s="3"/>
      <c r="BB501" s="3"/>
      <c r="BC501" s="3"/>
      <c r="BD501" s="3"/>
      <c r="BE501" s="3"/>
      <c r="BF501" s="3"/>
      <c r="BG501" s="3"/>
      <c r="BH501" s="3"/>
      <c r="BI501" s="3"/>
      <c r="BJ501" s="3"/>
      <c r="BK501" s="3"/>
      <c r="BL501" s="3"/>
      <c r="BM501" s="3"/>
      <c r="BN501" s="3"/>
    </row>
    <row r="502" spans="1:66" ht="12.95" customHeight="1">
      <c r="B502" s="1385"/>
      <c r="C502" s="1386"/>
      <c r="D502" s="1386"/>
      <c r="E502" s="1386"/>
      <c r="F502" s="1386"/>
      <c r="G502" s="1386"/>
      <c r="H502" s="1387"/>
      <c r="I502" s="48" t="s">
        <v>407</v>
      </c>
      <c r="J502" s="48"/>
      <c r="K502" s="48"/>
      <c r="L502" s="48"/>
      <c r="M502" s="48"/>
      <c r="N502" s="48"/>
      <c r="O502" s="48"/>
      <c r="P502" s="48"/>
      <c r="Q502" s="48"/>
      <c r="R502" s="48"/>
      <c r="S502" s="48"/>
      <c r="T502" s="48"/>
      <c r="U502" s="48"/>
      <c r="V502" s="48"/>
      <c r="W502" s="48"/>
      <c r="X502" s="48"/>
      <c r="Y502" s="48"/>
      <c r="Z502" s="48"/>
      <c r="AA502" s="48"/>
      <c r="AB502" s="48"/>
      <c r="AC502" s="1402" t="s">
        <v>591</v>
      </c>
      <c r="AD502" s="1369"/>
      <c r="AE502" s="1369"/>
      <c r="AF502" s="1369"/>
      <c r="AG502" s="38" t="s">
        <v>403</v>
      </c>
      <c r="AH502" s="1400"/>
      <c r="AI502" s="1400"/>
      <c r="AJ502" s="1400"/>
      <c r="AK502" s="1401"/>
      <c r="AZ502" s="3"/>
      <c r="BA502" s="3"/>
      <c r="BB502" s="3"/>
      <c r="BC502" s="3"/>
      <c r="BD502" s="3"/>
      <c r="BE502" s="3"/>
      <c r="BF502" s="3"/>
      <c r="BG502" s="3"/>
      <c r="BH502" s="3"/>
      <c r="BI502" s="3"/>
      <c r="BJ502" s="3"/>
      <c r="BK502" s="3"/>
      <c r="BL502" s="3"/>
      <c r="BM502" s="3"/>
      <c r="BN502" s="3"/>
    </row>
    <row r="503" spans="1:66" ht="12.95" customHeight="1">
      <c r="B503" s="1382" t="s">
        <v>408</v>
      </c>
      <c r="C503" s="1383"/>
      <c r="D503" s="1383"/>
      <c r="E503" s="1383"/>
      <c r="F503" s="1383"/>
      <c r="G503" s="1383"/>
      <c r="H503" s="1384"/>
      <c r="I503" s="42" t="s">
        <v>409</v>
      </c>
      <c r="J503" s="42"/>
      <c r="K503" s="42"/>
      <c r="L503" s="42"/>
      <c r="M503" s="42"/>
      <c r="N503" s="42"/>
      <c r="O503" s="42"/>
      <c r="P503" s="42"/>
      <c r="Q503" s="42"/>
      <c r="R503" s="42"/>
      <c r="S503" s="42"/>
      <c r="T503" s="42"/>
      <c r="U503" s="42"/>
      <c r="V503" s="42"/>
      <c r="W503" s="42"/>
      <c r="AC503" s="1402" t="s">
        <v>591</v>
      </c>
      <c r="AD503" s="1369"/>
      <c r="AE503" s="1369"/>
      <c r="AF503" s="1369"/>
      <c r="AG503" s="13" t="s">
        <v>403</v>
      </c>
      <c r="AH503" s="1400"/>
      <c r="AI503" s="1400"/>
      <c r="AJ503" s="1400"/>
      <c r="AK503" s="1401"/>
      <c r="AZ503" s="3"/>
      <c r="BA503" s="3"/>
      <c r="BB503" s="3"/>
      <c r="BC503" s="3"/>
      <c r="BD503" s="3"/>
      <c r="BE503" s="3"/>
      <c r="BF503" s="3"/>
      <c r="BG503" s="3"/>
      <c r="BH503" s="3"/>
      <c r="BI503" s="3"/>
      <c r="BJ503" s="3"/>
      <c r="BK503" s="3"/>
      <c r="BL503" s="3"/>
      <c r="BM503" s="3"/>
      <c r="BN503" s="3"/>
    </row>
    <row r="504" spans="1:66" ht="12.95" customHeight="1">
      <c r="B504" s="1385"/>
      <c r="C504" s="1386"/>
      <c r="D504" s="1386"/>
      <c r="E504" s="1386"/>
      <c r="F504" s="1386"/>
      <c r="G504" s="1386"/>
      <c r="H504" s="1387"/>
      <c r="I504" t="s">
        <v>410</v>
      </c>
      <c r="AC504" s="1402" t="s">
        <v>591</v>
      </c>
      <c r="AD504" s="1369"/>
      <c r="AE504" s="1369"/>
      <c r="AF504" s="1369"/>
      <c r="AG504" s="13" t="s">
        <v>403</v>
      </c>
      <c r="AH504" s="1400"/>
      <c r="AI504" s="1400"/>
      <c r="AJ504" s="1400"/>
      <c r="AK504" s="1401"/>
      <c r="AZ504" s="3"/>
      <c r="BA504" s="3"/>
      <c r="BB504" s="3"/>
      <c r="BC504" s="3"/>
      <c r="BD504" s="3"/>
      <c r="BE504" s="3"/>
      <c r="BF504" s="3"/>
      <c r="BG504" s="3"/>
      <c r="BH504" s="3"/>
      <c r="BI504" s="3"/>
      <c r="BJ504" s="3"/>
      <c r="BK504" s="3"/>
      <c r="BL504" s="3"/>
      <c r="BM504" s="3"/>
      <c r="BN504" s="3"/>
    </row>
    <row r="505" spans="1:66" ht="12.95" customHeight="1">
      <c r="B505" s="1385"/>
      <c r="C505" s="1386"/>
      <c r="D505" s="1386"/>
      <c r="E505" s="1386"/>
      <c r="F505" s="1386"/>
      <c r="G505" s="1386"/>
      <c r="H505" s="1387"/>
      <c r="I505" t="s">
        <v>411</v>
      </c>
      <c r="AC505" s="1402" t="s">
        <v>591</v>
      </c>
      <c r="AD505" s="1369"/>
      <c r="AE505" s="1369"/>
      <c r="AF505" s="1369"/>
      <c r="AG505" s="13" t="s">
        <v>403</v>
      </c>
      <c r="AH505" s="1400"/>
      <c r="AI505" s="1400"/>
      <c r="AJ505" s="1400"/>
      <c r="AK505" s="1401"/>
      <c r="AZ505" s="3"/>
      <c r="BA505" s="3"/>
      <c r="BB505" s="3"/>
      <c r="BC505" s="3"/>
      <c r="BD505" s="3"/>
      <c r="BE505" s="3"/>
      <c r="BF505" s="3"/>
      <c r="BG505" s="3"/>
      <c r="BH505" s="3"/>
      <c r="BI505" s="3"/>
      <c r="BJ505" s="3"/>
      <c r="BK505" s="3"/>
      <c r="BL505" s="3"/>
      <c r="BM505" s="3"/>
      <c r="BN505" s="3"/>
    </row>
    <row r="506" spans="1:66" ht="12.95" customHeight="1">
      <c r="B506" s="1385"/>
      <c r="C506" s="1386"/>
      <c r="D506" s="1386"/>
      <c r="E506" s="1386"/>
      <c r="F506" s="1386"/>
      <c r="G506" s="1386"/>
      <c r="H506" s="1387"/>
      <c r="I506" t="s">
        <v>412</v>
      </c>
      <c r="AC506" s="1402" t="s">
        <v>591</v>
      </c>
      <c r="AD506" s="1369"/>
      <c r="AE506" s="1369"/>
      <c r="AF506" s="1369"/>
      <c r="AG506" s="13" t="s">
        <v>403</v>
      </c>
      <c r="AH506" s="1400"/>
      <c r="AI506" s="1400"/>
      <c r="AJ506" s="1400"/>
      <c r="AK506" s="1401"/>
      <c r="AZ506" s="3"/>
      <c r="BA506" s="3"/>
      <c r="BB506" s="3"/>
      <c r="BC506" s="3"/>
      <c r="BD506" s="3"/>
      <c r="BE506" s="3"/>
      <c r="BF506" s="3"/>
      <c r="BG506" s="3"/>
      <c r="BH506" s="3"/>
      <c r="BI506" s="3"/>
      <c r="BJ506" s="3"/>
      <c r="BK506" s="3"/>
      <c r="BL506" s="3"/>
      <c r="BM506" s="3"/>
      <c r="BN506" s="3"/>
    </row>
    <row r="507" spans="1:66" ht="12.95" customHeight="1">
      <c r="B507" s="1385"/>
      <c r="C507" s="1386"/>
      <c r="D507" s="1386"/>
      <c r="E507" s="1386"/>
      <c r="F507" s="1386"/>
      <c r="G507" s="1386"/>
      <c r="H507" s="1387"/>
      <c r="I507" s="3" t="s">
        <v>413</v>
      </c>
      <c r="AC507" s="1357">
        <v>10</v>
      </c>
      <c r="AD507" s="1358"/>
      <c r="AE507" s="1358"/>
      <c r="AF507" s="1358"/>
      <c r="AG507" s="13" t="s">
        <v>403</v>
      </c>
      <c r="AH507" s="1400">
        <v>2025</v>
      </c>
      <c r="AI507" s="1400"/>
      <c r="AJ507" s="1400"/>
      <c r="AK507" s="1401"/>
      <c r="AZ507" s="3"/>
      <c r="BA507" s="3"/>
      <c r="BB507" s="3"/>
      <c r="BC507" s="3"/>
      <c r="BD507" s="3"/>
      <c r="BE507" s="3"/>
      <c r="BF507" s="3"/>
      <c r="BG507" s="3"/>
      <c r="BH507" s="3"/>
      <c r="BI507" s="3"/>
      <c r="BJ507" s="3"/>
      <c r="BK507" s="3"/>
      <c r="BL507" s="3"/>
      <c r="BM507" s="3"/>
      <c r="BN507" s="3"/>
    </row>
    <row r="508" spans="1:66" ht="12.95" customHeight="1">
      <c r="B508" s="1385"/>
      <c r="C508" s="1386"/>
      <c r="D508" s="1386"/>
      <c r="E508" s="1386"/>
      <c r="F508" s="1386"/>
      <c r="G508" s="1386"/>
      <c r="H508" s="1387"/>
      <c r="I508" s="897" t="s">
        <v>170</v>
      </c>
      <c r="J508" s="48"/>
      <c r="K508" s="48"/>
      <c r="L508" s="1457" t="s">
        <v>334</v>
      </c>
      <c r="M508" s="1458"/>
      <c r="N508" s="1458"/>
      <c r="O508" s="1458"/>
      <c r="P508" s="1458"/>
      <c r="Q508" s="1458"/>
      <c r="R508" s="1458"/>
      <c r="S508" s="1458"/>
      <c r="T508" s="1458"/>
      <c r="U508" s="1458"/>
      <c r="V508" s="1458"/>
      <c r="W508" s="1458"/>
      <c r="X508" s="1458"/>
      <c r="Y508" s="1458"/>
      <c r="Z508" s="1458"/>
      <c r="AA508" s="1458"/>
      <c r="AB508" s="1462"/>
      <c r="AC508" s="1402" t="s">
        <v>591</v>
      </c>
      <c r="AD508" s="1369"/>
      <c r="AE508" s="1369"/>
      <c r="AF508" s="1369"/>
      <c r="AG508" s="38" t="s">
        <v>403</v>
      </c>
      <c r="AH508" s="1400"/>
      <c r="AI508" s="1400"/>
      <c r="AJ508" s="1400"/>
      <c r="AK508" s="1401"/>
      <c r="AZ508" s="3"/>
      <c r="BA508" s="3"/>
      <c r="BB508" s="3"/>
      <c r="BC508" s="3"/>
      <c r="BD508" s="3"/>
      <c r="BE508" s="3"/>
      <c r="BF508" s="3"/>
      <c r="BG508" s="3"/>
      <c r="BH508" s="3"/>
      <c r="BI508" s="3"/>
      <c r="BJ508" s="3"/>
      <c r="BK508" s="3"/>
      <c r="BL508" s="3"/>
      <c r="BM508" s="3"/>
      <c r="BN508" s="3"/>
    </row>
    <row r="509" spans="1:66" ht="12.95" customHeight="1">
      <c r="B509" s="872"/>
      <c r="C509" s="130"/>
      <c r="D509" s="130"/>
      <c r="E509" s="130"/>
      <c r="F509" s="130"/>
      <c r="G509" s="130"/>
      <c r="H509" s="873"/>
      <c r="I509" s="3" t="s">
        <v>1675</v>
      </c>
      <c r="AC509" s="1430" t="s">
        <v>669</v>
      </c>
      <c r="AD509" s="1430"/>
      <c r="AE509" s="1430"/>
      <c r="AF509" s="1430"/>
      <c r="AG509" s="13"/>
      <c r="AH509" s="1409"/>
      <c r="AI509" s="1409"/>
      <c r="AJ509" s="1409"/>
      <c r="AK509" s="1410"/>
      <c r="AZ509" s="3"/>
      <c r="BA509" s="3"/>
      <c r="BB509" s="3"/>
      <c r="BC509" s="3"/>
      <c r="BD509" s="3"/>
      <c r="BE509" s="3"/>
      <c r="BF509" s="3"/>
      <c r="BG509" s="3"/>
      <c r="BH509" s="3"/>
      <c r="BI509" s="3"/>
      <c r="BJ509" s="3"/>
      <c r="BK509" s="3"/>
      <c r="BL509" s="3"/>
      <c r="BM509" s="3"/>
      <c r="BN509" s="3"/>
    </row>
    <row r="510" spans="1:66" ht="12.95" customHeight="1">
      <c r="B510" s="872"/>
      <c r="C510" s="130"/>
      <c r="D510" s="130"/>
      <c r="E510" s="130"/>
      <c r="F510" s="130"/>
      <c r="G510" s="130"/>
      <c r="H510" s="873"/>
      <c r="I510" t="s">
        <v>1672</v>
      </c>
      <c r="AC510" s="1357"/>
      <c r="AD510" s="1358"/>
      <c r="AE510" s="1358"/>
      <c r="AF510" s="1359"/>
      <c r="AG510" s="13"/>
      <c r="AH510" s="1409"/>
      <c r="AI510" s="1409"/>
      <c r="AJ510" s="1409"/>
      <c r="AK510" s="1410"/>
      <c r="AZ510" s="3"/>
      <c r="BA510" s="3"/>
      <c r="BB510" s="3"/>
      <c r="BC510" s="3"/>
      <c r="BD510" s="3"/>
      <c r="BE510" s="3"/>
      <c r="BF510" s="3"/>
      <c r="BG510" s="3"/>
      <c r="BH510" s="3"/>
      <c r="BI510" s="3"/>
      <c r="BJ510" s="3"/>
      <c r="BK510" s="3"/>
      <c r="BL510" s="3"/>
      <c r="BM510" s="3"/>
      <c r="BN510" s="3"/>
    </row>
    <row r="511" spans="1:66" ht="12.95" customHeight="1">
      <c r="B511" s="872"/>
      <c r="C511" s="130"/>
      <c r="D511" s="130"/>
      <c r="E511" s="130"/>
      <c r="F511" s="130"/>
      <c r="G511" s="130"/>
      <c r="H511" s="873"/>
      <c r="I511" t="s">
        <v>1673</v>
      </c>
      <c r="AC511" s="891"/>
      <c r="AD511" s="892"/>
      <c r="AE511" s="892"/>
      <c r="AF511" s="893"/>
      <c r="AG511" s="13"/>
      <c r="AH511" s="1"/>
      <c r="AI511" s="1"/>
      <c r="AJ511" s="1"/>
      <c r="AK511" s="1007"/>
      <c r="AZ511" s="3"/>
      <c r="BA511" s="3"/>
      <c r="BB511" s="3"/>
      <c r="BC511" s="3"/>
      <c r="BD511" s="3"/>
      <c r="BE511" s="3"/>
      <c r="BF511" s="3"/>
      <c r="BG511" s="3"/>
      <c r="BH511" s="3"/>
      <c r="BI511" s="3"/>
      <c r="BJ511" s="3"/>
      <c r="BK511" s="3"/>
      <c r="BL511" s="3"/>
      <c r="BM511" s="3"/>
      <c r="BN511" s="3"/>
    </row>
    <row r="512" spans="1:66" ht="12.95" customHeight="1">
      <c r="B512" s="872"/>
      <c r="C512" s="130"/>
      <c r="D512" s="130"/>
      <c r="E512" s="130"/>
      <c r="F512" s="130"/>
      <c r="G512" s="130"/>
      <c r="H512" s="873"/>
      <c r="I512" s="898" t="s">
        <v>1674</v>
      </c>
      <c r="J512" s="48"/>
      <c r="K512" s="48"/>
      <c r="L512" s="48"/>
      <c r="M512" s="48"/>
      <c r="N512" s="48"/>
      <c r="O512" s="48"/>
      <c r="P512" s="48"/>
      <c r="Q512" s="48"/>
      <c r="R512" s="48"/>
      <c r="S512" s="48"/>
      <c r="T512" s="48"/>
      <c r="U512" s="48"/>
      <c r="V512" s="48"/>
      <c r="W512" s="48"/>
      <c r="X512" s="48"/>
      <c r="Y512" s="48"/>
      <c r="Z512" s="48"/>
      <c r="AA512" s="48"/>
      <c r="AB512" s="48"/>
      <c r="AC512" s="1454">
        <v>1</v>
      </c>
      <c r="AD512" s="1455"/>
      <c r="AE512" s="1455"/>
      <c r="AF512" s="1456"/>
      <c r="AG512" s="38"/>
      <c r="AH512" s="1593"/>
      <c r="AI512" s="1593"/>
      <c r="AJ512" s="1593"/>
      <c r="AK512" s="1594"/>
      <c r="AZ512" s="3"/>
      <c r="BA512" s="3"/>
      <c r="BB512" s="3"/>
      <c r="BC512" s="3"/>
      <c r="BD512" s="3"/>
      <c r="BE512" s="3"/>
      <c r="BF512" s="3"/>
      <c r="BG512" s="3"/>
      <c r="BH512" s="3"/>
      <c r="BI512" s="3"/>
      <c r="BJ512" s="3"/>
      <c r="BK512" s="3"/>
      <c r="BL512" s="3"/>
      <c r="BM512" s="3"/>
      <c r="BN512" s="3" t="s">
        <v>1184</v>
      </c>
    </row>
    <row r="513" spans="2:66" ht="12.95" customHeight="1">
      <c r="B513" s="872"/>
      <c r="C513" s="130"/>
      <c r="D513" s="130"/>
      <c r="E513" s="130"/>
      <c r="F513" s="130"/>
      <c r="G513" s="130"/>
      <c r="H513" s="873"/>
      <c r="I513" s="3"/>
      <c r="L513" s="8"/>
      <c r="M513" s="8"/>
      <c r="N513" s="8"/>
      <c r="O513" s="8"/>
      <c r="P513" s="8"/>
      <c r="Q513" s="8"/>
      <c r="R513" s="8"/>
      <c r="S513" s="8"/>
      <c r="T513" s="8"/>
      <c r="U513" s="8"/>
      <c r="V513" s="8"/>
      <c r="W513" s="8"/>
      <c r="X513" s="1008"/>
      <c r="Y513" s="1008"/>
      <c r="Z513" s="1008"/>
      <c r="AA513" s="1008"/>
      <c r="AB513" s="1015"/>
      <c r="AC513" s="1694" t="s">
        <v>402</v>
      </c>
      <c r="AD513" s="1460"/>
      <c r="AE513" s="1460"/>
      <c r="AF513" s="1460"/>
      <c r="AG513" s="38" t="s">
        <v>403</v>
      </c>
      <c r="AH513" s="1460" t="s">
        <v>404</v>
      </c>
      <c r="AI513" s="1460"/>
      <c r="AJ513" s="1460"/>
      <c r="AK513" s="1461"/>
      <c r="AZ513" s="3"/>
      <c r="BA513" s="3"/>
      <c r="BB513" s="3"/>
      <c r="BC513" s="3"/>
      <c r="BD513" s="3"/>
      <c r="BE513" s="3"/>
      <c r="BF513" s="3"/>
      <c r="BG513" s="3"/>
      <c r="BH513" s="3"/>
      <c r="BI513" s="3"/>
      <c r="BJ513" s="3"/>
      <c r="BK513" s="3"/>
      <c r="BL513" s="3"/>
      <c r="BM513" s="3"/>
      <c r="BN513" s="3" t="s">
        <v>2106</v>
      </c>
    </row>
    <row r="514" spans="2:66" ht="12.95" customHeight="1">
      <c r="B514" s="1382" t="s">
        <v>414</v>
      </c>
      <c r="C514" s="1383"/>
      <c r="D514" s="1383"/>
      <c r="E514" s="1383"/>
      <c r="F514" s="1383"/>
      <c r="G514" s="1383"/>
      <c r="H514" s="1384"/>
      <c r="I514" s="42" t="s">
        <v>415</v>
      </c>
      <c r="J514" s="42"/>
      <c r="K514" s="42"/>
      <c r="L514" s="42"/>
      <c r="M514" s="42"/>
      <c r="N514" s="42"/>
      <c r="O514" s="42"/>
      <c r="P514" s="42"/>
      <c r="Q514" s="42"/>
      <c r="R514" s="42"/>
      <c r="S514" s="42"/>
      <c r="T514" s="42"/>
      <c r="U514" s="42"/>
      <c r="V514" s="42"/>
      <c r="W514" s="42"/>
      <c r="AC514" s="1402">
        <v>1</v>
      </c>
      <c r="AD514" s="1369"/>
      <c r="AE514" s="1369"/>
      <c r="AF514" s="1369"/>
      <c r="AG514" s="13" t="s">
        <v>403</v>
      </c>
      <c r="AH514" s="1400">
        <v>2025</v>
      </c>
      <c r="AI514" s="1400"/>
      <c r="AJ514" s="1400"/>
      <c r="AK514" s="1401"/>
      <c r="AZ514" s="3"/>
      <c r="BA514" s="3"/>
      <c r="BB514" s="3"/>
      <c r="BC514" s="3"/>
      <c r="BD514" s="3"/>
      <c r="BE514" s="3"/>
      <c r="BF514" s="3"/>
      <c r="BG514" s="3"/>
      <c r="BH514" s="3"/>
      <c r="BI514" s="3"/>
      <c r="BJ514" s="3"/>
      <c r="BK514" s="3"/>
      <c r="BL514" s="3"/>
      <c r="BM514" s="3"/>
      <c r="BN514" s="3" t="s">
        <v>2107</v>
      </c>
    </row>
    <row r="515" spans="2:66" ht="12.95" customHeight="1">
      <c r="B515" s="1385"/>
      <c r="C515" s="1386"/>
      <c r="D515" s="1386"/>
      <c r="E515" s="1386"/>
      <c r="F515" s="1386"/>
      <c r="G515" s="1386"/>
      <c r="H515" s="1387"/>
      <c r="I515" t="s">
        <v>416</v>
      </c>
      <c r="AC515" s="1402">
        <v>1</v>
      </c>
      <c r="AD515" s="1369"/>
      <c r="AE515" s="1369"/>
      <c r="AF515" s="1369"/>
      <c r="AG515" s="13" t="s">
        <v>403</v>
      </c>
      <c r="AH515" s="1400">
        <v>2025</v>
      </c>
      <c r="AI515" s="1400"/>
      <c r="AJ515" s="1400"/>
      <c r="AK515" s="1401"/>
      <c r="AZ515" s="3"/>
      <c r="BA515" s="3"/>
      <c r="BB515" s="3"/>
      <c r="BC515" s="3"/>
      <c r="BD515" s="3"/>
      <c r="BE515" s="3"/>
      <c r="BF515" s="3"/>
      <c r="BG515" s="3"/>
      <c r="BH515" s="3"/>
      <c r="BI515" s="3"/>
      <c r="BJ515" s="3"/>
      <c r="BK515" s="3"/>
      <c r="BL515" s="3"/>
      <c r="BM515" s="3"/>
      <c r="BN515" s="3" t="s">
        <v>2108</v>
      </c>
    </row>
    <row r="516" spans="2:66" ht="12.95" customHeight="1">
      <c r="B516" s="1385"/>
      <c r="C516" s="1386"/>
      <c r="D516" s="1386"/>
      <c r="E516" s="1386"/>
      <c r="F516" s="1386"/>
      <c r="G516" s="1386"/>
      <c r="H516" s="1387"/>
      <c r="I516" s="48" t="s">
        <v>417</v>
      </c>
      <c r="J516" s="48"/>
      <c r="K516" s="48"/>
      <c r="L516" s="48"/>
      <c r="M516" s="48"/>
      <c r="N516" s="48"/>
      <c r="O516" s="48"/>
      <c r="P516" s="48"/>
      <c r="Q516" s="48"/>
      <c r="R516" s="48"/>
      <c r="S516" s="48"/>
      <c r="T516" s="48"/>
      <c r="U516" s="48"/>
      <c r="V516" s="48"/>
      <c r="W516" s="48"/>
      <c r="X516" s="48"/>
      <c r="Y516" s="48"/>
      <c r="Z516" s="48"/>
      <c r="AA516" s="48"/>
      <c r="AB516" s="48"/>
      <c r="AC516" s="1402">
        <v>10</v>
      </c>
      <c r="AD516" s="1369"/>
      <c r="AE516" s="1369"/>
      <c r="AF516" s="1369"/>
      <c r="AG516" s="38" t="s">
        <v>403</v>
      </c>
      <c r="AH516" s="1400">
        <v>2025</v>
      </c>
      <c r="AI516" s="1400"/>
      <c r="AJ516" s="1400"/>
      <c r="AK516" s="1401"/>
      <c r="AZ516" s="3"/>
      <c r="BA516" s="3"/>
      <c r="BB516" s="3"/>
      <c r="BC516" s="3"/>
      <c r="BD516" s="3"/>
      <c r="BE516" s="3"/>
      <c r="BF516" s="3"/>
      <c r="BG516" s="3"/>
      <c r="BH516" s="3"/>
      <c r="BI516" s="3"/>
      <c r="BJ516" s="3"/>
      <c r="BK516" s="3"/>
      <c r="BL516" s="3"/>
      <c r="BM516" s="3"/>
      <c r="BN516" s="3" t="s">
        <v>2109</v>
      </c>
    </row>
    <row r="517" spans="2:66" ht="12.95" customHeight="1">
      <c r="B517" s="1382" t="s">
        <v>418</v>
      </c>
      <c r="C517" s="1383"/>
      <c r="D517" s="1383"/>
      <c r="E517" s="1383"/>
      <c r="F517" s="1383"/>
      <c r="G517" s="1383"/>
      <c r="H517" s="1384"/>
      <c r="I517" s="42" t="s">
        <v>415</v>
      </c>
      <c r="J517" s="42"/>
      <c r="K517" s="42"/>
      <c r="L517" s="42"/>
      <c r="M517" s="42"/>
      <c r="N517" s="42"/>
      <c r="O517" s="42"/>
      <c r="P517" s="42"/>
      <c r="Q517" s="42"/>
      <c r="R517" s="42"/>
      <c r="S517" s="42"/>
      <c r="T517" s="42"/>
      <c r="U517" s="42"/>
      <c r="V517" s="42"/>
      <c r="W517" s="42"/>
      <c r="X517" s="42"/>
      <c r="Y517" s="42"/>
      <c r="Z517" s="42"/>
      <c r="AA517" s="42"/>
      <c r="AB517" s="42"/>
      <c r="AC517" s="1357">
        <v>1</v>
      </c>
      <c r="AD517" s="1358"/>
      <c r="AE517" s="1358"/>
      <c r="AF517" s="1358"/>
      <c r="AG517" s="129" t="s">
        <v>403</v>
      </c>
      <c r="AH517" s="1400">
        <v>2025</v>
      </c>
      <c r="AI517" s="1400"/>
      <c r="AJ517" s="1400"/>
      <c r="AK517" s="1401"/>
      <c r="AZ517" s="3"/>
      <c r="BB517" s="3"/>
      <c r="BC517" s="3"/>
      <c r="BD517" s="3"/>
      <c r="BE517" s="3"/>
      <c r="BF517" s="3"/>
      <c r="BG517" s="3"/>
      <c r="BH517" s="3"/>
      <c r="BI517" s="3"/>
      <c r="BJ517" s="3"/>
      <c r="BK517" s="3"/>
      <c r="BL517" s="3"/>
      <c r="BM517" s="3"/>
      <c r="BN517" s="3" t="s">
        <v>2110</v>
      </c>
    </row>
    <row r="518" spans="2:66" ht="12.95" customHeight="1">
      <c r="B518" s="1385"/>
      <c r="C518" s="1386"/>
      <c r="D518" s="1386"/>
      <c r="E518" s="1386"/>
      <c r="F518" s="1386"/>
      <c r="G518" s="1386"/>
      <c r="H518" s="1387"/>
      <c r="I518" t="s">
        <v>416</v>
      </c>
      <c r="AC518" s="1402">
        <v>1</v>
      </c>
      <c r="AD518" s="1369"/>
      <c r="AE518" s="1369"/>
      <c r="AF518" s="1369"/>
      <c r="AG518" s="13" t="s">
        <v>403</v>
      </c>
      <c r="AH518" s="1400">
        <v>2025</v>
      </c>
      <c r="AI518" s="1400"/>
      <c r="AJ518" s="1400"/>
      <c r="AK518" s="1401"/>
      <c r="BB518" s="3"/>
      <c r="BC518" s="3"/>
      <c r="BD518" s="3"/>
      <c r="BE518" s="3"/>
      <c r="BF518" s="3"/>
      <c r="BG518" s="3"/>
      <c r="BH518" s="3"/>
      <c r="BI518" s="3"/>
      <c r="BJ518" s="3"/>
      <c r="BK518" s="3"/>
      <c r="BL518" s="3"/>
      <c r="BM518" s="3"/>
      <c r="BN518" s="3" t="s">
        <v>2111</v>
      </c>
    </row>
    <row r="519" spans="2:66" ht="12.95" customHeight="1">
      <c r="B519" s="1388"/>
      <c r="C519" s="1389"/>
      <c r="D519" s="1389"/>
      <c r="E519" s="1389"/>
      <c r="F519" s="1389"/>
      <c r="G519" s="1389"/>
      <c r="H519" s="1390"/>
      <c r="I519" s="48" t="s">
        <v>417</v>
      </c>
      <c r="J519" s="48"/>
      <c r="K519" s="48"/>
      <c r="L519" s="48"/>
      <c r="M519" s="48"/>
      <c r="N519" s="48"/>
      <c r="O519" s="48"/>
      <c r="P519" s="48"/>
      <c r="Q519" s="48"/>
      <c r="R519" s="48"/>
      <c r="S519" s="48"/>
      <c r="T519" s="48"/>
      <c r="U519" s="48"/>
      <c r="V519" s="48"/>
      <c r="W519" s="48"/>
      <c r="X519" s="48"/>
      <c r="Y519" s="48"/>
      <c r="Z519" s="48"/>
      <c r="AA519" s="48"/>
      <c r="AB519" s="48"/>
      <c r="AC519" s="1402">
        <v>10</v>
      </c>
      <c r="AD519" s="1369"/>
      <c r="AE519" s="1369"/>
      <c r="AF519" s="1369"/>
      <c r="AG519" s="38" t="s">
        <v>403</v>
      </c>
      <c r="AH519" s="1400">
        <v>2025</v>
      </c>
      <c r="AI519" s="1400"/>
      <c r="AJ519" s="1400"/>
      <c r="AK519" s="1401"/>
      <c r="BB519" s="3"/>
      <c r="BC519" s="3"/>
      <c r="BD519" s="3"/>
      <c r="BE519" s="3"/>
      <c r="BF519" s="3"/>
      <c r="BG519" s="3"/>
      <c r="BH519" s="3"/>
      <c r="BI519" s="3"/>
      <c r="BJ519" s="3"/>
      <c r="BK519" s="3"/>
      <c r="BL519" s="3"/>
      <c r="BM519" s="3"/>
      <c r="BN519" s="3" t="s">
        <v>2112</v>
      </c>
    </row>
    <row r="520" spans="2:66" ht="12.95" customHeight="1">
      <c r="B520" s="1382" t="s">
        <v>419</v>
      </c>
      <c r="C520" s="1383"/>
      <c r="D520" s="1383"/>
      <c r="E520" s="1383"/>
      <c r="F520" s="1383"/>
      <c r="G520" s="1383"/>
      <c r="H520" s="1384"/>
      <c r="I520" s="41" t="s">
        <v>420</v>
      </c>
      <c r="J520" s="42"/>
      <c r="K520" s="42"/>
      <c r="L520" s="42"/>
      <c r="M520" s="42"/>
      <c r="N520" s="42"/>
      <c r="O520" s="1457" t="s">
        <v>334</v>
      </c>
      <c r="P520" s="1458"/>
      <c r="Q520" s="1458"/>
      <c r="R520" s="1458"/>
      <c r="S520" s="1458"/>
      <c r="T520" s="1458"/>
      <c r="U520" s="1458"/>
      <c r="V520" s="1458"/>
      <c r="W520" s="1458"/>
      <c r="X520" s="1458"/>
      <c r="Y520" s="1458"/>
      <c r="Z520" s="1458"/>
      <c r="AA520" s="1458"/>
      <c r="AB520" s="58"/>
      <c r="AC520" s="1357" t="s">
        <v>591</v>
      </c>
      <c r="AD520" s="1358"/>
      <c r="AE520" s="1358"/>
      <c r="AF520" s="1358"/>
      <c r="AG520" s="129" t="s">
        <v>403</v>
      </c>
      <c r="AH520" s="1400"/>
      <c r="AI520" s="1400"/>
      <c r="AJ520" s="1400"/>
      <c r="AK520" s="1401"/>
      <c r="AZ520" s="3"/>
      <c r="BB520" s="3"/>
      <c r="BC520" s="3"/>
      <c r="BD520" s="3"/>
      <c r="BE520" s="3"/>
      <c r="BF520" s="3"/>
      <c r="BG520" s="3"/>
      <c r="BH520" s="3"/>
      <c r="BI520" s="3"/>
      <c r="BJ520" s="3"/>
      <c r="BK520" s="3"/>
      <c r="BL520" s="3"/>
      <c r="BM520" s="3"/>
      <c r="BN520" s="3" t="s">
        <v>2113</v>
      </c>
    </row>
    <row r="521" spans="2:66" ht="12.95" customHeight="1">
      <c r="B521" s="1385"/>
      <c r="C521" s="1386"/>
      <c r="D521" s="1386"/>
      <c r="E521" s="1386"/>
      <c r="F521" s="1386"/>
      <c r="G521" s="1386"/>
      <c r="H521" s="1387"/>
      <c r="I521" s="114" t="s">
        <v>421</v>
      </c>
      <c r="AB521" s="65"/>
      <c r="AC521" s="1402" t="s">
        <v>591</v>
      </c>
      <c r="AD521" s="1369"/>
      <c r="AE521" s="1369"/>
      <c r="AF521" s="1369"/>
      <c r="AG521" s="13" t="s">
        <v>403</v>
      </c>
      <c r="AH521" s="1400"/>
      <c r="AI521" s="1400"/>
      <c r="AJ521" s="1400"/>
      <c r="AK521" s="1401"/>
      <c r="AZ521" s="3"/>
      <c r="BB521" s="3"/>
      <c r="BC521" s="3"/>
      <c r="BD521" s="3"/>
      <c r="BE521" s="3"/>
      <c r="BF521" s="3"/>
      <c r="BG521" s="3"/>
      <c r="BH521" s="3"/>
      <c r="BI521" s="3"/>
      <c r="BJ521" s="3"/>
      <c r="BK521" s="3"/>
      <c r="BL521" s="3"/>
      <c r="BM521" s="3"/>
      <c r="BN521" s="3" t="s">
        <v>2114</v>
      </c>
    </row>
    <row r="522" spans="2:66" ht="12.95" customHeight="1">
      <c r="B522" s="1385"/>
      <c r="C522" s="1386"/>
      <c r="D522" s="1386"/>
      <c r="E522" s="1386"/>
      <c r="F522" s="1386"/>
      <c r="G522" s="1386"/>
      <c r="H522" s="1387"/>
      <c r="I522" s="47" t="s">
        <v>422</v>
      </c>
      <c r="J522" s="48"/>
      <c r="K522" s="48"/>
      <c r="L522" s="48"/>
      <c r="M522" s="48"/>
      <c r="N522" s="48"/>
      <c r="O522" s="48"/>
      <c r="P522" s="48"/>
      <c r="Q522" s="48"/>
      <c r="R522" s="48"/>
      <c r="S522" s="48"/>
      <c r="T522" s="48"/>
      <c r="U522" s="48"/>
      <c r="V522" s="48"/>
      <c r="W522" s="48"/>
      <c r="X522" s="48"/>
      <c r="Y522" s="48"/>
      <c r="Z522" s="48"/>
      <c r="AA522" s="48"/>
      <c r="AB522" s="49"/>
      <c r="AC522" s="1402" t="s">
        <v>591</v>
      </c>
      <c r="AD522" s="1369"/>
      <c r="AE522" s="1369"/>
      <c r="AF522" s="1369"/>
      <c r="AG522" s="38" t="s">
        <v>403</v>
      </c>
      <c r="AH522" s="1400"/>
      <c r="AI522" s="1400"/>
      <c r="AJ522" s="1400"/>
      <c r="AK522" s="1401"/>
      <c r="AZ522" s="3"/>
      <c r="BA522" s="3"/>
      <c r="BB522" s="3"/>
      <c r="BC522" s="3"/>
      <c r="BD522" s="3"/>
      <c r="BE522" s="3"/>
      <c r="BF522" s="3"/>
      <c r="BG522" s="3"/>
      <c r="BH522" s="3"/>
      <c r="BI522" s="3"/>
      <c r="BJ522" s="3"/>
      <c r="BK522" s="3"/>
      <c r="BL522" s="3"/>
      <c r="BM522" s="3"/>
      <c r="BN522" s="3" t="s">
        <v>2115</v>
      </c>
    </row>
    <row r="523" spans="2:66" ht="12.95" customHeight="1">
      <c r="B523" s="1385"/>
      <c r="C523" s="1386"/>
      <c r="D523" s="1386"/>
      <c r="E523" s="1386"/>
      <c r="F523" s="1386"/>
      <c r="G523" s="1386"/>
      <c r="H523" s="1387"/>
      <c r="I523" s="42" t="s">
        <v>423</v>
      </c>
      <c r="J523" s="42"/>
      <c r="K523" s="42"/>
      <c r="L523" s="42"/>
      <c r="M523" s="42"/>
      <c r="N523" s="42"/>
      <c r="O523" s="1457" t="s">
        <v>334</v>
      </c>
      <c r="P523" s="1458"/>
      <c r="Q523" s="1458"/>
      <c r="R523" s="1458"/>
      <c r="S523" s="1458"/>
      <c r="T523" s="1458"/>
      <c r="U523" s="1458"/>
      <c r="V523" s="1458"/>
      <c r="W523" s="1458"/>
      <c r="X523" s="1458"/>
      <c r="Y523" s="1458"/>
      <c r="Z523" s="1458"/>
      <c r="AA523" s="1458"/>
      <c r="AC523" s="1402" t="s">
        <v>591</v>
      </c>
      <c r="AD523" s="1369"/>
      <c r="AE523" s="1369"/>
      <c r="AF523" s="1369"/>
      <c r="AG523" s="13" t="s">
        <v>403</v>
      </c>
      <c r="AH523" s="1400"/>
      <c r="AI523" s="1400"/>
      <c r="AJ523" s="1400"/>
      <c r="AK523" s="1401"/>
      <c r="AZ523" s="3"/>
      <c r="BA523" s="3"/>
      <c r="BB523" s="3"/>
      <c r="BC523" s="3"/>
      <c r="BD523" s="3"/>
      <c r="BE523" s="3"/>
      <c r="BF523" s="3"/>
      <c r="BG523" s="3"/>
      <c r="BH523" s="3"/>
      <c r="BI523" s="3"/>
      <c r="BJ523" s="3"/>
      <c r="BK523" s="3"/>
      <c r="BL523" s="3"/>
      <c r="BM523" s="3"/>
      <c r="BN523" s="3" t="s">
        <v>2116</v>
      </c>
    </row>
    <row r="524" spans="2:66" ht="12.95" customHeight="1">
      <c r="B524" s="1385"/>
      <c r="C524" s="1386"/>
      <c r="D524" s="1386"/>
      <c r="E524" s="1386"/>
      <c r="F524" s="1386"/>
      <c r="G524" s="1386"/>
      <c r="H524" s="1387"/>
      <c r="I524" t="s">
        <v>421</v>
      </c>
      <c r="AC524" s="1402" t="s">
        <v>591</v>
      </c>
      <c r="AD524" s="1369"/>
      <c r="AE524" s="1369"/>
      <c r="AF524" s="1369"/>
      <c r="AG524" s="13" t="s">
        <v>403</v>
      </c>
      <c r="AH524" s="1400"/>
      <c r="AI524" s="1400"/>
      <c r="AJ524" s="1400"/>
      <c r="AK524" s="1401"/>
      <c r="AZ524" s="3"/>
      <c r="BA524" s="3"/>
      <c r="BB524" s="3"/>
      <c r="BC524" s="3"/>
      <c r="BD524" s="3"/>
      <c r="BE524" s="3"/>
      <c r="BF524" s="3"/>
      <c r="BG524" s="3"/>
      <c r="BH524" s="3"/>
      <c r="BI524" s="3"/>
      <c r="BJ524" s="3"/>
      <c r="BK524" s="3"/>
      <c r="BL524" s="3"/>
      <c r="BM524" s="3"/>
      <c r="BN524" s="3" t="s">
        <v>2117</v>
      </c>
    </row>
    <row r="525" spans="2:66" ht="12.95" customHeight="1">
      <c r="B525" s="1385"/>
      <c r="C525" s="1386"/>
      <c r="D525" s="1386"/>
      <c r="E525" s="1386"/>
      <c r="F525" s="1386"/>
      <c r="G525" s="1386"/>
      <c r="H525" s="1387"/>
      <c r="I525" s="48" t="s">
        <v>422</v>
      </c>
      <c r="J525" s="48"/>
      <c r="K525" s="48"/>
      <c r="L525" s="48"/>
      <c r="M525" s="48"/>
      <c r="N525" s="48"/>
      <c r="O525" s="48"/>
      <c r="P525" s="48"/>
      <c r="Q525" s="48"/>
      <c r="R525" s="48"/>
      <c r="S525" s="48"/>
      <c r="T525" s="48"/>
      <c r="U525" s="48"/>
      <c r="V525" s="48"/>
      <c r="W525" s="48"/>
      <c r="X525" s="48"/>
      <c r="Y525" s="48"/>
      <c r="Z525" s="48"/>
      <c r="AA525" s="48"/>
      <c r="AB525" s="48"/>
      <c r="AC525" s="1402" t="s">
        <v>591</v>
      </c>
      <c r="AD525" s="1369"/>
      <c r="AE525" s="1369"/>
      <c r="AF525" s="1369"/>
      <c r="AG525" s="38" t="s">
        <v>403</v>
      </c>
      <c r="AH525" s="1400"/>
      <c r="AI525" s="1400"/>
      <c r="AJ525" s="1400"/>
      <c r="AK525" s="1401"/>
      <c r="AZ525" s="3"/>
      <c r="BA525" s="3"/>
      <c r="BB525" s="3"/>
      <c r="BC525" s="3"/>
      <c r="BD525" s="3"/>
      <c r="BE525" s="3"/>
      <c r="BF525" s="3"/>
      <c r="BG525" s="3"/>
      <c r="BH525" s="3"/>
      <c r="BI525" s="3"/>
      <c r="BJ525" s="3"/>
      <c r="BK525" s="3"/>
      <c r="BL525" s="3"/>
      <c r="BM525" s="3"/>
      <c r="BN525" s="3" t="s">
        <v>2118</v>
      </c>
    </row>
    <row r="526" spans="2:66" ht="12.95" customHeight="1">
      <c r="B526" s="1385"/>
      <c r="C526" s="1386"/>
      <c r="D526" s="1386"/>
      <c r="E526" s="1386"/>
      <c r="F526" s="1386"/>
      <c r="G526" s="1386"/>
      <c r="H526" s="1387"/>
      <c r="I526" s="42" t="s">
        <v>423</v>
      </c>
      <c r="J526" s="42"/>
      <c r="K526" s="42"/>
      <c r="L526" s="42"/>
      <c r="M526" s="42"/>
      <c r="N526" s="42"/>
      <c r="O526" s="1457" t="s">
        <v>334</v>
      </c>
      <c r="P526" s="1458"/>
      <c r="Q526" s="1458"/>
      <c r="R526" s="1458"/>
      <c r="S526" s="1458"/>
      <c r="T526" s="1458"/>
      <c r="U526" s="1458"/>
      <c r="V526" s="1458"/>
      <c r="W526" s="1458"/>
      <c r="X526" s="1458"/>
      <c r="Y526" s="1458"/>
      <c r="Z526" s="1458"/>
      <c r="AA526" s="1458"/>
      <c r="AC526" s="1402" t="s">
        <v>591</v>
      </c>
      <c r="AD526" s="1369"/>
      <c r="AE526" s="1369"/>
      <c r="AF526" s="1369"/>
      <c r="AG526" s="13" t="s">
        <v>403</v>
      </c>
      <c r="AH526" s="1400"/>
      <c r="AI526" s="1400"/>
      <c r="AJ526" s="1400"/>
      <c r="AK526" s="1401"/>
      <c r="AZ526" s="3"/>
      <c r="BA526" s="3"/>
      <c r="BB526" s="3"/>
      <c r="BC526" s="3"/>
      <c r="BD526" s="3"/>
      <c r="BE526" s="3"/>
      <c r="BF526" s="3"/>
      <c r="BG526" s="3"/>
      <c r="BH526" s="3"/>
      <c r="BI526" s="3"/>
      <c r="BJ526" s="3"/>
      <c r="BK526" s="3"/>
      <c r="BL526" s="3"/>
      <c r="BM526" s="3"/>
      <c r="BN526" s="3" t="s">
        <v>2119</v>
      </c>
    </row>
    <row r="527" spans="2:66" ht="12.95" customHeight="1">
      <c r="B527" s="1385"/>
      <c r="C527" s="1386"/>
      <c r="D527" s="1386"/>
      <c r="E527" s="1386"/>
      <c r="F527" s="1386"/>
      <c r="G527" s="1386"/>
      <c r="H527" s="1387"/>
      <c r="I527" t="s">
        <v>421</v>
      </c>
      <c r="AC527" s="1402" t="s">
        <v>591</v>
      </c>
      <c r="AD527" s="1369"/>
      <c r="AE527" s="1369"/>
      <c r="AF527" s="1369"/>
      <c r="AG527" s="13" t="s">
        <v>403</v>
      </c>
      <c r="AH527" s="1400"/>
      <c r="AI527" s="1400"/>
      <c r="AJ527" s="1400"/>
      <c r="AK527" s="1401"/>
      <c r="AZ527" s="3"/>
      <c r="BA527" s="3"/>
      <c r="BB527" s="3"/>
      <c r="BC527" s="3"/>
      <c r="BD527" s="3"/>
      <c r="BE527" s="3"/>
      <c r="BF527" s="3"/>
      <c r="BG527" s="3"/>
      <c r="BH527" s="3"/>
      <c r="BI527" s="3"/>
      <c r="BJ527" s="3"/>
      <c r="BK527" s="3"/>
      <c r="BL527" s="3"/>
      <c r="BM527" s="3"/>
      <c r="BN527" s="3" t="s">
        <v>2120</v>
      </c>
    </row>
    <row r="528" spans="2:66" ht="12.95" customHeight="1">
      <c r="B528" s="1385"/>
      <c r="C528" s="1386"/>
      <c r="D528" s="1386"/>
      <c r="E528" s="1386"/>
      <c r="F528" s="1386"/>
      <c r="G528" s="1386"/>
      <c r="H528" s="1387"/>
      <c r="I528" s="48" t="s">
        <v>422</v>
      </c>
      <c r="J528" s="48"/>
      <c r="K528" s="48"/>
      <c r="L528" s="48"/>
      <c r="M528" s="48"/>
      <c r="N528" s="48"/>
      <c r="O528" s="48"/>
      <c r="P528" s="48"/>
      <c r="Q528" s="48"/>
      <c r="R528" s="48"/>
      <c r="S528" s="48"/>
      <c r="T528" s="48"/>
      <c r="U528" s="48"/>
      <c r="V528" s="48"/>
      <c r="W528" s="48"/>
      <c r="X528" s="48"/>
      <c r="Y528" s="48"/>
      <c r="Z528" s="48"/>
      <c r="AA528" s="48"/>
      <c r="AB528" s="48"/>
      <c r="AC528" s="1402" t="s">
        <v>591</v>
      </c>
      <c r="AD528" s="1369"/>
      <c r="AE528" s="1369"/>
      <c r="AF528" s="1369"/>
      <c r="AG528" s="38" t="s">
        <v>403</v>
      </c>
      <c r="AH528" s="1400"/>
      <c r="AI528" s="1400"/>
      <c r="AJ528" s="1400"/>
      <c r="AK528" s="1401"/>
      <c r="AZ528" s="3"/>
      <c r="BA528" s="3"/>
      <c r="BB528" s="3"/>
      <c r="BC528" s="3"/>
      <c r="BD528" s="3"/>
      <c r="BE528" s="3"/>
      <c r="BF528" s="3"/>
      <c r="BG528" s="3"/>
      <c r="BH528" s="3"/>
      <c r="BI528" s="3"/>
      <c r="BJ528" s="3"/>
      <c r="BK528" s="3"/>
      <c r="BL528" s="3"/>
      <c r="BM528" s="3"/>
      <c r="BN528" s="3" t="s">
        <v>2121</v>
      </c>
    </row>
    <row r="529" spans="1:66" ht="12.95" customHeight="1">
      <c r="B529" s="1385"/>
      <c r="C529" s="1386"/>
      <c r="D529" s="1386"/>
      <c r="E529" s="1386"/>
      <c r="F529" s="1386"/>
      <c r="G529" s="1386"/>
      <c r="H529" s="1387"/>
      <c r="I529" s="42" t="s">
        <v>423</v>
      </c>
      <c r="J529" s="42"/>
      <c r="K529" s="42"/>
      <c r="L529" s="42"/>
      <c r="M529" s="42"/>
      <c r="N529" s="42"/>
      <c r="O529" s="1457" t="s">
        <v>334</v>
      </c>
      <c r="P529" s="1458"/>
      <c r="Q529" s="1458"/>
      <c r="R529" s="1458"/>
      <c r="S529" s="1458"/>
      <c r="T529" s="1458"/>
      <c r="U529" s="1458"/>
      <c r="V529" s="1458"/>
      <c r="W529" s="1458"/>
      <c r="X529" s="1458"/>
      <c r="Y529" s="1458"/>
      <c r="Z529" s="1458"/>
      <c r="AA529" s="1458"/>
      <c r="AC529" s="1402" t="s">
        <v>591</v>
      </c>
      <c r="AD529" s="1369"/>
      <c r="AE529" s="1369"/>
      <c r="AF529" s="1369"/>
      <c r="AG529" s="13" t="s">
        <v>403</v>
      </c>
      <c r="AH529" s="1400"/>
      <c r="AI529" s="1400"/>
      <c r="AJ529" s="1400"/>
      <c r="AK529" s="1401"/>
      <c r="AZ529" s="3"/>
      <c r="BA529" s="3"/>
      <c r="BB529" s="3"/>
      <c r="BC529" s="3"/>
      <c r="BD529" s="3"/>
      <c r="BE529" s="3"/>
      <c r="BF529" s="3"/>
      <c r="BG529" s="3"/>
      <c r="BH529" s="3"/>
      <c r="BI529" s="3"/>
      <c r="BJ529" s="3"/>
      <c r="BK529" s="3"/>
      <c r="BL529" s="3"/>
      <c r="BM529" s="3"/>
      <c r="BN529" s="3" t="s">
        <v>2122</v>
      </c>
    </row>
    <row r="530" spans="1:66" ht="12.95" customHeight="1">
      <c r="B530" s="1385"/>
      <c r="C530" s="1386"/>
      <c r="D530" s="1386"/>
      <c r="E530" s="1386"/>
      <c r="F530" s="1386"/>
      <c r="G530" s="1386"/>
      <c r="H530" s="1387"/>
      <c r="I530" t="s">
        <v>421</v>
      </c>
      <c r="AC530" s="1402" t="s">
        <v>591</v>
      </c>
      <c r="AD530" s="1369"/>
      <c r="AE530" s="1369"/>
      <c r="AF530" s="1369"/>
      <c r="AG530" s="13" t="s">
        <v>403</v>
      </c>
      <c r="AH530" s="1400"/>
      <c r="AI530" s="1400"/>
      <c r="AJ530" s="1400"/>
      <c r="AK530" s="1401"/>
      <c r="AZ530" s="3"/>
      <c r="BA530" s="3"/>
      <c r="BB530" s="3"/>
      <c r="BC530" s="3"/>
      <c r="BD530" s="3"/>
      <c r="BE530" s="3"/>
      <c r="BF530" s="3"/>
      <c r="BG530" s="3"/>
      <c r="BH530" s="3"/>
      <c r="BI530" s="3"/>
      <c r="BJ530" s="3"/>
      <c r="BK530" s="3"/>
      <c r="BL530" s="3"/>
      <c r="BM530" s="3"/>
      <c r="BN530" s="3" t="s">
        <v>2123</v>
      </c>
    </row>
    <row r="531" spans="1:66" ht="12.95" customHeight="1">
      <c r="B531" s="1385"/>
      <c r="C531" s="1386"/>
      <c r="D531" s="1386"/>
      <c r="E531" s="1386"/>
      <c r="F531" s="1386"/>
      <c r="G531" s="1386"/>
      <c r="H531" s="1387"/>
      <c r="I531" s="48" t="s">
        <v>422</v>
      </c>
      <c r="J531" s="48"/>
      <c r="K531" s="48"/>
      <c r="L531" s="48"/>
      <c r="M531" s="48"/>
      <c r="N531" s="48"/>
      <c r="O531" s="48"/>
      <c r="P531" s="48"/>
      <c r="Q531" s="48"/>
      <c r="R531" s="48"/>
      <c r="S531" s="48"/>
      <c r="T531" s="48"/>
      <c r="U531" s="48"/>
      <c r="V531" s="48"/>
      <c r="W531" s="48"/>
      <c r="X531" s="48"/>
      <c r="Y531" s="48"/>
      <c r="Z531" s="48"/>
      <c r="AA531" s="48"/>
      <c r="AB531" s="48"/>
      <c r="AC531" s="1402" t="s">
        <v>591</v>
      </c>
      <c r="AD531" s="1369"/>
      <c r="AE531" s="1369"/>
      <c r="AF531" s="1369"/>
      <c r="AG531" s="38" t="s">
        <v>403</v>
      </c>
      <c r="AH531" s="1400"/>
      <c r="AI531" s="1400"/>
      <c r="AJ531" s="1400"/>
      <c r="AK531" s="1401"/>
      <c r="AZ531" s="3"/>
      <c r="BA531" s="3"/>
      <c r="BB531" s="3"/>
      <c r="BC531" s="3"/>
      <c r="BD531" s="3"/>
      <c r="BE531" s="3"/>
      <c r="BF531" s="3"/>
      <c r="BG531" s="3"/>
      <c r="BH531" s="3"/>
      <c r="BI531" s="3"/>
      <c r="BJ531" s="3"/>
      <c r="BK531" s="3"/>
      <c r="BL531" s="3"/>
      <c r="BM531" s="3"/>
      <c r="BN531" s="3" t="s">
        <v>2124</v>
      </c>
    </row>
    <row r="532" spans="1:66" ht="12.95" customHeight="1">
      <c r="B532" s="1385"/>
      <c r="C532" s="1386"/>
      <c r="D532" s="1386"/>
      <c r="E532" s="1386"/>
      <c r="F532" s="1386"/>
      <c r="G532" s="1386"/>
      <c r="H532" s="1387"/>
      <c r="I532" s="42" t="s">
        <v>423</v>
      </c>
      <c r="J532" s="42"/>
      <c r="K532" s="42"/>
      <c r="L532" s="42"/>
      <c r="M532" s="42"/>
      <c r="N532" s="42"/>
      <c r="O532" s="1457" t="s">
        <v>334</v>
      </c>
      <c r="P532" s="1458"/>
      <c r="Q532" s="1458"/>
      <c r="R532" s="1458"/>
      <c r="S532" s="1458"/>
      <c r="T532" s="1458"/>
      <c r="U532" s="1458"/>
      <c r="V532" s="1458"/>
      <c r="W532" s="1458"/>
      <c r="X532" s="1458"/>
      <c r="Y532" s="1458"/>
      <c r="Z532" s="1458"/>
      <c r="AA532" s="1458"/>
      <c r="AC532" s="1402" t="s">
        <v>591</v>
      </c>
      <c r="AD532" s="1369"/>
      <c r="AE532" s="1369"/>
      <c r="AF532" s="1369"/>
      <c r="AG532" s="13" t="s">
        <v>403</v>
      </c>
      <c r="AH532" s="1400"/>
      <c r="AI532" s="1400"/>
      <c r="AJ532" s="1400"/>
      <c r="AK532" s="1401"/>
      <c r="AZ532" s="3"/>
      <c r="BA532" s="3"/>
      <c r="BB532" s="3"/>
      <c r="BC532" s="3"/>
      <c r="BD532" s="3"/>
      <c r="BE532" s="3"/>
      <c r="BF532" s="3"/>
      <c r="BG532" s="3"/>
      <c r="BH532" s="3"/>
      <c r="BI532" s="3"/>
      <c r="BJ532" s="3"/>
      <c r="BK532" s="3"/>
      <c r="BL532" s="3"/>
      <c r="BM532" s="3"/>
      <c r="BN532" s="3" t="s">
        <v>2125</v>
      </c>
    </row>
    <row r="533" spans="1:66" ht="12.95" customHeight="1">
      <c r="B533" s="1385"/>
      <c r="C533" s="1386"/>
      <c r="D533" s="1386"/>
      <c r="E533" s="1386"/>
      <c r="F533" s="1386"/>
      <c r="G533" s="1386"/>
      <c r="H533" s="1387"/>
      <c r="I533" t="s">
        <v>421</v>
      </c>
      <c r="AC533" s="1402" t="s">
        <v>591</v>
      </c>
      <c r="AD533" s="1369"/>
      <c r="AE533" s="1369"/>
      <c r="AF533" s="1369"/>
      <c r="AG533" s="38" t="s">
        <v>403</v>
      </c>
      <c r="AH533" s="1400"/>
      <c r="AI533" s="1400"/>
      <c r="AJ533" s="1400"/>
      <c r="AK533" s="1401"/>
      <c r="AZ533" s="3"/>
      <c r="BA533" s="3"/>
      <c r="BB533" s="3"/>
      <c r="BC533" s="3"/>
      <c r="BD533" s="3"/>
      <c r="BE533" s="3"/>
      <c r="BF533" s="3"/>
      <c r="BG533" s="3"/>
      <c r="BH533" s="3"/>
      <c r="BI533" s="3"/>
      <c r="BJ533" s="3"/>
      <c r="BK533" s="3"/>
      <c r="BL533" s="3"/>
      <c r="BM533" s="3"/>
      <c r="BN533" s="3" t="s">
        <v>2126</v>
      </c>
    </row>
    <row r="534" spans="1:66" ht="12.95" customHeight="1">
      <c r="B534" s="1385"/>
      <c r="C534" s="1386"/>
      <c r="D534" s="1386"/>
      <c r="E534" s="1386"/>
      <c r="F534" s="1386"/>
      <c r="G534" s="1386"/>
      <c r="H534" s="1387"/>
      <c r="I534" s="48" t="s">
        <v>422</v>
      </c>
      <c r="J534" s="48"/>
      <c r="K534" s="48"/>
      <c r="L534" s="48"/>
      <c r="M534" s="48"/>
      <c r="N534" s="48"/>
      <c r="O534" s="48"/>
      <c r="P534" s="48"/>
      <c r="Q534" s="48"/>
      <c r="R534" s="48"/>
      <c r="S534" s="48"/>
      <c r="T534" s="48"/>
      <c r="U534" s="48"/>
      <c r="V534" s="48"/>
      <c r="W534" s="48"/>
      <c r="X534" s="48"/>
      <c r="Y534" s="48"/>
      <c r="Z534" s="48"/>
      <c r="AA534" s="48"/>
      <c r="AB534" s="48"/>
      <c r="AC534" s="1402" t="s">
        <v>591</v>
      </c>
      <c r="AD534" s="1369"/>
      <c r="AE534" s="1369"/>
      <c r="AF534" s="1369"/>
      <c r="AG534" s="13" t="s">
        <v>403</v>
      </c>
      <c r="AH534" s="1400"/>
      <c r="AI534" s="1400"/>
      <c r="AJ534" s="1400"/>
      <c r="AK534" s="1401"/>
      <c r="AZ534" s="3"/>
      <c r="BA534" s="3"/>
      <c r="BB534" s="3"/>
      <c r="BC534" s="3"/>
      <c r="BD534" s="3"/>
      <c r="BE534" s="3"/>
      <c r="BF534" s="3"/>
      <c r="BG534" s="3"/>
      <c r="BH534" s="3"/>
      <c r="BI534" s="3"/>
      <c r="BJ534" s="3"/>
      <c r="BK534" s="3"/>
      <c r="BL534" s="3"/>
      <c r="BM534" s="3"/>
      <c r="BN534" s="3" t="s">
        <v>2127</v>
      </c>
    </row>
    <row r="535" spans="1:66" ht="12.95" customHeight="1">
      <c r="B535" s="1385"/>
      <c r="C535" s="1386"/>
      <c r="D535" s="1386"/>
      <c r="E535" s="1386"/>
      <c r="F535" s="1386"/>
      <c r="G535" s="1386"/>
      <c r="H535" s="1387"/>
      <c r="I535" s="42" t="s">
        <v>423</v>
      </c>
      <c r="J535" s="42"/>
      <c r="K535" s="42"/>
      <c r="L535" s="42"/>
      <c r="M535" s="42"/>
      <c r="N535" s="42"/>
      <c r="O535" s="1457" t="s">
        <v>334</v>
      </c>
      <c r="P535" s="1458"/>
      <c r="Q535" s="1458"/>
      <c r="R535" s="1458"/>
      <c r="S535" s="1458"/>
      <c r="T535" s="1458"/>
      <c r="U535" s="1458"/>
      <c r="V535" s="1458"/>
      <c r="W535" s="1458"/>
      <c r="X535" s="1458"/>
      <c r="Y535" s="1458"/>
      <c r="Z535" s="1458"/>
      <c r="AA535" s="1458"/>
      <c r="AC535" s="1402" t="s">
        <v>591</v>
      </c>
      <c r="AD535" s="1369"/>
      <c r="AE535" s="1369"/>
      <c r="AF535" s="1369"/>
      <c r="AG535" s="38" t="s">
        <v>403</v>
      </c>
      <c r="AH535" s="1400"/>
      <c r="AI535" s="1400"/>
      <c r="AJ535" s="1400"/>
      <c r="AK535" s="1401"/>
      <c r="AZ535" s="3"/>
      <c r="BA535" s="3"/>
      <c r="BB535" s="3"/>
      <c r="BC535" s="3"/>
      <c r="BD535" s="3"/>
      <c r="BE535" s="3"/>
      <c r="BF535" s="3"/>
      <c r="BG535" s="3"/>
      <c r="BH535" s="3"/>
      <c r="BI535" s="3"/>
      <c r="BJ535" s="3"/>
      <c r="BK535" s="3"/>
      <c r="BL535" s="3"/>
      <c r="BM535" s="3"/>
      <c r="BN535" s="3" t="s">
        <v>2128</v>
      </c>
    </row>
    <row r="536" spans="1:66" ht="12.95" customHeight="1">
      <c r="B536" s="1385"/>
      <c r="C536" s="1386"/>
      <c r="D536" s="1386"/>
      <c r="E536" s="1386"/>
      <c r="F536" s="1386"/>
      <c r="G536" s="1386"/>
      <c r="H536" s="1387"/>
      <c r="I536" t="s">
        <v>421</v>
      </c>
      <c r="AC536" s="1402" t="s">
        <v>591</v>
      </c>
      <c r="AD536" s="1369"/>
      <c r="AE536" s="1369"/>
      <c r="AF536" s="1369"/>
      <c r="AG536" s="13" t="s">
        <v>403</v>
      </c>
      <c r="AH536" s="1400"/>
      <c r="AI536" s="1400"/>
      <c r="AJ536" s="1400"/>
      <c r="AK536" s="1401"/>
      <c r="AZ536" s="3"/>
      <c r="BA536" s="3"/>
      <c r="BB536" s="3"/>
      <c r="BC536" s="3"/>
      <c r="BD536" s="3"/>
      <c r="BE536" s="3"/>
      <c r="BF536" s="3"/>
      <c r="BG536" s="3"/>
      <c r="BH536" s="3"/>
      <c r="BI536" s="3"/>
      <c r="BJ536" s="3"/>
      <c r="BK536" s="3"/>
      <c r="BL536" s="3"/>
      <c r="BM536" s="3"/>
      <c r="BN536" s="3" t="s">
        <v>2129</v>
      </c>
    </row>
    <row r="537" spans="1:66" ht="12.95" customHeight="1">
      <c r="B537" s="1385"/>
      <c r="C537" s="1386"/>
      <c r="D537" s="1386"/>
      <c r="E537" s="1386"/>
      <c r="F537" s="1386"/>
      <c r="G537" s="1386"/>
      <c r="H537" s="1387"/>
      <c r="I537" s="48" t="s">
        <v>422</v>
      </c>
      <c r="J537" s="48"/>
      <c r="K537" s="48"/>
      <c r="L537" s="48"/>
      <c r="M537" s="48"/>
      <c r="N537" s="48"/>
      <c r="O537" s="48"/>
      <c r="P537" s="48"/>
      <c r="Q537" s="48"/>
      <c r="R537" s="48"/>
      <c r="S537" s="48"/>
      <c r="T537" s="48"/>
      <c r="U537" s="48"/>
      <c r="V537" s="48"/>
      <c r="W537" s="48"/>
      <c r="X537" s="48"/>
      <c r="Y537" s="48"/>
      <c r="Z537" s="48"/>
      <c r="AA537" s="48"/>
      <c r="AB537" s="48"/>
      <c r="AC537" s="1402" t="s">
        <v>591</v>
      </c>
      <c r="AD537" s="1369"/>
      <c r="AE537" s="1369"/>
      <c r="AF537" s="1369"/>
      <c r="AG537" s="38" t="s">
        <v>403</v>
      </c>
      <c r="AH537" s="1400"/>
      <c r="AI537" s="1400"/>
      <c r="AJ537" s="1400"/>
      <c r="AK537" s="1401"/>
      <c r="AZ537" s="3"/>
      <c r="BA537" s="3"/>
      <c r="BB537" s="3"/>
      <c r="BC537" s="3"/>
      <c r="BD537" s="3"/>
      <c r="BE537" s="3"/>
      <c r="BF537" s="3"/>
      <c r="BG537" s="3"/>
      <c r="BH537" s="3"/>
      <c r="BI537" s="3"/>
      <c r="BJ537" s="3"/>
      <c r="BK537" s="3"/>
      <c r="BL537" s="3"/>
      <c r="BM537" s="3"/>
      <c r="BN537" s="3" t="s">
        <v>2130</v>
      </c>
    </row>
    <row r="538" spans="1:66" ht="12.95" customHeight="1">
      <c r="B538" s="1385"/>
      <c r="C538" s="1386"/>
      <c r="D538" s="1386"/>
      <c r="E538" s="1386"/>
      <c r="F538" s="1386"/>
      <c r="G538" s="1386"/>
      <c r="H538" s="1387"/>
      <c r="I538" s="42" t="s">
        <v>562</v>
      </c>
      <c r="J538" s="42"/>
      <c r="K538" s="42"/>
      <c r="L538" s="42"/>
      <c r="M538" s="42"/>
      <c r="N538" s="42"/>
      <c r="O538" s="42"/>
      <c r="P538" s="42"/>
      <c r="Q538" s="42"/>
      <c r="R538" s="42"/>
      <c r="S538" s="42"/>
      <c r="T538" s="42"/>
      <c r="U538" s="42"/>
      <c r="V538" s="42"/>
      <c r="W538" s="42"/>
      <c r="AC538" s="1402">
        <v>1</v>
      </c>
      <c r="AD538" s="1369"/>
      <c r="AE538" s="1369"/>
      <c r="AF538" s="1369"/>
      <c r="AG538" s="38" t="s">
        <v>403</v>
      </c>
      <c r="AH538" s="1400">
        <v>2026</v>
      </c>
      <c r="AI538" s="1400"/>
      <c r="AJ538" s="1400"/>
      <c r="AK538" s="1401"/>
      <c r="AZ538" s="3"/>
      <c r="BA538" s="3"/>
      <c r="BB538" s="3"/>
      <c r="BC538" s="3"/>
      <c r="BD538" s="3"/>
      <c r="BE538" s="3"/>
      <c r="BF538" s="3"/>
      <c r="BG538" s="3"/>
      <c r="BH538" s="3"/>
      <c r="BI538" s="3"/>
      <c r="BJ538" s="3"/>
      <c r="BK538" s="3"/>
      <c r="BL538" s="3"/>
      <c r="BM538" s="3"/>
      <c r="BN538" s="3"/>
    </row>
    <row r="539" spans="1:66" ht="12.95" customHeight="1">
      <c r="B539" s="1385"/>
      <c r="C539" s="1386"/>
      <c r="D539" s="1386"/>
      <c r="E539" s="1386"/>
      <c r="F539" s="1386"/>
      <c r="G539" s="1386"/>
      <c r="H539" s="1387"/>
      <c r="I539" t="s">
        <v>563</v>
      </c>
      <c r="AC539" s="1402">
        <v>10</v>
      </c>
      <c r="AD539" s="1369"/>
      <c r="AE539" s="1369"/>
      <c r="AF539" s="1369"/>
      <c r="AG539" s="13" t="s">
        <v>403</v>
      </c>
      <c r="AH539" s="1400">
        <v>2025</v>
      </c>
      <c r="AI539" s="1400"/>
      <c r="AJ539" s="1400"/>
      <c r="AK539" s="1401"/>
      <c r="AZ539" s="3"/>
      <c r="BA539" s="3"/>
      <c r="BB539" s="3"/>
      <c r="BC539" s="3"/>
      <c r="BD539" s="3"/>
      <c r="BE539" s="3"/>
      <c r="BF539" s="3"/>
      <c r="BG539" s="3"/>
      <c r="BH539" s="3"/>
      <c r="BI539" s="3"/>
      <c r="BJ539" s="3"/>
      <c r="BK539" s="3"/>
      <c r="BL539" s="3"/>
      <c r="BM539" s="3"/>
      <c r="BN539" s="3"/>
    </row>
    <row r="540" spans="1:66" ht="12.95" customHeight="1">
      <c r="B540" s="1385"/>
      <c r="C540" s="1386"/>
      <c r="D540" s="1386"/>
      <c r="E540" s="1386"/>
      <c r="F540" s="1386"/>
      <c r="G540" s="1386"/>
      <c r="H540" s="1387"/>
      <c r="I540" t="s">
        <v>564</v>
      </c>
      <c r="AC540" s="1402">
        <v>10</v>
      </c>
      <c r="AD540" s="1369"/>
      <c r="AE540" s="1369"/>
      <c r="AF540" s="1369"/>
      <c r="AG540" s="38" t="s">
        <v>403</v>
      </c>
      <c r="AH540" s="1400">
        <v>2026</v>
      </c>
      <c r="AI540" s="1400"/>
      <c r="AJ540" s="1400"/>
      <c r="AK540" s="1401"/>
      <c r="AZ540" s="3"/>
      <c r="BA540" s="3"/>
      <c r="BB540" s="3"/>
      <c r="BC540" s="3"/>
      <c r="BD540" s="3"/>
      <c r="BE540" s="3"/>
      <c r="BF540" s="3"/>
      <c r="BG540" s="3"/>
      <c r="BH540" s="3"/>
      <c r="BI540" s="3"/>
      <c r="BJ540" s="3"/>
      <c r="BK540" s="3"/>
      <c r="BL540" s="3"/>
      <c r="BM540" s="3"/>
      <c r="BN540" s="3"/>
    </row>
    <row r="541" spans="1:66" ht="12.95" customHeight="1">
      <c r="B541" s="1385"/>
      <c r="C541" s="1386"/>
      <c r="D541" s="1386"/>
      <c r="E541" s="1386"/>
      <c r="F541" s="1386"/>
      <c r="G541" s="1386"/>
      <c r="H541" s="1387"/>
      <c r="I541" t="s">
        <v>565</v>
      </c>
      <c r="AC541" s="1402">
        <v>11</v>
      </c>
      <c r="AD541" s="1369"/>
      <c r="AE541" s="1369"/>
      <c r="AF541" s="1369"/>
      <c r="AG541" s="38" t="s">
        <v>403</v>
      </c>
      <c r="AH541" s="1400">
        <v>2026</v>
      </c>
      <c r="AI541" s="1400"/>
      <c r="AJ541" s="1400"/>
      <c r="AK541" s="1401"/>
      <c r="AZ541" s="3"/>
      <c r="BA541" s="3"/>
      <c r="BB541" s="3"/>
      <c r="BC541" s="3"/>
      <c r="BD541" s="3"/>
      <c r="BE541" s="3"/>
      <c r="BF541" s="3"/>
      <c r="BG541" s="3"/>
      <c r="BH541" s="3"/>
      <c r="BI541" s="3"/>
      <c r="BJ541" s="3"/>
      <c r="BK541" s="3"/>
      <c r="BL541" s="3"/>
      <c r="BM541" s="3"/>
      <c r="BN541" s="3"/>
    </row>
    <row r="542" spans="1:66" ht="12.95" customHeight="1">
      <c r="B542" s="1388"/>
      <c r="C542" s="1389"/>
      <c r="D542" s="1389"/>
      <c r="E542" s="1389"/>
      <c r="F542" s="1389"/>
      <c r="G542" s="1389"/>
      <c r="H542" s="1390"/>
      <c r="I542" s="48" t="s">
        <v>451</v>
      </c>
      <c r="J542" s="48"/>
      <c r="K542" s="48"/>
      <c r="L542" s="48"/>
      <c r="M542" s="48"/>
      <c r="N542" s="48"/>
      <c r="O542" s="48"/>
      <c r="P542" s="48"/>
      <c r="Q542" s="48"/>
      <c r="R542" s="48"/>
      <c r="S542" s="48"/>
      <c r="T542" s="48"/>
      <c r="U542" s="48"/>
      <c r="V542" s="48"/>
      <c r="W542" s="48"/>
      <c r="X542" s="48"/>
      <c r="Y542" s="48"/>
      <c r="Z542" s="48"/>
      <c r="AA542" s="48"/>
      <c r="AB542" s="48"/>
      <c r="AC542" s="1402">
        <v>11</v>
      </c>
      <c r="AD542" s="1369"/>
      <c r="AE542" s="1369"/>
      <c r="AF542" s="1369"/>
      <c r="AG542" s="38" t="s">
        <v>403</v>
      </c>
      <c r="AH542" s="1400">
        <v>2026</v>
      </c>
      <c r="AI542" s="1400"/>
      <c r="AJ542" s="1400"/>
      <c r="AK542" s="1401"/>
      <c r="BB542" s="3"/>
      <c r="BC542" s="3"/>
      <c r="BD542" s="3"/>
      <c r="BE542" s="3"/>
      <c r="BF542" s="3"/>
      <c r="BG542" s="3"/>
      <c r="BH542" s="3" t="s">
        <v>112</v>
      </c>
      <c r="BI542" s="3" t="str">
        <f>N649</f>
        <v>Yes</v>
      </c>
      <c r="BJ542" s="3"/>
      <c r="BK542" s="3"/>
      <c r="BL542" s="3"/>
      <c r="BM542" s="3"/>
      <c r="BN542" s="3"/>
    </row>
    <row r="543" spans="1:66" ht="12.95" customHeight="1">
      <c r="B543" s="533"/>
      <c r="C543" s="130"/>
      <c r="D543" s="130"/>
      <c r="E543" s="130"/>
      <c r="F543" s="130"/>
      <c r="G543" s="130"/>
      <c r="H543" s="130"/>
      <c r="AB543" s="130"/>
      <c r="AU543" s="900"/>
      <c r="AV543" s="900"/>
      <c r="AW543" s="900"/>
      <c r="AX543" s="900"/>
      <c r="AY543" s="900"/>
      <c r="BB543" s="3"/>
      <c r="BC543" s="3"/>
      <c r="BD543" s="3"/>
      <c r="BE543" s="3"/>
      <c r="BF543" s="3"/>
      <c r="BG543" s="3"/>
      <c r="BH543" s="3" t="s">
        <v>113</v>
      </c>
      <c r="BI543" s="3" t="str">
        <f>AG649</f>
        <v>Yes</v>
      </c>
      <c r="BJ543" s="3"/>
      <c r="BK543" s="3"/>
      <c r="BL543" s="3"/>
      <c r="BM543" s="3"/>
      <c r="BN543" s="3"/>
    </row>
    <row r="544" spans="1:66" ht="12.95" customHeight="1">
      <c r="A544" s="1272" t="s">
        <v>543</v>
      </c>
      <c r="B544" s="1272"/>
      <c r="C544" s="1272"/>
      <c r="D544" s="1272"/>
      <c r="E544" s="1272"/>
      <c r="F544" s="1272"/>
      <c r="G544" s="1272"/>
      <c r="H544" s="1272"/>
      <c r="I544" s="1272"/>
      <c r="J544" s="1272"/>
      <c r="K544" s="1272"/>
      <c r="L544" s="1272"/>
      <c r="M544" s="1272"/>
      <c r="N544" s="1272"/>
      <c r="O544" s="1272"/>
      <c r="P544" s="1272"/>
      <c r="Q544" s="1272"/>
      <c r="R544" s="1272"/>
      <c r="S544" s="1272"/>
      <c r="T544" s="1272"/>
      <c r="U544" s="1272"/>
      <c r="V544" s="1272"/>
      <c r="W544" s="1272"/>
      <c r="X544" s="1272"/>
      <c r="Y544" s="1272"/>
      <c r="Z544" s="1272"/>
      <c r="AA544" s="1272"/>
      <c r="AB544" s="1272"/>
      <c r="AC544" s="1272"/>
      <c r="AD544" s="1272"/>
      <c r="AE544" s="1272"/>
      <c r="AF544" s="1272"/>
      <c r="AG544" s="1272"/>
      <c r="AH544" s="1272"/>
      <c r="AI544" s="1272"/>
      <c r="AJ544" s="1272"/>
      <c r="AK544" s="1272"/>
      <c r="AL544" s="1272"/>
      <c r="AM544" s="1272"/>
      <c r="AN544" s="1272"/>
      <c r="AO544" s="1272"/>
      <c r="AP544" s="1272"/>
      <c r="AQ544" s="1272"/>
      <c r="AR544" s="1272"/>
      <c r="AS544" s="1272"/>
      <c r="AT544" s="1272"/>
      <c r="AU544" s="900"/>
      <c r="AV544" s="900"/>
      <c r="AW544" s="900"/>
      <c r="AX544" s="900"/>
      <c r="AY544" s="900"/>
      <c r="BB544" s="3"/>
      <c r="BC544" s="3"/>
      <c r="BD544" s="3"/>
      <c r="BE544" s="3"/>
      <c r="BF544" s="3"/>
      <c r="BG544" s="3"/>
      <c r="BH544" s="3"/>
      <c r="BI544" s="3"/>
      <c r="BJ544" s="3"/>
      <c r="BK544" s="3"/>
      <c r="BL544" s="3"/>
      <c r="BM544" s="3"/>
      <c r="BN544" s="3"/>
    </row>
    <row r="545" spans="1:61" ht="12.95" customHeight="1">
      <c r="A545" s="1272"/>
      <c r="B545" s="1272"/>
      <c r="C545" s="1272"/>
      <c r="D545" s="1272"/>
      <c r="E545" s="1272"/>
      <c r="F545" s="1272"/>
      <c r="G545" s="1272"/>
      <c r="H545" s="1272"/>
      <c r="I545" s="1272"/>
      <c r="J545" s="1272"/>
      <c r="K545" s="1272"/>
      <c r="L545" s="1272"/>
      <c r="M545" s="1272"/>
      <c r="N545" s="1272"/>
      <c r="O545" s="1272"/>
      <c r="P545" s="1272"/>
      <c r="Q545" s="1272"/>
      <c r="R545" s="1272"/>
      <c r="S545" s="1272"/>
      <c r="T545" s="1272"/>
      <c r="U545" s="1272"/>
      <c r="V545" s="1272"/>
      <c r="W545" s="1272"/>
      <c r="X545" s="1272"/>
      <c r="Y545" s="1272"/>
      <c r="Z545" s="1272"/>
      <c r="AA545" s="1272"/>
      <c r="AB545" s="1272"/>
      <c r="AC545" s="1272"/>
      <c r="AD545" s="1272"/>
      <c r="AE545" s="1272"/>
      <c r="AF545" s="1272"/>
      <c r="AG545" s="1272"/>
      <c r="AH545" s="1272"/>
      <c r="AI545" s="1272"/>
      <c r="AJ545" s="1272"/>
      <c r="AK545" s="1272"/>
      <c r="AL545" s="1272"/>
      <c r="AM545" s="1272"/>
      <c r="AN545" s="1272"/>
      <c r="AO545" s="1272"/>
      <c r="AP545" s="1272"/>
      <c r="AQ545" s="1272"/>
      <c r="AR545" s="1272"/>
      <c r="AS545" s="1272"/>
      <c r="AT545" s="1272"/>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452</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2102</v>
      </c>
      <c r="AC549" s="98"/>
      <c r="BB549" s="3"/>
      <c r="BC549" s="3"/>
      <c r="BD549" s="3"/>
      <c r="BE549" s="3"/>
      <c r="BF549" s="3"/>
      <c r="BG549" s="3"/>
      <c r="BH549" s="3"/>
      <c r="BI549" s="3"/>
    </row>
    <row r="550" spans="1:61" ht="12.95" customHeight="1">
      <c r="B550" s="513"/>
      <c r="BB550" s="3"/>
      <c r="BC550" s="3"/>
      <c r="BD550" s="3"/>
      <c r="BE550" s="3"/>
      <c r="BF550" s="3"/>
      <c r="BG550" s="3"/>
      <c r="BH550" s="3" t="s">
        <v>119</v>
      </c>
      <c r="BI550" s="3" t="str">
        <f>N657</f>
        <v>Yes</v>
      </c>
    </row>
    <row r="551" spans="1:61" ht="12.95" customHeight="1">
      <c r="B551" s="1382" t="s">
        <v>2104</v>
      </c>
      <c r="C551" s="1383"/>
      <c r="D551" s="1383"/>
      <c r="E551" s="1383"/>
      <c r="F551" s="1383"/>
      <c r="G551" s="1383"/>
      <c r="H551" s="1383"/>
      <c r="I551" s="1383"/>
      <c r="J551" s="1383"/>
      <c r="K551" s="1383"/>
      <c r="L551" s="1384"/>
      <c r="M551" s="1382" t="s">
        <v>2105</v>
      </c>
      <c r="N551" s="1383"/>
      <c r="O551" s="1383"/>
      <c r="P551" s="1384"/>
      <c r="Q551" s="1382" t="s">
        <v>2131</v>
      </c>
      <c r="R551" s="1383"/>
      <c r="S551" s="1384"/>
      <c r="T551" s="1382" t="s">
        <v>2132</v>
      </c>
      <c r="U551" s="1383"/>
      <c r="V551" s="1384"/>
      <c r="W551" s="1382" t="s">
        <v>453</v>
      </c>
      <c r="X551" s="1383"/>
      <c r="Y551" s="1384"/>
      <c r="Z551" s="1382" t="s">
        <v>1852</v>
      </c>
      <c r="AA551" s="1383"/>
      <c r="AB551" s="1383"/>
      <c r="AC551" s="1383"/>
      <c r="AD551" s="1384"/>
      <c r="AE551" s="1382" t="s">
        <v>1676</v>
      </c>
      <c r="AF551" s="1383"/>
      <c r="AG551" s="1383"/>
      <c r="AH551" s="1384"/>
      <c r="AI551" s="1382" t="s">
        <v>1677</v>
      </c>
      <c r="AJ551" s="1383"/>
      <c r="AK551" s="1383"/>
      <c r="AL551" s="1384"/>
      <c r="AM551" s="1382" t="s">
        <v>454</v>
      </c>
      <c r="AN551" s="1383"/>
      <c r="AO551" s="1383"/>
      <c r="AP551" s="1383"/>
      <c r="AQ551" s="1383"/>
      <c r="AR551" s="1383"/>
      <c r="AS551" s="1384"/>
      <c r="BB551" s="3"/>
      <c r="BC551" s="3"/>
      <c r="BD551" s="3"/>
      <c r="BE551" s="3"/>
      <c r="BF551" s="3"/>
      <c r="BG551" s="3"/>
      <c r="BH551" s="3" t="s">
        <v>581</v>
      </c>
      <c r="BI551" s="3" t="str">
        <f>AG657</f>
        <v>Yes</v>
      </c>
    </row>
    <row r="552" spans="1:61" ht="12.95" customHeight="1">
      <c r="B552" s="1385"/>
      <c r="C552" s="1386"/>
      <c r="D552" s="1386"/>
      <c r="E552" s="1386"/>
      <c r="F552" s="1386"/>
      <c r="G552" s="1386"/>
      <c r="H552" s="1386"/>
      <c r="I552" s="1386"/>
      <c r="J552" s="1386"/>
      <c r="K552" s="1386"/>
      <c r="L552" s="1387"/>
      <c r="M552" s="1385"/>
      <c r="N552" s="1386"/>
      <c r="O552" s="1386"/>
      <c r="P552" s="1387"/>
      <c r="Q552" s="1385"/>
      <c r="R552" s="1386"/>
      <c r="S552" s="1387"/>
      <c r="T552" s="1385"/>
      <c r="U552" s="1386"/>
      <c r="V552" s="1387"/>
      <c r="W552" s="1385"/>
      <c r="X552" s="1386"/>
      <c r="Y552" s="1387"/>
      <c r="Z552" s="1385"/>
      <c r="AA552" s="1386"/>
      <c r="AB552" s="1386"/>
      <c r="AC552" s="1386"/>
      <c r="AD552" s="1387"/>
      <c r="AE552" s="1385"/>
      <c r="AF552" s="1386"/>
      <c r="AG552" s="1386"/>
      <c r="AH552" s="1387"/>
      <c r="AI552" s="1385"/>
      <c r="AJ552" s="1386"/>
      <c r="AK552" s="1386"/>
      <c r="AL552" s="1387"/>
      <c r="AM552" s="1385"/>
      <c r="AN552" s="1386"/>
      <c r="AO552" s="1386"/>
      <c r="AP552" s="1386"/>
      <c r="AQ552" s="1386"/>
      <c r="AR552" s="1386"/>
      <c r="AS552" s="1387"/>
      <c r="AU552" s="1149"/>
      <c r="BB552" s="3"/>
      <c r="BC552" s="3"/>
      <c r="BD552" s="3"/>
      <c r="BE552" s="3"/>
      <c r="BF552" s="3"/>
      <c r="BG552" s="3"/>
      <c r="BH552" s="3"/>
      <c r="BI552" s="3"/>
    </row>
    <row r="553" spans="1:61" ht="12.95" customHeight="1">
      <c r="B553" s="1388"/>
      <c r="C553" s="1389"/>
      <c r="D553" s="1389"/>
      <c r="E553" s="1389"/>
      <c r="F553" s="1389"/>
      <c r="G553" s="1389"/>
      <c r="H553" s="1389"/>
      <c r="I553" s="1389"/>
      <c r="J553" s="1389"/>
      <c r="K553" s="1389"/>
      <c r="L553" s="1390"/>
      <c r="M553" s="1388"/>
      <c r="N553" s="1389"/>
      <c r="O553" s="1389"/>
      <c r="P553" s="1390"/>
      <c r="Q553" s="1388"/>
      <c r="R553" s="1389"/>
      <c r="S553" s="1390"/>
      <c r="T553" s="1388"/>
      <c r="U553" s="1389"/>
      <c r="V553" s="1390"/>
      <c r="W553" s="1388"/>
      <c r="X553" s="1389"/>
      <c r="Y553" s="1390"/>
      <c r="Z553" s="1388"/>
      <c r="AA553" s="1389"/>
      <c r="AB553" s="1389"/>
      <c r="AC553" s="1389"/>
      <c r="AD553" s="1390"/>
      <c r="AE553" s="1388"/>
      <c r="AF553" s="1389"/>
      <c r="AG553" s="1389"/>
      <c r="AH553" s="1390"/>
      <c r="AI553" s="1388"/>
      <c r="AJ553" s="1389"/>
      <c r="AK553" s="1389"/>
      <c r="AL553" s="1390"/>
      <c r="AM553" s="1388"/>
      <c r="AN553" s="1389"/>
      <c r="AO553" s="1389"/>
      <c r="AP553" s="1389"/>
      <c r="AQ553" s="1389"/>
      <c r="AR553" s="1389"/>
      <c r="AS553" s="1390"/>
      <c r="AU553" s="1149"/>
      <c r="BB553" s="3"/>
      <c r="BC553" s="3"/>
      <c r="BD553" s="3"/>
      <c r="BE553" s="3"/>
      <c r="BF553" s="3"/>
      <c r="BG553" s="3"/>
      <c r="BH553" s="3"/>
      <c r="BI553" s="3"/>
    </row>
    <row r="554" spans="1:61" ht="12.95" customHeight="1">
      <c r="B554" s="51" t="s">
        <v>112</v>
      </c>
      <c r="C554" s="1476" t="s">
        <v>2628</v>
      </c>
      <c r="D554" s="1476"/>
      <c r="E554" s="1476"/>
      <c r="F554" s="1476"/>
      <c r="G554" s="1476"/>
      <c r="H554" s="1476"/>
      <c r="I554" s="1476"/>
      <c r="J554" s="1476"/>
      <c r="K554" s="1476"/>
      <c r="L554" s="1476"/>
      <c r="M554" s="1476" t="s">
        <v>2121</v>
      </c>
      <c r="N554" s="1476"/>
      <c r="O554" s="1476"/>
      <c r="P554" s="1476"/>
      <c r="Q554" s="1395">
        <v>15</v>
      </c>
      <c r="R554" s="1395"/>
      <c r="S554" s="1396"/>
      <c r="T554" s="1394"/>
      <c r="U554" s="1395"/>
      <c r="V554" s="1396"/>
      <c r="W554" s="1406">
        <v>6.25E-2</v>
      </c>
      <c r="X554" s="1407"/>
      <c r="Y554" s="1408"/>
      <c r="Z554" s="1459" t="s">
        <v>2633</v>
      </c>
      <c r="AA554" s="1459"/>
      <c r="AB554" s="1459"/>
      <c r="AC554" s="1459"/>
      <c r="AD554" s="1459"/>
      <c r="AE554" s="1415">
        <v>1</v>
      </c>
      <c r="AF554" s="1416"/>
      <c r="AG554" s="1416"/>
      <c r="AH554" s="1417"/>
      <c r="AI554" s="1403"/>
      <c r="AJ554" s="1404"/>
      <c r="AK554" s="1404"/>
      <c r="AL554" s="1405"/>
      <c r="AM554" s="1451">
        <v>16200000</v>
      </c>
      <c r="AN554" s="1452"/>
      <c r="AO554" s="1452"/>
      <c r="AP554" s="1452"/>
      <c r="AQ554" s="1452"/>
      <c r="AR554" s="1452"/>
      <c r="AS554" s="1453"/>
      <c r="AT554" s="1150"/>
      <c r="AU554" s="1149"/>
      <c r="BB554" s="3"/>
      <c r="BC554" s="3"/>
      <c r="BD554" s="3"/>
      <c r="BE554" s="3"/>
      <c r="BF554" s="3"/>
      <c r="BG554" s="3"/>
      <c r="BH554" s="3"/>
      <c r="BI554" s="3"/>
    </row>
    <row r="555" spans="1:61" ht="12.95" customHeight="1">
      <c r="B555" s="52" t="s">
        <v>113</v>
      </c>
      <c r="C555" s="1469" t="s">
        <v>2628</v>
      </c>
      <c r="D555" s="1469"/>
      <c r="E555" s="1469"/>
      <c r="F555" s="1469"/>
      <c r="G555" s="1469"/>
      <c r="H555" s="1469"/>
      <c r="I555" s="1469"/>
      <c r="J555" s="1469"/>
      <c r="K555" s="1469"/>
      <c r="L555" s="1469"/>
      <c r="M555" s="1476" t="s">
        <v>2122</v>
      </c>
      <c r="N555" s="1476"/>
      <c r="O555" s="1476"/>
      <c r="P555" s="1476"/>
      <c r="Q555" s="1394">
        <v>15</v>
      </c>
      <c r="R555" s="1395"/>
      <c r="S555" s="1396"/>
      <c r="T555" s="1394"/>
      <c r="U555" s="1395"/>
      <c r="V555" s="1396"/>
      <c r="W555" s="1406">
        <v>6.25E-2</v>
      </c>
      <c r="X555" s="1407"/>
      <c r="Y555" s="1408"/>
      <c r="Z555" s="1459" t="s">
        <v>2633</v>
      </c>
      <c r="AA555" s="1459"/>
      <c r="AB555" s="1459"/>
      <c r="AC555" s="1459"/>
      <c r="AD555" s="1459"/>
      <c r="AE555" s="1415">
        <v>1</v>
      </c>
      <c r="AF555" s="1416"/>
      <c r="AG555" s="1416"/>
      <c r="AH555" s="1417"/>
      <c r="AI555" s="1403"/>
      <c r="AJ555" s="1404"/>
      <c r="AK555" s="1404"/>
      <c r="AL555" s="1405"/>
      <c r="AM555" s="1451">
        <v>2772894</v>
      </c>
      <c r="AN555" s="1452"/>
      <c r="AO555" s="1452"/>
      <c r="AP555" s="1452"/>
      <c r="AQ555" s="1452"/>
      <c r="AR555" s="1452"/>
      <c r="AS555" s="1453"/>
      <c r="AT555" s="1150" t="str">
        <f>IF(AND(NOT(C554=""),C555="",NOT(C556="")),"!","")</f>
        <v/>
      </c>
      <c r="AU555" s="1149"/>
      <c r="BB555" s="3"/>
      <c r="BC555" s="3"/>
      <c r="BD555" s="3"/>
      <c r="BE555" s="3"/>
      <c r="BF555" s="3"/>
      <c r="BG555" s="3"/>
      <c r="BH555" s="3"/>
      <c r="BI555" s="3"/>
    </row>
    <row r="556" spans="1:61" ht="12.95" customHeight="1">
      <c r="B556" s="52" t="s">
        <v>119</v>
      </c>
      <c r="C556" s="1469" t="s">
        <v>2629</v>
      </c>
      <c r="D556" s="1469"/>
      <c r="E556" s="1469"/>
      <c r="F556" s="1469"/>
      <c r="G556" s="1469"/>
      <c r="H556" s="1469"/>
      <c r="I556" s="1469"/>
      <c r="J556" s="1469"/>
      <c r="K556" s="1469"/>
      <c r="L556" s="1469"/>
      <c r="M556" s="1476" t="s">
        <v>2117</v>
      </c>
      <c r="N556" s="1476"/>
      <c r="O556" s="1476"/>
      <c r="P556" s="1476"/>
      <c r="Q556" s="1394">
        <v>660</v>
      </c>
      <c r="R556" s="1395"/>
      <c r="S556" s="1396"/>
      <c r="T556" s="1394"/>
      <c r="U556" s="1395"/>
      <c r="V556" s="1396"/>
      <c r="W556" s="1406">
        <v>0.04</v>
      </c>
      <c r="X556" s="1407"/>
      <c r="Y556" s="1408"/>
      <c r="Z556" s="1459" t="s">
        <v>2633</v>
      </c>
      <c r="AA556" s="1459"/>
      <c r="AB556" s="1459"/>
      <c r="AC556" s="1459"/>
      <c r="AD556" s="1459"/>
      <c r="AE556" s="1415">
        <v>2</v>
      </c>
      <c r="AF556" s="1416"/>
      <c r="AG556" s="1416"/>
      <c r="AH556" s="1417"/>
      <c r="AI556" s="1403"/>
      <c r="AJ556" s="1404"/>
      <c r="AK556" s="1404"/>
      <c r="AL556" s="1405"/>
      <c r="AM556" s="1451">
        <v>9501778</v>
      </c>
      <c r="AN556" s="1452"/>
      <c r="AO556" s="1452"/>
      <c r="AP556" s="1452"/>
      <c r="AQ556" s="1452"/>
      <c r="AR556" s="1452"/>
      <c r="AS556" s="1453"/>
      <c r="AT556" s="1150" t="str">
        <f>IF(AND(NOT(C555=""),C556="",NOT(C557="")),"!","")</f>
        <v/>
      </c>
      <c r="AU556" s="1149"/>
      <c r="BB556" s="3"/>
      <c r="BC556" s="3"/>
      <c r="BD556" s="3"/>
      <c r="BE556" s="3"/>
      <c r="BF556" s="3"/>
      <c r="BG556" s="3"/>
      <c r="BH556" s="3"/>
      <c r="BI556" s="3"/>
    </row>
    <row r="557" spans="1:61" ht="12.95" customHeight="1">
      <c r="B557" s="52" t="s">
        <v>581</v>
      </c>
      <c r="C557" s="1469" t="s">
        <v>2630</v>
      </c>
      <c r="D557" s="1469"/>
      <c r="E557" s="1469"/>
      <c r="F557" s="1469"/>
      <c r="G557" s="1469"/>
      <c r="H557" s="1469"/>
      <c r="I557" s="1469"/>
      <c r="J557" s="1469"/>
      <c r="K557" s="1469"/>
      <c r="L557" s="1469"/>
      <c r="M557" s="1476" t="s">
        <v>2106</v>
      </c>
      <c r="N557" s="1476"/>
      <c r="O557" s="1476"/>
      <c r="P557" s="1476"/>
      <c r="Q557" s="1394">
        <v>660</v>
      </c>
      <c r="R557" s="1395"/>
      <c r="S557" s="1396"/>
      <c r="T557" s="1394"/>
      <c r="U557" s="1395"/>
      <c r="V557" s="1396"/>
      <c r="W557" s="1406">
        <v>0.04</v>
      </c>
      <c r="X557" s="1407"/>
      <c r="Y557" s="1408"/>
      <c r="Z557" s="1459" t="s">
        <v>2633</v>
      </c>
      <c r="AA557" s="1459"/>
      <c r="AB557" s="1459"/>
      <c r="AC557" s="1459"/>
      <c r="AD557" s="1459"/>
      <c r="AE557" s="1415">
        <v>2</v>
      </c>
      <c r="AF557" s="1416"/>
      <c r="AG557" s="1416"/>
      <c r="AH557" s="1417"/>
      <c r="AI557" s="1403"/>
      <c r="AJ557" s="1404"/>
      <c r="AK557" s="1404"/>
      <c r="AL557" s="1405"/>
      <c r="AM557" s="1451">
        <v>4750024</v>
      </c>
      <c r="AN557" s="1452"/>
      <c r="AO557" s="1452"/>
      <c r="AP557" s="1452"/>
      <c r="AQ557" s="1452"/>
      <c r="AR557" s="1452"/>
      <c r="AS557" s="1453"/>
      <c r="AT557" s="1150" t="str">
        <f>IF(AND(NOT(C556=""),C557="",NOT(C558="")),"!","")</f>
        <v/>
      </c>
      <c r="AU557" s="1149"/>
      <c r="BB557" s="3"/>
      <c r="BC557" s="3"/>
      <c r="BD557" s="3"/>
      <c r="BE557" s="3"/>
      <c r="BF557" s="3"/>
      <c r="BG557" s="3"/>
      <c r="BH557" s="3"/>
      <c r="BI557" s="3"/>
    </row>
    <row r="558" spans="1:61" ht="12.95" customHeight="1">
      <c r="B558" s="52" t="s">
        <v>763</v>
      </c>
      <c r="C558" s="1469" t="s">
        <v>2631</v>
      </c>
      <c r="D558" s="1469"/>
      <c r="E558" s="1469"/>
      <c r="F558" s="1469"/>
      <c r="G558" s="1469"/>
      <c r="H558" s="1469"/>
      <c r="I558" s="1469"/>
      <c r="J558" s="1469"/>
      <c r="K558" s="1469"/>
      <c r="L558" s="1469"/>
      <c r="M558" s="1476" t="s">
        <v>2123</v>
      </c>
      <c r="N558" s="1476"/>
      <c r="O558" s="1476"/>
      <c r="P558" s="1476"/>
      <c r="Q558" s="1394">
        <v>12</v>
      </c>
      <c r="R558" s="1395"/>
      <c r="S558" s="1396"/>
      <c r="T558" s="1394"/>
      <c r="U558" s="1395"/>
      <c r="V558" s="1396"/>
      <c r="W558" s="1406">
        <v>0</v>
      </c>
      <c r="X558" s="1407"/>
      <c r="Y558" s="1408"/>
      <c r="Z558" s="1459" t="s">
        <v>591</v>
      </c>
      <c r="AA558" s="1459"/>
      <c r="AB558" s="1459"/>
      <c r="AC558" s="1459"/>
      <c r="AD558" s="1459"/>
      <c r="AE558" s="1415"/>
      <c r="AF558" s="1416"/>
      <c r="AG558" s="1416"/>
      <c r="AH558" s="1417"/>
      <c r="AI558" s="1403"/>
      <c r="AJ558" s="1404"/>
      <c r="AK558" s="1404"/>
      <c r="AL558" s="1405"/>
      <c r="AM558" s="1451">
        <v>158721</v>
      </c>
      <c r="AN558" s="1452"/>
      <c r="AO558" s="1452"/>
      <c r="AP558" s="1452"/>
      <c r="AQ558" s="1452"/>
      <c r="AR558" s="1452"/>
      <c r="AS558" s="1453"/>
      <c r="AT558" s="1150" t="str">
        <f t="shared" ref="AT558:AT565" si="0">IF(AND(NOT(C557=""),C558="",NOT(C559="")),"!","")</f>
        <v/>
      </c>
      <c r="AU558" s="1149"/>
      <c r="BB558" s="3"/>
      <c r="BC558" s="3"/>
      <c r="BD558" s="3"/>
      <c r="BE558" s="3"/>
      <c r="BF558" s="3"/>
      <c r="BG558" s="3"/>
      <c r="BH558" s="3" t="s">
        <v>763</v>
      </c>
      <c r="BI558" s="3" t="str">
        <f>N665</f>
        <v>No</v>
      </c>
    </row>
    <row r="559" spans="1:61" ht="12.95" customHeight="1">
      <c r="B559" s="52" t="s">
        <v>584</v>
      </c>
      <c r="C559" s="1469" t="s">
        <v>2632</v>
      </c>
      <c r="D559" s="1469"/>
      <c r="E559" s="1469"/>
      <c r="F559" s="1469"/>
      <c r="G559" s="1469"/>
      <c r="H559" s="1469"/>
      <c r="I559" s="1469"/>
      <c r="J559" s="1469"/>
      <c r="K559" s="1469"/>
      <c r="L559" s="1469"/>
      <c r="M559" s="1476" t="s">
        <v>2112</v>
      </c>
      <c r="N559" s="1476"/>
      <c r="O559" s="1476"/>
      <c r="P559" s="1476"/>
      <c r="Q559" s="1394"/>
      <c r="R559" s="1395"/>
      <c r="S559" s="1396"/>
      <c r="T559" s="1394"/>
      <c r="U559" s="1395"/>
      <c r="V559" s="1396"/>
      <c r="W559" s="1406"/>
      <c r="X559" s="1407"/>
      <c r="Y559" s="1408"/>
      <c r="Z559" s="1459" t="s">
        <v>2633</v>
      </c>
      <c r="AA559" s="1459"/>
      <c r="AB559" s="1459"/>
      <c r="AC559" s="1459"/>
      <c r="AD559" s="1459"/>
      <c r="AE559" s="1415">
        <v>1</v>
      </c>
      <c r="AF559" s="1416"/>
      <c r="AG559" s="1416"/>
      <c r="AH559" s="1417"/>
      <c r="AI559" s="1403"/>
      <c r="AJ559" s="1404"/>
      <c r="AK559" s="1404"/>
      <c r="AL559" s="1405"/>
      <c r="AM559" s="1451">
        <v>133469</v>
      </c>
      <c r="AN559" s="1452"/>
      <c r="AO559" s="1452"/>
      <c r="AP559" s="1452"/>
      <c r="AQ559" s="1452"/>
      <c r="AR559" s="1452"/>
      <c r="AS559" s="1453"/>
      <c r="AT559" s="1150" t="str">
        <f t="shared" si="0"/>
        <v/>
      </c>
      <c r="AU559" s="1149"/>
      <c r="BB559" s="3"/>
      <c r="BC559" s="3"/>
      <c r="BD559" s="3"/>
      <c r="BE559" s="3"/>
      <c r="BF559" s="3"/>
      <c r="BG559" s="3"/>
      <c r="BH559" s="3" t="s">
        <v>584</v>
      </c>
      <c r="BI559" s="3" t="str">
        <f>AG665</f>
        <v>No</v>
      </c>
    </row>
    <row r="560" spans="1:61" ht="12.95" customHeight="1">
      <c r="B560" s="52" t="s">
        <v>455</v>
      </c>
      <c r="C560" s="1469"/>
      <c r="D560" s="1469"/>
      <c r="E560" s="1469"/>
      <c r="F560" s="1469"/>
      <c r="G560" s="1469"/>
      <c r="H560" s="1469"/>
      <c r="I560" s="1469"/>
      <c r="J560" s="1469"/>
      <c r="K560" s="1469"/>
      <c r="L560" s="1469"/>
      <c r="M560" s="1476" t="s">
        <v>1184</v>
      </c>
      <c r="N560" s="1476"/>
      <c r="O560" s="1476"/>
      <c r="P560" s="1476"/>
      <c r="Q560" s="1394"/>
      <c r="R560" s="1395"/>
      <c r="S560" s="1396"/>
      <c r="T560" s="1394"/>
      <c r="U560" s="1395"/>
      <c r="V560" s="1396"/>
      <c r="W560" s="1406"/>
      <c r="X560" s="1407"/>
      <c r="Y560" s="1408"/>
      <c r="Z560" s="1459" t="s">
        <v>1184</v>
      </c>
      <c r="AA560" s="1459"/>
      <c r="AB560" s="1459"/>
      <c r="AC560" s="1459"/>
      <c r="AD560" s="1459"/>
      <c r="AE560" s="1415"/>
      <c r="AF560" s="1416"/>
      <c r="AG560" s="1416"/>
      <c r="AH560" s="1417"/>
      <c r="AI560" s="1403"/>
      <c r="AJ560" s="1404"/>
      <c r="AK560" s="1404"/>
      <c r="AL560" s="1405"/>
      <c r="AM560" s="1451"/>
      <c r="AN560" s="1452"/>
      <c r="AO560" s="1452"/>
      <c r="AP560" s="1452"/>
      <c r="AQ560" s="1452"/>
      <c r="AR560" s="1452"/>
      <c r="AS560" s="1453"/>
      <c r="AT560" s="1150" t="str">
        <f t="shared" si="0"/>
        <v/>
      </c>
      <c r="AU560" s="1149"/>
      <c r="BB560" s="3"/>
      <c r="BC560" s="3"/>
      <c r="BD560" s="3"/>
      <c r="BE560" s="3"/>
      <c r="BF560" s="3"/>
      <c r="BG560" s="3"/>
      <c r="BH560" s="3"/>
      <c r="BI560" s="3"/>
    </row>
    <row r="561" spans="1:61" ht="12.95" customHeight="1">
      <c r="B561" s="52" t="s">
        <v>456</v>
      </c>
      <c r="C561" s="1469"/>
      <c r="D561" s="1469"/>
      <c r="E561" s="1469"/>
      <c r="F561" s="1469"/>
      <c r="G561" s="1469"/>
      <c r="H561" s="1469"/>
      <c r="I561" s="1469"/>
      <c r="J561" s="1469"/>
      <c r="K561" s="1469"/>
      <c r="L561" s="1469"/>
      <c r="M561" s="1476" t="s">
        <v>1184</v>
      </c>
      <c r="N561" s="1476"/>
      <c r="O561" s="1476"/>
      <c r="P561" s="1476"/>
      <c r="Q561" s="1394"/>
      <c r="R561" s="1395"/>
      <c r="S561" s="1396"/>
      <c r="T561" s="1394"/>
      <c r="U561" s="1395"/>
      <c r="V561" s="1396"/>
      <c r="W561" s="1406"/>
      <c r="X561" s="1407"/>
      <c r="Y561" s="1408"/>
      <c r="Z561" s="1459" t="s">
        <v>1184</v>
      </c>
      <c r="AA561" s="1459"/>
      <c r="AB561" s="1459"/>
      <c r="AC561" s="1459"/>
      <c r="AD561" s="1459"/>
      <c r="AE561" s="1415"/>
      <c r="AF561" s="1416"/>
      <c r="AG561" s="1416"/>
      <c r="AH561" s="1417"/>
      <c r="AI561" s="1403"/>
      <c r="AJ561" s="1404"/>
      <c r="AK561" s="1404"/>
      <c r="AL561" s="1405"/>
      <c r="AM561" s="1451"/>
      <c r="AN561" s="1452"/>
      <c r="AO561" s="1452"/>
      <c r="AP561" s="1452"/>
      <c r="AQ561" s="1452"/>
      <c r="AR561" s="1452"/>
      <c r="AS561" s="1453"/>
      <c r="AT561" s="1150" t="str">
        <f t="shared" si="0"/>
        <v/>
      </c>
      <c r="AU561" s="1149"/>
      <c r="BB561" s="3"/>
      <c r="BC561" s="3"/>
      <c r="BD561" s="3"/>
      <c r="BE561" s="3"/>
      <c r="BF561" s="3"/>
      <c r="BG561" s="3"/>
      <c r="BH561" s="3"/>
      <c r="BI561" s="3"/>
    </row>
    <row r="562" spans="1:61" ht="12.95" customHeight="1">
      <c r="B562" s="52" t="s">
        <v>461</v>
      </c>
      <c r="C562" s="1469"/>
      <c r="D562" s="1469"/>
      <c r="E562" s="1469"/>
      <c r="F562" s="1469"/>
      <c r="G562" s="1469"/>
      <c r="H562" s="1469"/>
      <c r="I562" s="1469"/>
      <c r="J562" s="1469"/>
      <c r="K562" s="1469"/>
      <c r="L562" s="1469"/>
      <c r="M562" s="1476" t="s">
        <v>1184</v>
      </c>
      <c r="N562" s="1476"/>
      <c r="O562" s="1476"/>
      <c r="P562" s="1476"/>
      <c r="Q562" s="1394"/>
      <c r="R562" s="1395"/>
      <c r="S562" s="1396"/>
      <c r="T562" s="1394"/>
      <c r="U562" s="1395"/>
      <c r="V562" s="1396"/>
      <c r="W562" s="1406"/>
      <c r="X562" s="1407"/>
      <c r="Y562" s="1408"/>
      <c r="Z562" s="1459" t="s">
        <v>1184</v>
      </c>
      <c r="AA562" s="1459"/>
      <c r="AB562" s="1459"/>
      <c r="AC562" s="1459"/>
      <c r="AD562" s="1459"/>
      <c r="AE562" s="1415"/>
      <c r="AF562" s="1416"/>
      <c r="AG562" s="1416"/>
      <c r="AH562" s="1417"/>
      <c r="AI562" s="1403"/>
      <c r="AJ562" s="1404"/>
      <c r="AK562" s="1404"/>
      <c r="AL562" s="1405"/>
      <c r="AM562" s="1451"/>
      <c r="AN562" s="1452"/>
      <c r="AO562" s="1452"/>
      <c r="AP562" s="1452"/>
      <c r="AQ562" s="1452"/>
      <c r="AR562" s="1452"/>
      <c r="AS562" s="1453"/>
      <c r="AT562" s="1150" t="str">
        <f t="shared" si="0"/>
        <v/>
      </c>
      <c r="AU562" s="1149"/>
      <c r="BB562" s="3"/>
      <c r="BC562" s="3"/>
      <c r="BD562" s="3"/>
      <c r="BE562" s="3"/>
      <c r="BF562" s="3"/>
      <c r="BG562" s="3"/>
      <c r="BH562" s="3"/>
      <c r="BI562" s="3"/>
    </row>
    <row r="563" spans="1:61" ht="12.95" customHeight="1">
      <c r="B563" s="52" t="s">
        <v>646</v>
      </c>
      <c r="C563" s="1469"/>
      <c r="D563" s="1469"/>
      <c r="E563" s="1469"/>
      <c r="F563" s="1469"/>
      <c r="G563" s="1469"/>
      <c r="H563" s="1469"/>
      <c r="I563" s="1469"/>
      <c r="J563" s="1469"/>
      <c r="K563" s="1469"/>
      <c r="L563" s="1469"/>
      <c r="M563" s="1476" t="s">
        <v>1184</v>
      </c>
      <c r="N563" s="1476"/>
      <c r="O563" s="1476"/>
      <c r="P563" s="1476"/>
      <c r="Q563" s="1394"/>
      <c r="R563" s="1395"/>
      <c r="S563" s="1396"/>
      <c r="T563" s="1394"/>
      <c r="U563" s="1395"/>
      <c r="V563" s="1396"/>
      <c r="W563" s="1406"/>
      <c r="X563" s="1407"/>
      <c r="Y563" s="1408"/>
      <c r="Z563" s="1459" t="s">
        <v>1184</v>
      </c>
      <c r="AA563" s="1459"/>
      <c r="AB563" s="1459"/>
      <c r="AC563" s="1459"/>
      <c r="AD563" s="1459"/>
      <c r="AE563" s="1415"/>
      <c r="AF563" s="1416"/>
      <c r="AG563" s="1416"/>
      <c r="AH563" s="1417"/>
      <c r="AI563" s="1403"/>
      <c r="AJ563" s="1404"/>
      <c r="AK563" s="1404"/>
      <c r="AL563" s="1405"/>
      <c r="AM563" s="1451"/>
      <c r="AN563" s="1452"/>
      <c r="AO563" s="1452"/>
      <c r="AP563" s="1452"/>
      <c r="AQ563" s="1452"/>
      <c r="AR563" s="1452"/>
      <c r="AS563" s="1453"/>
      <c r="AT563" s="1150" t="str">
        <f t="shared" si="0"/>
        <v/>
      </c>
      <c r="BB563" s="3"/>
      <c r="BC563" s="3"/>
      <c r="BD563" s="3"/>
      <c r="BE563" s="3"/>
      <c r="BF563" s="3"/>
      <c r="BG563" s="3"/>
      <c r="BH563" s="3"/>
      <c r="BI563" s="3"/>
    </row>
    <row r="564" spans="1:61" ht="12.95" customHeight="1">
      <c r="B564" s="52" t="s">
        <v>362</v>
      </c>
      <c r="C564" s="1469"/>
      <c r="D564" s="1469"/>
      <c r="E564" s="1469"/>
      <c r="F564" s="1469"/>
      <c r="G564" s="1469"/>
      <c r="H564" s="1469"/>
      <c r="I564" s="1469"/>
      <c r="J564" s="1469"/>
      <c r="K564" s="1469"/>
      <c r="L564" s="1469"/>
      <c r="M564" s="1476" t="s">
        <v>1184</v>
      </c>
      <c r="N564" s="1476"/>
      <c r="O564" s="1476"/>
      <c r="P564" s="1476"/>
      <c r="Q564" s="1394"/>
      <c r="R564" s="1395"/>
      <c r="S564" s="1396"/>
      <c r="T564" s="1394"/>
      <c r="U564" s="1395"/>
      <c r="V564" s="1396"/>
      <c r="W564" s="1406"/>
      <c r="X564" s="1407"/>
      <c r="Y564" s="1408"/>
      <c r="Z564" s="1459" t="s">
        <v>1184</v>
      </c>
      <c r="AA564" s="1459"/>
      <c r="AB564" s="1459"/>
      <c r="AC564" s="1459"/>
      <c r="AD564" s="1459"/>
      <c r="AE564" s="1415"/>
      <c r="AF564" s="1416"/>
      <c r="AG564" s="1416"/>
      <c r="AH564" s="1417"/>
      <c r="AI564" s="1403"/>
      <c r="AJ564" s="1404"/>
      <c r="AK564" s="1404"/>
      <c r="AL564" s="1405"/>
      <c r="AM564" s="1451"/>
      <c r="AN564" s="1452"/>
      <c r="AO564" s="1452"/>
      <c r="AP564" s="1452"/>
      <c r="AQ564" s="1452"/>
      <c r="AR564" s="1452"/>
      <c r="AS564" s="1453"/>
      <c r="AT564" s="1150" t="str">
        <f t="shared" si="0"/>
        <v/>
      </c>
      <c r="BB564" s="3"/>
      <c r="BC564" s="3"/>
      <c r="BD564" s="3"/>
      <c r="BE564" s="3"/>
      <c r="BF564" s="3"/>
      <c r="BG564" s="3"/>
      <c r="BH564" s="3"/>
      <c r="BI564" s="3"/>
    </row>
    <row r="565" spans="1:61" ht="12.95" customHeight="1">
      <c r="B565" s="52" t="s">
        <v>363</v>
      </c>
      <c r="C565" s="1469"/>
      <c r="D565" s="1469"/>
      <c r="E565" s="1469"/>
      <c r="F565" s="1469"/>
      <c r="G565" s="1469"/>
      <c r="H565" s="1469"/>
      <c r="I565" s="1469"/>
      <c r="J565" s="1469"/>
      <c r="K565" s="1469"/>
      <c r="L565" s="1469"/>
      <c r="M565" s="1476" t="s">
        <v>1184</v>
      </c>
      <c r="N565" s="1476"/>
      <c r="O565" s="1476"/>
      <c r="P565" s="1476"/>
      <c r="Q565" s="1394"/>
      <c r="R565" s="1395"/>
      <c r="S565" s="1396"/>
      <c r="T565" s="1394"/>
      <c r="U565" s="1395"/>
      <c r="V565" s="1396"/>
      <c r="W565" s="1406"/>
      <c r="X565" s="1407"/>
      <c r="Y565" s="1408"/>
      <c r="Z565" s="1459" t="s">
        <v>1184</v>
      </c>
      <c r="AA565" s="1459"/>
      <c r="AB565" s="1459"/>
      <c r="AC565" s="1459"/>
      <c r="AD565" s="1459"/>
      <c r="AE565" s="1415"/>
      <c r="AF565" s="1416"/>
      <c r="AG565" s="1416"/>
      <c r="AH565" s="1417"/>
      <c r="AI565" s="1403"/>
      <c r="AJ565" s="1404"/>
      <c r="AK565" s="1404"/>
      <c r="AL565" s="1405"/>
      <c r="AM565" s="1451"/>
      <c r="AN565" s="1452"/>
      <c r="AO565" s="1452"/>
      <c r="AP565" s="1452"/>
      <c r="AQ565" s="1452"/>
      <c r="AR565" s="1452"/>
      <c r="AS565" s="1453"/>
      <c r="AT565" s="1150" t="str">
        <f t="shared" si="0"/>
        <v/>
      </c>
      <c r="BB565" s="3"/>
      <c r="BC565" s="3"/>
      <c r="BD565" s="3"/>
      <c r="BE565" s="3"/>
      <c r="BF565" s="3"/>
      <c r="BG565" s="3"/>
      <c r="BH565" s="3"/>
      <c r="BI565" s="3"/>
    </row>
    <row r="566" spans="1:61" ht="12.95" customHeight="1">
      <c r="B566" s="1411" t="s">
        <v>127</v>
      </c>
      <c r="C566" s="1412"/>
      <c r="D566" s="1412"/>
      <c r="E566" s="1412"/>
      <c r="F566" s="1412"/>
      <c r="G566" s="1412"/>
      <c r="H566" s="1412"/>
      <c r="I566" s="1412"/>
      <c r="J566" s="1412"/>
      <c r="K566" s="1412"/>
      <c r="L566" s="1412"/>
      <c r="M566" s="1412"/>
      <c r="N566" s="1412"/>
      <c r="O566" s="1412"/>
      <c r="P566" s="1412"/>
      <c r="Q566" s="1412"/>
      <c r="R566" s="1412"/>
      <c r="S566" s="1412"/>
      <c r="T566" s="1412"/>
      <c r="U566" s="1413"/>
      <c r="V566" s="1412"/>
      <c r="W566" s="1412"/>
      <c r="X566" s="1412"/>
      <c r="Y566" s="1412"/>
      <c r="Z566" s="1412"/>
      <c r="AA566" s="1412"/>
      <c r="AB566" s="1412"/>
      <c r="AC566" s="1412"/>
      <c r="AD566" s="1412"/>
      <c r="AE566" s="1412"/>
      <c r="AF566" s="1412"/>
      <c r="AG566" s="1412"/>
      <c r="AH566" s="1412"/>
      <c r="AI566" s="1412"/>
      <c r="AJ566" s="1412"/>
      <c r="AK566" s="1412"/>
      <c r="AL566" s="1414"/>
      <c r="AM566" s="1436">
        <f>SUM(AM554:AS565)</f>
        <v>33516886</v>
      </c>
      <c r="AN566" s="1437"/>
      <c r="AO566" s="1437"/>
      <c r="AP566" s="1437"/>
      <c r="AQ566" s="1437"/>
      <c r="AR566" s="1437"/>
      <c r="AS566" s="1438"/>
      <c r="BB566" s="3"/>
      <c r="BC566" s="3"/>
      <c r="BD566" s="3"/>
      <c r="BE566" s="3"/>
      <c r="BF566" s="3"/>
      <c r="BG566" s="3"/>
      <c r="BH566" s="3" t="s">
        <v>455</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2.95" customHeight="1">
      <c r="A568" s="55" t="s">
        <v>112</v>
      </c>
      <c r="B568" t="s">
        <v>463</v>
      </c>
      <c r="G568" s="1489" t="str">
        <f>C554</f>
        <v>Banner Bank</v>
      </c>
      <c r="H568" s="1489"/>
      <c r="I568" s="1489"/>
      <c r="J568" s="1489"/>
      <c r="K568" s="1489"/>
      <c r="L568" s="1489"/>
      <c r="M568" s="1489"/>
      <c r="N568" s="1489"/>
      <c r="O568" s="1489"/>
      <c r="P568" s="1489"/>
      <c r="Q568" s="1489"/>
      <c r="R568" s="1489"/>
      <c r="S568" s="8"/>
      <c r="T568" s="55" t="s">
        <v>113</v>
      </c>
      <c r="U568" t="s">
        <v>463</v>
      </c>
      <c r="Z568" s="1489" t="str">
        <f>C555</f>
        <v>Banner Bank</v>
      </c>
      <c r="AA568" s="1489"/>
      <c r="AB568" s="1489"/>
      <c r="AC568" s="1489"/>
      <c r="AD568" s="1489"/>
      <c r="AE568" s="1489"/>
      <c r="AF568" s="1489"/>
      <c r="AG568" s="1489"/>
      <c r="AH568" s="1489"/>
      <c r="AI568" s="1489"/>
      <c r="AJ568" s="1489"/>
      <c r="AK568" s="1489"/>
      <c r="BB568" s="3"/>
      <c r="BC568" s="3"/>
      <c r="BD568" s="3"/>
      <c r="BE568" s="3"/>
      <c r="BF568" s="3"/>
      <c r="BG568" s="3"/>
      <c r="BH568" s="3"/>
      <c r="BI568" s="3"/>
    </row>
    <row r="569" spans="1:61" ht="12.95" customHeight="1">
      <c r="A569" s="22"/>
      <c r="B569" t="s">
        <v>85</v>
      </c>
      <c r="G569" s="1399" t="s">
        <v>2653</v>
      </c>
      <c r="H569" s="1399"/>
      <c r="I569" s="1399"/>
      <c r="J569" s="1399"/>
      <c r="K569" s="1399"/>
      <c r="L569" s="1399"/>
      <c r="M569" s="1399"/>
      <c r="N569" s="1399"/>
      <c r="O569" s="1399"/>
      <c r="P569" s="1399"/>
      <c r="Q569" s="1399"/>
      <c r="R569" s="1399"/>
      <c r="S569" s="8"/>
      <c r="T569" s="22"/>
      <c r="U569" t="s">
        <v>85</v>
      </c>
      <c r="Z569" s="1260" t="s">
        <v>2653</v>
      </c>
      <c r="AA569" s="1260"/>
      <c r="AB569" s="1260"/>
      <c r="AC569" s="1260"/>
      <c r="AD569" s="1260"/>
      <c r="AE569" s="1260"/>
      <c r="AF569" s="1260"/>
      <c r="AG569" s="1260"/>
      <c r="AH569" s="1260"/>
      <c r="AI569" s="1260"/>
      <c r="AJ569" s="1260"/>
      <c r="AK569" s="1260"/>
      <c r="BB569" s="3"/>
      <c r="BC569" s="3"/>
      <c r="BD569" s="3"/>
      <c r="BE569" s="3"/>
      <c r="BF569" s="3"/>
      <c r="BG569" s="3"/>
      <c r="BH569" s="3"/>
      <c r="BI569" s="3"/>
    </row>
    <row r="570" spans="1:61" ht="12.95" customHeight="1">
      <c r="A570" s="22"/>
      <c r="B570" t="s">
        <v>580</v>
      </c>
      <c r="G570" s="1399" t="s">
        <v>729</v>
      </c>
      <c r="H570" s="1399"/>
      <c r="I570" s="1399"/>
      <c r="J570" s="1399"/>
      <c r="K570" s="1399"/>
      <c r="L570" s="1399"/>
      <c r="M570" s="1399"/>
      <c r="N570" s="1399"/>
      <c r="O570" s="1399"/>
      <c r="P570" s="1399"/>
      <c r="Q570" s="1399"/>
      <c r="R570" s="1399"/>
      <c r="T570" s="22"/>
      <c r="U570" t="s">
        <v>580</v>
      </c>
      <c r="Z570" s="252" t="s">
        <v>729</v>
      </c>
      <c r="AA570" s="252"/>
      <c r="AB570" s="252"/>
      <c r="AC570" s="252"/>
      <c r="AD570" s="252"/>
      <c r="AE570" s="252"/>
      <c r="AF570" s="252"/>
      <c r="AG570" s="252"/>
      <c r="AH570" s="252"/>
      <c r="AI570" s="252"/>
      <c r="AJ570" s="252"/>
      <c r="AK570" s="252"/>
      <c r="BB570" s="3"/>
      <c r="BC570" s="3"/>
      <c r="BD570" s="3"/>
      <c r="BE570" s="3"/>
      <c r="BF570" s="3"/>
      <c r="BG570" s="3"/>
      <c r="BH570" s="3"/>
      <c r="BI570" s="3"/>
    </row>
    <row r="571" spans="1:61" ht="12.95" customHeight="1">
      <c r="A571" s="22"/>
      <c r="B571" t="s">
        <v>17</v>
      </c>
      <c r="G571" s="1399" t="s">
        <v>2654</v>
      </c>
      <c r="H571" s="1399"/>
      <c r="I571" s="1399"/>
      <c r="J571" s="1399"/>
      <c r="K571" s="1399"/>
      <c r="L571" s="1399"/>
      <c r="M571" s="1399"/>
      <c r="N571" s="1399"/>
      <c r="O571" s="1399"/>
      <c r="P571" s="1399"/>
      <c r="Q571" s="1399"/>
      <c r="R571" s="1399"/>
      <c r="S571" s="8"/>
      <c r="T571" s="22"/>
      <c r="U571" t="s">
        <v>17</v>
      </c>
      <c r="Z571" s="252" t="s">
        <v>2654</v>
      </c>
      <c r="AA571" s="252"/>
      <c r="AB571" s="252"/>
      <c r="AC571" s="252"/>
      <c r="AD571" s="252"/>
      <c r="AE571" s="252"/>
      <c r="AF571" s="252"/>
      <c r="AG571" s="252"/>
      <c r="AH571" s="252"/>
      <c r="AI571" s="252"/>
      <c r="AJ571" s="252"/>
      <c r="AK571" s="252"/>
      <c r="BB571" s="3"/>
      <c r="BC571" s="3"/>
      <c r="BD571" s="3"/>
      <c r="BE571" s="3"/>
      <c r="BF571" s="3"/>
      <c r="BG571" s="3"/>
      <c r="BH571" s="3"/>
      <c r="BI571" s="3"/>
    </row>
    <row r="572" spans="1:61" ht="12.95" customHeight="1">
      <c r="A572" s="22"/>
      <c r="B572" t="s">
        <v>316</v>
      </c>
      <c r="G572" s="1261" t="s">
        <v>2655</v>
      </c>
      <c r="H572" s="1259"/>
      <c r="I572" s="1259"/>
      <c r="J572" s="1259"/>
      <c r="K572" s="1259"/>
      <c r="L572" s="1259"/>
      <c r="O572" s="33" t="s">
        <v>206</v>
      </c>
      <c r="P572" s="1397"/>
      <c r="Q572" s="1397"/>
      <c r="R572" s="1397"/>
      <c r="S572" s="10"/>
      <c r="T572" s="22"/>
      <c r="U572" t="s">
        <v>316</v>
      </c>
      <c r="Z572" s="1475" t="s">
        <v>2655</v>
      </c>
      <c r="AA572" s="1475"/>
      <c r="AB572" s="1475"/>
      <c r="AC572" s="1475"/>
      <c r="AD572" s="1475"/>
      <c r="AE572" s="1475"/>
      <c r="AH572" s="33" t="s">
        <v>206</v>
      </c>
      <c r="AI572" s="1397"/>
      <c r="AJ572" s="1397"/>
      <c r="AK572" s="1397"/>
      <c r="BB572" s="3"/>
      <c r="BC572" s="3"/>
      <c r="BD572" s="3"/>
      <c r="BE572" s="3"/>
      <c r="BF572" s="3"/>
      <c r="BG572" s="3"/>
      <c r="BH572" s="3"/>
      <c r="BI572" s="3"/>
    </row>
    <row r="573" spans="1:61" ht="12.95" customHeight="1">
      <c r="A573" s="22"/>
      <c r="B573" t="s">
        <v>18</v>
      </c>
      <c r="H573" s="1399" t="s">
        <v>2656</v>
      </c>
      <c r="I573" s="1399"/>
      <c r="J573" s="1399"/>
      <c r="K573" s="1399"/>
      <c r="L573" s="1399"/>
      <c r="M573" s="1399"/>
      <c r="N573" s="1399"/>
      <c r="O573" s="1399"/>
      <c r="P573" s="1399"/>
      <c r="Q573" s="1399"/>
      <c r="R573" s="1399"/>
      <c r="S573" s="8"/>
      <c r="T573" s="22"/>
      <c r="U573" t="s">
        <v>18</v>
      </c>
      <c r="AA573" s="1399" t="s">
        <v>2656</v>
      </c>
      <c r="AB573" s="1399"/>
      <c r="AC573" s="1399"/>
      <c r="AD573" s="1399"/>
      <c r="AE573" s="1399"/>
      <c r="AF573" s="1399"/>
      <c r="AG573" s="1399"/>
      <c r="AH573" s="1399"/>
      <c r="AI573" s="1399"/>
      <c r="AJ573" s="1399"/>
      <c r="AK573" s="1399"/>
      <c r="BB573" s="3"/>
      <c r="BC573" s="3"/>
      <c r="BD573" s="3"/>
      <c r="BE573" s="3"/>
      <c r="BF573" s="3"/>
      <c r="BG573" s="3"/>
      <c r="BH573" s="3"/>
      <c r="BI573" s="3"/>
    </row>
    <row r="574" spans="1:61" ht="12.95" customHeight="1">
      <c r="A574" s="22"/>
      <c r="B574" s="321" t="s">
        <v>1185</v>
      </c>
      <c r="H574" s="8"/>
      <c r="I574" s="8"/>
      <c r="J574" s="8"/>
      <c r="K574" s="8"/>
      <c r="L574" s="8"/>
      <c r="M574" s="1613"/>
      <c r="N574" s="1614"/>
      <c r="O574" s="1614"/>
      <c r="P574" s="1614"/>
      <c r="Q574" s="1614"/>
      <c r="R574" s="1614"/>
      <c r="S574" s="8"/>
      <c r="T574" s="22"/>
      <c r="U574" s="321" t="s">
        <v>1185</v>
      </c>
      <c r="AA574" s="8"/>
      <c r="AB574" s="8"/>
      <c r="AC574" s="8"/>
      <c r="AD574" s="8"/>
      <c r="AE574" s="8"/>
      <c r="AF574" s="1613"/>
      <c r="AG574" s="1614"/>
      <c r="AH574" s="1614"/>
      <c r="AI574" s="1614"/>
      <c r="AJ574" s="1614"/>
      <c r="AK574" s="1614"/>
      <c r="BB574" s="3"/>
      <c r="BC574" s="3"/>
      <c r="BD574" s="3"/>
      <c r="BE574" s="3"/>
      <c r="BF574" s="3"/>
      <c r="BG574" s="3"/>
      <c r="BH574" s="3"/>
      <c r="BI574" s="3"/>
    </row>
    <row r="575" spans="1:61" ht="12.95" customHeight="1">
      <c r="A575" s="22"/>
      <c r="B575" t="s">
        <v>20</v>
      </c>
      <c r="N575" s="1418" t="s">
        <v>545</v>
      </c>
      <c r="O575" s="1418"/>
      <c r="T575" s="22"/>
      <c r="U575" t="s">
        <v>20</v>
      </c>
      <c r="AG575" s="1418" t="s">
        <v>545</v>
      </c>
      <c r="AH575" s="1418"/>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463</v>
      </c>
      <c r="G577" s="1489" t="str">
        <f>C556</f>
        <v>City of San Jose (Existing)</v>
      </c>
      <c r="H577" s="1489"/>
      <c r="I577" s="1489"/>
      <c r="J577" s="1489"/>
      <c r="K577" s="1489"/>
      <c r="L577" s="1489"/>
      <c r="M577" s="1489"/>
      <c r="N577" s="1489"/>
      <c r="O577" s="1489"/>
      <c r="P577" s="1489"/>
      <c r="Q577" s="1489"/>
      <c r="R577" s="1489"/>
      <c r="T577" s="55" t="s">
        <v>581</v>
      </c>
      <c r="U577" t="s">
        <v>463</v>
      </c>
      <c r="Z577" s="1489" t="str">
        <f>C557</f>
        <v>City of San Jose (Accrued Interest)</v>
      </c>
      <c r="AA577" s="1489"/>
      <c r="AB577" s="1489"/>
      <c r="AC577" s="1489"/>
      <c r="AD577" s="1489"/>
      <c r="AE577" s="1489"/>
      <c r="AF577" s="1489"/>
      <c r="AG577" s="1489"/>
      <c r="AH577" s="1489"/>
      <c r="AI577" s="1489"/>
      <c r="AJ577" s="1489"/>
      <c r="AK577" s="1489"/>
      <c r="BB577" s="3"/>
      <c r="BC577" s="3"/>
    </row>
    <row r="578" spans="1:55" ht="12.95" customHeight="1">
      <c r="A578" s="22"/>
      <c r="B578" t="s">
        <v>85</v>
      </c>
      <c r="G578" s="1399" t="s">
        <v>2661</v>
      </c>
      <c r="H578" s="1399"/>
      <c r="I578" s="1399"/>
      <c r="J578" s="1399"/>
      <c r="K578" s="1399"/>
      <c r="L578" s="1399"/>
      <c r="M578" s="1399"/>
      <c r="N578" s="1399"/>
      <c r="O578" s="1399"/>
      <c r="P578" s="1399"/>
      <c r="Q578" s="1399"/>
      <c r="R578" s="1399"/>
      <c r="T578" s="22"/>
      <c r="U578" t="s">
        <v>85</v>
      </c>
      <c r="Z578" s="1399" t="s">
        <v>2661</v>
      </c>
      <c r="AA578" s="1399"/>
      <c r="AB578" s="1399"/>
      <c r="AC578" s="1399"/>
      <c r="AD578" s="1399"/>
      <c r="AE578" s="1399"/>
      <c r="AF578" s="1399"/>
      <c r="AG578" s="1399"/>
      <c r="AH578" s="1399"/>
      <c r="AI578" s="1399"/>
      <c r="AJ578" s="1399"/>
      <c r="AK578" s="1399"/>
      <c r="BB578" s="3"/>
      <c r="BC578" s="3"/>
    </row>
    <row r="579" spans="1:55" ht="12.95" customHeight="1">
      <c r="A579" s="22"/>
      <c r="B579" t="s">
        <v>580</v>
      </c>
      <c r="G579" s="1420" t="s">
        <v>2614</v>
      </c>
      <c r="H579" s="1420"/>
      <c r="I579" s="1420"/>
      <c r="J579" s="1420"/>
      <c r="K579" s="1420"/>
      <c r="L579" s="1420"/>
      <c r="M579" s="1420"/>
      <c r="N579" s="1420"/>
      <c r="O579" s="1420"/>
      <c r="P579" s="1420"/>
      <c r="Q579" s="1420"/>
      <c r="R579" s="1420"/>
      <c r="T579" s="22"/>
      <c r="U579" t="s">
        <v>580</v>
      </c>
      <c r="Z579" s="1420" t="s">
        <v>2614</v>
      </c>
      <c r="AA579" s="1420"/>
      <c r="AB579" s="1420"/>
      <c r="AC579" s="1420"/>
      <c r="AD579" s="1420"/>
      <c r="AE579" s="1420"/>
      <c r="AF579" s="1420"/>
      <c r="AG579" s="1420"/>
      <c r="AH579" s="1420"/>
      <c r="AI579" s="1420"/>
      <c r="AJ579" s="1420"/>
      <c r="AK579" s="1420"/>
      <c r="BB579" s="3"/>
      <c r="BC579" s="3"/>
    </row>
    <row r="580" spans="1:55" ht="12.95" customHeight="1">
      <c r="A580" s="22"/>
      <c r="B580" t="s">
        <v>17</v>
      </c>
      <c r="G580" s="1420" t="s">
        <v>2662</v>
      </c>
      <c r="H580" s="1420"/>
      <c r="I580" s="1420"/>
      <c r="J580" s="1420"/>
      <c r="K580" s="1420"/>
      <c r="L580" s="1420"/>
      <c r="M580" s="1420"/>
      <c r="N580" s="1420"/>
      <c r="O580" s="1420"/>
      <c r="P580" s="1420"/>
      <c r="Q580" s="1420"/>
      <c r="R580" s="1420"/>
      <c r="T580" s="22"/>
      <c r="U580" t="s">
        <v>17</v>
      </c>
      <c r="Z580" s="1420" t="s">
        <v>2662</v>
      </c>
      <c r="AA580" s="1420"/>
      <c r="AB580" s="1420"/>
      <c r="AC580" s="1420"/>
      <c r="AD580" s="1420"/>
      <c r="AE580" s="1420"/>
      <c r="AF580" s="1420"/>
      <c r="AG580" s="1420"/>
      <c r="AH580" s="1420"/>
      <c r="AI580" s="1420"/>
      <c r="AJ580" s="1420"/>
      <c r="AK580" s="1420"/>
      <c r="BB580" s="3"/>
      <c r="BC580" s="3"/>
    </row>
    <row r="581" spans="1:55" ht="12.95" customHeight="1">
      <c r="A581" s="22"/>
      <c r="B581" t="s">
        <v>316</v>
      </c>
      <c r="G581" s="1474" t="s">
        <v>2663</v>
      </c>
      <c r="H581" s="1475"/>
      <c r="I581" s="1475"/>
      <c r="J581" s="1475"/>
      <c r="K581" s="1475"/>
      <c r="L581" s="1475"/>
      <c r="O581" s="33" t="s">
        <v>206</v>
      </c>
      <c r="P581" s="1397"/>
      <c r="Q581" s="1397"/>
      <c r="R581" s="1397"/>
      <c r="T581" s="22"/>
      <c r="U581" t="s">
        <v>316</v>
      </c>
      <c r="Z581" s="1475" t="s">
        <v>2663</v>
      </c>
      <c r="AA581" s="1475"/>
      <c r="AB581" s="1475"/>
      <c r="AC581" s="1475"/>
      <c r="AD581" s="1475"/>
      <c r="AE581" s="1475"/>
      <c r="AH581" s="33" t="s">
        <v>206</v>
      </c>
      <c r="AI581" s="1397"/>
      <c r="AJ581" s="1397"/>
      <c r="AK581" s="1397"/>
      <c r="BB581" s="3"/>
      <c r="BC581" s="3"/>
    </row>
    <row r="582" spans="1:55" ht="12.95" customHeight="1">
      <c r="A582" s="22"/>
      <c r="B582" t="s">
        <v>18</v>
      </c>
      <c r="H582" s="1399" t="s">
        <v>2664</v>
      </c>
      <c r="I582" s="1399"/>
      <c r="J582" s="1399"/>
      <c r="K582" s="1399"/>
      <c r="L582" s="1399"/>
      <c r="M582" s="1399"/>
      <c r="N582" s="1399"/>
      <c r="O582" s="1399"/>
      <c r="P582" s="1399"/>
      <c r="Q582" s="1399"/>
      <c r="R582" s="1399"/>
      <c r="T582" s="22"/>
      <c r="U582" t="s">
        <v>18</v>
      </c>
      <c r="AA582" s="1399" t="s">
        <v>2664</v>
      </c>
      <c r="AB582" s="1399"/>
      <c r="AC582" s="1399"/>
      <c r="AD582" s="1399"/>
      <c r="AE582" s="1399"/>
      <c r="AF582" s="1399"/>
      <c r="AG582" s="1399"/>
      <c r="AH582" s="1399"/>
      <c r="AI582" s="1399"/>
      <c r="AJ582" s="1399"/>
      <c r="AK582" s="1399"/>
      <c r="BB582" s="3"/>
      <c r="BC582" s="3"/>
    </row>
    <row r="583" spans="1:55" ht="12.95" customHeight="1">
      <c r="A583" s="22"/>
      <c r="B583" t="s">
        <v>20</v>
      </c>
      <c r="N583" s="1418" t="s">
        <v>545</v>
      </c>
      <c r="O583" s="1418"/>
      <c r="T583" s="22"/>
      <c r="U583" t="s">
        <v>20</v>
      </c>
      <c r="AG583" s="1418" t="s">
        <v>545</v>
      </c>
      <c r="AH583" s="1418"/>
      <c r="BB583" s="3"/>
      <c r="BC583" s="3"/>
    </row>
    <row r="584" spans="1:55" ht="12.95" customHeight="1">
      <c r="A584" s="22"/>
      <c r="T584" s="22"/>
      <c r="BB584" s="3"/>
      <c r="BC584" s="3"/>
    </row>
    <row r="585" spans="1:55" ht="12.95" customHeight="1">
      <c r="A585" s="55" t="s">
        <v>763</v>
      </c>
      <c r="B585" t="s">
        <v>463</v>
      </c>
      <c r="G585" s="1489" t="str">
        <f>C558</f>
        <v>NOI During Construction</v>
      </c>
      <c r="H585" s="1489"/>
      <c r="I585" s="1489"/>
      <c r="J585" s="1489"/>
      <c r="K585" s="1489"/>
      <c r="L585" s="1489"/>
      <c r="M585" s="1489"/>
      <c r="N585" s="1489"/>
      <c r="O585" s="1489"/>
      <c r="P585" s="1489"/>
      <c r="Q585" s="1489"/>
      <c r="R585" s="1489"/>
      <c r="T585" s="55" t="s">
        <v>584</v>
      </c>
      <c r="U585" t="s">
        <v>463</v>
      </c>
      <c r="Z585" s="1489" t="str">
        <f>C559</f>
        <v>Equity</v>
      </c>
      <c r="AA585" s="1489"/>
      <c r="AB585" s="1489"/>
      <c r="AC585" s="1489"/>
      <c r="AD585" s="1489"/>
      <c r="AE585" s="1489"/>
      <c r="AF585" s="1489"/>
      <c r="AG585" s="1489"/>
      <c r="AH585" s="1489"/>
      <c r="AI585" s="1489"/>
      <c r="AJ585" s="1489"/>
      <c r="AK585" s="1489"/>
      <c r="BB585" s="3"/>
      <c r="BC585" s="3"/>
    </row>
    <row r="586" spans="1:55" ht="12.95" customHeight="1">
      <c r="A586" s="22"/>
      <c r="B586" t="s">
        <v>85</v>
      </c>
      <c r="G586" s="1399" t="s">
        <v>2657</v>
      </c>
      <c r="H586" s="1399"/>
      <c r="I586" s="1399"/>
      <c r="J586" s="1399"/>
      <c r="K586" s="1399"/>
      <c r="L586" s="1399"/>
      <c r="M586" s="1399"/>
      <c r="N586" s="1399"/>
      <c r="O586" s="1399"/>
      <c r="P586" s="1399"/>
      <c r="Q586" s="1399"/>
      <c r="R586" s="1399"/>
      <c r="T586" s="22"/>
      <c r="U586" t="s">
        <v>85</v>
      </c>
      <c r="Z586" s="1399"/>
      <c r="AA586" s="1399"/>
      <c r="AB586" s="1399"/>
      <c r="AC586" s="1399"/>
      <c r="AD586" s="1399"/>
      <c r="AE586" s="1399"/>
      <c r="AF586" s="1399"/>
      <c r="AG586" s="1399"/>
      <c r="AH586" s="1399"/>
      <c r="AI586" s="1399"/>
      <c r="AJ586" s="1399"/>
      <c r="AK586" s="1399"/>
      <c r="BB586" s="3"/>
      <c r="BC586" s="3"/>
    </row>
    <row r="587" spans="1:55" ht="12.95" customHeight="1">
      <c r="A587" s="22"/>
      <c r="B587" t="s">
        <v>580</v>
      </c>
      <c r="G587" s="1399" t="s">
        <v>729</v>
      </c>
      <c r="H587" s="1399"/>
      <c r="I587" s="1399"/>
      <c r="J587" s="1399"/>
      <c r="K587" s="1399"/>
      <c r="L587" s="1399"/>
      <c r="M587" s="1399"/>
      <c r="N587" s="1399"/>
      <c r="O587" s="1399"/>
      <c r="P587" s="1399"/>
      <c r="Q587" s="1399"/>
      <c r="R587" s="1399"/>
      <c r="T587" s="22"/>
      <c r="U587" t="s">
        <v>580</v>
      </c>
      <c r="Z587" s="1420"/>
      <c r="AA587" s="1420"/>
      <c r="AB587" s="1420"/>
      <c r="AC587" s="1420"/>
      <c r="AD587" s="1420"/>
      <c r="AE587" s="1420"/>
      <c r="AF587" s="1420"/>
      <c r="AG587" s="1420"/>
      <c r="AH587" s="1420"/>
      <c r="AI587" s="1420"/>
      <c r="AJ587" s="1420"/>
      <c r="AK587" s="1420"/>
      <c r="BB587" s="3"/>
      <c r="BC587" s="3"/>
    </row>
    <row r="588" spans="1:55" ht="12.95" customHeight="1">
      <c r="A588" s="22"/>
      <c r="B588" t="s">
        <v>17</v>
      </c>
      <c r="G588" s="1399" t="s">
        <v>2658</v>
      </c>
      <c r="H588" s="1399"/>
      <c r="I588" s="1399"/>
      <c r="J588" s="1399"/>
      <c r="K588" s="1399"/>
      <c r="L588" s="1399"/>
      <c r="M588" s="1399"/>
      <c r="N588" s="1399"/>
      <c r="O588" s="1399"/>
      <c r="P588" s="1399"/>
      <c r="Q588" s="1399"/>
      <c r="R588" s="1399"/>
      <c r="T588" s="22"/>
      <c r="U588" t="s">
        <v>17</v>
      </c>
      <c r="Z588" s="1420"/>
      <c r="AA588" s="1420"/>
      <c r="AB588" s="1420"/>
      <c r="AC588" s="1420"/>
      <c r="AD588" s="1420"/>
      <c r="AE588" s="1420"/>
      <c r="AF588" s="1420"/>
      <c r="AG588" s="1420"/>
      <c r="AH588" s="1420"/>
      <c r="AI588" s="1420"/>
      <c r="AJ588" s="1420"/>
      <c r="AK588" s="1420"/>
    </row>
    <row r="589" spans="1:55" ht="12.95" customHeight="1">
      <c r="A589" s="22"/>
      <c r="B589" t="s">
        <v>316</v>
      </c>
      <c r="G589" s="1474" t="s">
        <v>2659</v>
      </c>
      <c r="H589" s="1475"/>
      <c r="I589" s="1475"/>
      <c r="J589" s="1475"/>
      <c r="K589" s="1475"/>
      <c r="L589" s="1475"/>
      <c r="O589" s="33" t="s">
        <v>206</v>
      </c>
      <c r="P589" s="1397"/>
      <c r="Q589" s="1397"/>
      <c r="R589" s="1397"/>
      <c r="T589" s="22"/>
      <c r="U589" t="s">
        <v>316</v>
      </c>
      <c r="Z589" s="1475"/>
      <c r="AA589" s="1475"/>
      <c r="AB589" s="1475"/>
      <c r="AC589" s="1475"/>
      <c r="AD589" s="1475"/>
      <c r="AE589" s="1475"/>
      <c r="AH589" s="33" t="s">
        <v>206</v>
      </c>
      <c r="AI589" s="1397"/>
      <c r="AJ589" s="1397"/>
      <c r="AK589" s="1397"/>
      <c r="AZ589" s="3"/>
      <c r="BA589" s="3"/>
      <c r="BB589" s="3"/>
      <c r="BC589" s="3"/>
    </row>
    <row r="590" spans="1:55" ht="12.95" customHeight="1">
      <c r="A590" s="22"/>
      <c r="B590" t="s">
        <v>18</v>
      </c>
      <c r="H590" s="1399" t="s">
        <v>2660</v>
      </c>
      <c r="I590" s="1399"/>
      <c r="J590" s="1399"/>
      <c r="K590" s="1399"/>
      <c r="L590" s="1399"/>
      <c r="M590" s="1399"/>
      <c r="N590" s="1399"/>
      <c r="O590" s="1399"/>
      <c r="P590" s="1399"/>
      <c r="Q590" s="1399"/>
      <c r="R590" s="1399"/>
      <c r="T590" s="22"/>
      <c r="U590" t="s">
        <v>18</v>
      </c>
      <c r="AA590" s="1399"/>
      <c r="AB590" s="1399"/>
      <c r="AC590" s="1399"/>
      <c r="AD590" s="1399"/>
      <c r="AE590" s="1399"/>
      <c r="AF590" s="1399"/>
      <c r="AG590" s="1399"/>
      <c r="AH590" s="1399"/>
      <c r="AI590" s="1399"/>
      <c r="AJ590" s="1399"/>
      <c r="AK590" s="1399"/>
      <c r="AZ590" s="3"/>
      <c r="BA590" s="3"/>
      <c r="BB590" s="3"/>
      <c r="BC590" s="3"/>
    </row>
    <row r="591" spans="1:55" ht="12.95" customHeight="1">
      <c r="A591" s="22"/>
      <c r="B591" t="s">
        <v>20</v>
      </c>
      <c r="N591" s="1418" t="s">
        <v>545</v>
      </c>
      <c r="O591" s="1418"/>
      <c r="T591" s="22"/>
      <c r="U591" t="s">
        <v>20</v>
      </c>
      <c r="AG591" s="1418" t="s">
        <v>669</v>
      </c>
      <c r="AH591" s="1418"/>
      <c r="AZ591" s="3"/>
      <c r="BA591" s="3"/>
      <c r="BB591" s="3"/>
      <c r="BC591" s="3"/>
    </row>
    <row r="592" spans="1:55" ht="12.95" customHeight="1">
      <c r="A592" s="22"/>
      <c r="T592" s="22"/>
      <c r="AZ592" s="3"/>
      <c r="BA592" s="3"/>
      <c r="BB592" s="3"/>
      <c r="BC592" s="3"/>
    </row>
    <row r="593" spans="1:55" ht="12.95" customHeight="1">
      <c r="A593" s="55" t="s">
        <v>455</v>
      </c>
      <c r="B593" t="s">
        <v>463</v>
      </c>
      <c r="G593" s="1489">
        <f>C560</f>
        <v>0</v>
      </c>
      <c r="H593" s="1489"/>
      <c r="I593" s="1489"/>
      <c r="J593" s="1489"/>
      <c r="K593" s="1489"/>
      <c r="L593" s="1489"/>
      <c r="M593" s="1489"/>
      <c r="N593" s="1489"/>
      <c r="O593" s="1489"/>
      <c r="P593" s="1489"/>
      <c r="Q593" s="1489"/>
      <c r="R593" s="1489"/>
      <c r="T593" s="55" t="s">
        <v>456</v>
      </c>
      <c r="U593" t="s">
        <v>463</v>
      </c>
      <c r="Z593" s="1489">
        <f>C561</f>
        <v>0</v>
      </c>
      <c r="AA593" s="1489"/>
      <c r="AB593" s="1489"/>
      <c r="AC593" s="1489"/>
      <c r="AD593" s="1489"/>
      <c r="AE593" s="1489"/>
      <c r="AF593" s="1489"/>
      <c r="AG593" s="1489"/>
      <c r="AH593" s="1489"/>
      <c r="AI593" s="1489"/>
      <c r="AJ593" s="1489"/>
      <c r="AK593" s="1489"/>
      <c r="AZ593" s="3"/>
      <c r="BA593" s="3"/>
      <c r="BB593" s="3"/>
      <c r="BC593" s="3"/>
    </row>
    <row r="594" spans="1:55" s="4" customFormat="1" ht="12.95" customHeight="1">
      <c r="A594" s="22"/>
      <c r="B594" t="s">
        <v>85</v>
      </c>
      <c r="C594"/>
      <c r="D594"/>
      <c r="E594"/>
      <c r="F594"/>
      <c r="G594" s="1399"/>
      <c r="H594" s="1399"/>
      <c r="I594" s="1399"/>
      <c r="J594" s="1399"/>
      <c r="K594" s="1399"/>
      <c r="L594" s="1399"/>
      <c r="M594" s="1399"/>
      <c r="N594" s="1399"/>
      <c r="O594" s="1399"/>
      <c r="P594" s="1399"/>
      <c r="Q594" s="1399"/>
      <c r="R594" s="1399"/>
      <c r="S594"/>
      <c r="T594" s="22"/>
      <c r="U594" t="s">
        <v>85</v>
      </c>
      <c r="V594"/>
      <c r="W594"/>
      <c r="X594"/>
      <c r="Y594"/>
      <c r="Z594" s="1399"/>
      <c r="AA594" s="1399"/>
      <c r="AB594" s="1399"/>
      <c r="AC594" s="1399"/>
      <c r="AD594" s="1399"/>
      <c r="AE594" s="1399"/>
      <c r="AF594" s="1399"/>
      <c r="AG594" s="1399"/>
      <c r="AH594" s="1399"/>
      <c r="AI594" s="1399"/>
      <c r="AJ594" s="1399"/>
      <c r="AK594" s="1399"/>
      <c r="AL594"/>
      <c r="AM594"/>
      <c r="AN594"/>
      <c r="AO594"/>
      <c r="AP594"/>
      <c r="AQ594"/>
      <c r="AR594"/>
      <c r="AS594"/>
      <c r="AT594"/>
      <c r="AU594"/>
      <c r="AV594"/>
      <c r="AW594"/>
      <c r="AX594"/>
      <c r="AY594"/>
      <c r="AZ594" s="3"/>
      <c r="BA594" s="3"/>
      <c r="BB594" s="3"/>
      <c r="BC594" s="3"/>
    </row>
    <row r="595" spans="1:55" s="4" customFormat="1" ht="12.95" customHeight="1">
      <c r="A595" s="22"/>
      <c r="B595" t="s">
        <v>580</v>
      </c>
      <c r="C595"/>
      <c r="D595"/>
      <c r="E595"/>
      <c r="F595"/>
      <c r="G595" s="1399"/>
      <c r="H595" s="1399"/>
      <c r="I595" s="1399"/>
      <c r="J595" s="1399"/>
      <c r="K595" s="1399"/>
      <c r="L595" s="1399"/>
      <c r="M595" s="1399"/>
      <c r="N595" s="1399"/>
      <c r="O595" s="1399"/>
      <c r="P595" s="1399"/>
      <c r="Q595" s="1399"/>
      <c r="R595" s="1399"/>
      <c r="S595"/>
      <c r="T595" s="22"/>
      <c r="U595" t="s">
        <v>580</v>
      </c>
      <c r="V595"/>
      <c r="W595"/>
      <c r="X595"/>
      <c r="Y595"/>
      <c r="Z595" s="1420"/>
      <c r="AA595" s="1420"/>
      <c r="AB595" s="1420"/>
      <c r="AC595" s="1420"/>
      <c r="AD595" s="1420"/>
      <c r="AE595" s="1420"/>
      <c r="AF595" s="1420"/>
      <c r="AG595" s="1420"/>
      <c r="AH595" s="1420"/>
      <c r="AI595" s="1420"/>
      <c r="AJ595" s="1420"/>
      <c r="AK595" s="1420"/>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399"/>
      <c r="H596" s="1399"/>
      <c r="I596" s="1399"/>
      <c r="J596" s="1399"/>
      <c r="K596" s="1399"/>
      <c r="L596" s="1399"/>
      <c r="M596" s="1399"/>
      <c r="N596" s="1399"/>
      <c r="O596" s="1399"/>
      <c r="P596" s="1399"/>
      <c r="Q596" s="1399"/>
      <c r="R596" s="1399"/>
      <c r="S596"/>
      <c r="T596" s="22"/>
      <c r="U596" t="s">
        <v>17</v>
      </c>
      <c r="V596"/>
      <c r="W596"/>
      <c r="X596"/>
      <c r="Y596"/>
      <c r="Z596" s="1420"/>
      <c r="AA596" s="1420"/>
      <c r="AB596" s="1420"/>
      <c r="AC596" s="1420"/>
      <c r="AD596" s="1420"/>
      <c r="AE596" s="1420"/>
      <c r="AF596" s="1420"/>
      <c r="AG596" s="1420"/>
      <c r="AH596" s="1420"/>
      <c r="AI596" s="1420"/>
      <c r="AJ596" s="1420"/>
      <c r="AK596" s="1420"/>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475"/>
      <c r="H597" s="1475"/>
      <c r="I597" s="1475"/>
      <c r="J597" s="1475"/>
      <c r="K597" s="1475"/>
      <c r="L597" s="1475"/>
      <c r="M597"/>
      <c r="N597"/>
      <c r="O597" s="33" t="s">
        <v>206</v>
      </c>
      <c r="P597" s="1397"/>
      <c r="Q597" s="1397"/>
      <c r="R597" s="1397"/>
      <c r="S597"/>
      <c r="T597" s="22"/>
      <c r="U597" t="s">
        <v>316</v>
      </c>
      <c r="V597"/>
      <c r="W597"/>
      <c r="X597"/>
      <c r="Y597"/>
      <c r="Z597" s="1475"/>
      <c r="AA597" s="1475"/>
      <c r="AB597" s="1475"/>
      <c r="AC597" s="1475"/>
      <c r="AD597" s="1475"/>
      <c r="AE597" s="1475"/>
      <c r="AF597"/>
      <c r="AG597"/>
      <c r="AH597" s="33" t="s">
        <v>206</v>
      </c>
      <c r="AI597" s="1397"/>
      <c r="AJ597" s="1397"/>
      <c r="AK597" s="1397"/>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399"/>
      <c r="I598" s="1399"/>
      <c r="J598" s="1399"/>
      <c r="K598" s="1399"/>
      <c r="L598" s="1399"/>
      <c r="M598" s="1399"/>
      <c r="N598" s="1399"/>
      <c r="O598" s="1399"/>
      <c r="P598" s="1399"/>
      <c r="Q598" s="1399"/>
      <c r="R598" s="1399"/>
      <c r="S598"/>
      <c r="T598" s="22"/>
      <c r="U598" t="s">
        <v>18</v>
      </c>
      <c r="V598"/>
      <c r="W598"/>
      <c r="X598"/>
      <c r="Y598"/>
      <c r="Z598"/>
      <c r="AA598" s="1399"/>
      <c r="AB598" s="1399"/>
      <c r="AC598" s="1399"/>
      <c r="AD598" s="1399"/>
      <c r="AE598" s="1399"/>
      <c r="AF598" s="1399"/>
      <c r="AG598" s="1399"/>
      <c r="AH598" s="1399"/>
      <c r="AI598" s="1399"/>
      <c r="AJ598" s="1399"/>
      <c r="AK598" s="1399"/>
      <c r="AL598"/>
      <c r="AM598"/>
      <c r="AN598"/>
      <c r="AO598"/>
      <c r="AP598"/>
      <c r="AQ598"/>
      <c r="AR598"/>
      <c r="AS598"/>
      <c r="AT598"/>
      <c r="AU598"/>
      <c r="AV598"/>
      <c r="AW598"/>
      <c r="AX598"/>
      <c r="AY598"/>
      <c r="BB598" s="3"/>
      <c r="BC598" s="3"/>
    </row>
    <row r="599" spans="1:55" ht="12.95" customHeight="1">
      <c r="A599" s="22"/>
      <c r="B599" t="s">
        <v>20</v>
      </c>
      <c r="N599" s="1418" t="s">
        <v>669</v>
      </c>
      <c r="O599" s="1418"/>
      <c r="T599" s="22"/>
      <c r="U599" t="s">
        <v>20</v>
      </c>
      <c r="AG599" s="1418" t="s">
        <v>669</v>
      </c>
      <c r="AH599" s="1418"/>
      <c r="BB599" s="3"/>
      <c r="BC599" s="3"/>
    </row>
    <row r="600" spans="1:55" ht="12.95" customHeight="1">
      <c r="A600" s="22"/>
      <c r="T600" s="22"/>
      <c r="BB600" s="3"/>
      <c r="BC600" s="3"/>
    </row>
    <row r="601" spans="1:55" ht="12.95" customHeight="1">
      <c r="A601" s="55" t="s">
        <v>461</v>
      </c>
      <c r="B601" t="s">
        <v>463</v>
      </c>
      <c r="G601" s="1489">
        <f>C562</f>
        <v>0</v>
      </c>
      <c r="H601" s="1489"/>
      <c r="I601" s="1489"/>
      <c r="J601" s="1489"/>
      <c r="K601" s="1489"/>
      <c r="L601" s="1489"/>
      <c r="M601" s="1489"/>
      <c r="N601" s="1489"/>
      <c r="O601" s="1489"/>
      <c r="P601" s="1489"/>
      <c r="Q601" s="1489"/>
      <c r="R601" s="1489"/>
      <c r="T601" s="55" t="s">
        <v>646</v>
      </c>
      <c r="U601" t="s">
        <v>463</v>
      </c>
      <c r="Z601" s="1489">
        <f>C563</f>
        <v>0</v>
      </c>
      <c r="AA601" s="1489"/>
      <c r="AB601" s="1489"/>
      <c r="AC601" s="1489"/>
      <c r="AD601" s="1489"/>
      <c r="AE601" s="1489"/>
      <c r="AF601" s="1489"/>
      <c r="AG601" s="1489"/>
      <c r="AH601" s="1489"/>
      <c r="AI601" s="1489"/>
      <c r="AJ601" s="1489"/>
      <c r="AK601" s="1489"/>
      <c r="BB601" s="3"/>
      <c r="BC601" s="3"/>
    </row>
    <row r="602" spans="1:55" ht="12.95" customHeight="1">
      <c r="A602" s="22"/>
      <c r="B602" t="s">
        <v>85</v>
      </c>
      <c r="G602" s="1399"/>
      <c r="H602" s="1399"/>
      <c r="I602" s="1399"/>
      <c r="J602" s="1399"/>
      <c r="K602" s="1399"/>
      <c r="L602" s="1399"/>
      <c r="M602" s="1399"/>
      <c r="N602" s="1399"/>
      <c r="O602" s="1399"/>
      <c r="P602" s="1399"/>
      <c r="Q602" s="1399"/>
      <c r="R602" s="1399"/>
      <c r="T602" s="22"/>
      <c r="U602" t="s">
        <v>85</v>
      </c>
      <c r="Z602" s="1399"/>
      <c r="AA602" s="1399"/>
      <c r="AB602" s="1399"/>
      <c r="AC602" s="1399"/>
      <c r="AD602" s="1399"/>
      <c r="AE602" s="1399"/>
      <c r="AF602" s="1399"/>
      <c r="AG602" s="1399"/>
      <c r="AH602" s="1399"/>
      <c r="AI602" s="1399"/>
      <c r="AJ602" s="1399"/>
      <c r="AK602" s="1399"/>
      <c r="AZ602" s="3"/>
      <c r="BA602" s="3"/>
      <c r="BB602" s="3"/>
      <c r="BC602" s="3"/>
    </row>
    <row r="603" spans="1:55" ht="12.95" customHeight="1">
      <c r="A603" s="22"/>
      <c r="B603" t="s">
        <v>580</v>
      </c>
      <c r="G603" s="1399"/>
      <c r="H603" s="1399"/>
      <c r="I603" s="1399"/>
      <c r="J603" s="1399"/>
      <c r="K603" s="1399"/>
      <c r="L603" s="1399"/>
      <c r="M603" s="1399"/>
      <c r="N603" s="1399"/>
      <c r="O603" s="1399"/>
      <c r="P603" s="1399"/>
      <c r="Q603" s="1399"/>
      <c r="R603" s="1399"/>
      <c r="T603" s="22"/>
      <c r="U603" t="s">
        <v>580</v>
      </c>
      <c r="Z603" s="1420"/>
      <c r="AA603" s="1420"/>
      <c r="AB603" s="1420"/>
      <c r="AC603" s="1420"/>
      <c r="AD603" s="1420"/>
      <c r="AE603" s="1420"/>
      <c r="AF603" s="1420"/>
      <c r="AG603" s="1420"/>
      <c r="AH603" s="1420"/>
      <c r="AI603" s="1420"/>
      <c r="AJ603" s="1420"/>
      <c r="AK603" s="1420"/>
      <c r="AZ603" s="3"/>
      <c r="BA603" s="3"/>
      <c r="BB603" s="3"/>
      <c r="BC603" s="3"/>
    </row>
    <row r="604" spans="1:55" ht="12.95" customHeight="1">
      <c r="A604" s="22"/>
      <c r="B604" t="s">
        <v>17</v>
      </c>
      <c r="G604" s="1399"/>
      <c r="H604" s="1399"/>
      <c r="I604" s="1399"/>
      <c r="J604" s="1399"/>
      <c r="K604" s="1399"/>
      <c r="L604" s="1399"/>
      <c r="M604" s="1399"/>
      <c r="N604" s="1399"/>
      <c r="O604" s="1399"/>
      <c r="P604" s="1399"/>
      <c r="Q604" s="1399"/>
      <c r="R604" s="1399"/>
      <c r="T604" s="22"/>
      <c r="U604" t="s">
        <v>17</v>
      </c>
      <c r="Z604" s="1420"/>
      <c r="AA604" s="1420"/>
      <c r="AB604" s="1420"/>
      <c r="AC604" s="1420"/>
      <c r="AD604" s="1420"/>
      <c r="AE604" s="1420"/>
      <c r="AF604" s="1420"/>
      <c r="AG604" s="1420"/>
      <c r="AH604" s="1420"/>
      <c r="AI604" s="1420"/>
      <c r="AJ604" s="1420"/>
      <c r="AK604" s="1420"/>
      <c r="AZ604" s="3"/>
      <c r="BA604" s="3"/>
      <c r="BB604" s="3"/>
      <c r="BC604" s="3"/>
    </row>
    <row r="605" spans="1:55" s="4" customFormat="1" ht="12.95" customHeight="1">
      <c r="A605" s="22"/>
      <c r="B605" t="s">
        <v>316</v>
      </c>
      <c r="C605"/>
      <c r="D605"/>
      <c r="E605"/>
      <c r="F605"/>
      <c r="G605" s="1475"/>
      <c r="H605" s="1475"/>
      <c r="I605" s="1475"/>
      <c r="J605" s="1475"/>
      <c r="K605" s="1475"/>
      <c r="L605" s="1475"/>
      <c r="M605"/>
      <c r="N605"/>
      <c r="O605" s="33" t="s">
        <v>206</v>
      </c>
      <c r="P605" s="1397"/>
      <c r="Q605" s="1397"/>
      <c r="R605" s="1397"/>
      <c r="S605"/>
      <c r="T605" s="22"/>
      <c r="U605" t="s">
        <v>316</v>
      </c>
      <c r="V605"/>
      <c r="W605"/>
      <c r="X605"/>
      <c r="Y605"/>
      <c r="Z605" s="1475"/>
      <c r="AA605" s="1475"/>
      <c r="AB605" s="1475"/>
      <c r="AC605" s="1475"/>
      <c r="AD605" s="1475"/>
      <c r="AE605" s="1475"/>
      <c r="AF605"/>
      <c r="AG605"/>
      <c r="AH605" s="33" t="s">
        <v>206</v>
      </c>
      <c r="AI605" s="1397"/>
      <c r="AJ605" s="1397"/>
      <c r="AK605" s="1397"/>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399"/>
      <c r="I606" s="1399"/>
      <c r="J606" s="1399"/>
      <c r="K606" s="1399"/>
      <c r="L606" s="1399"/>
      <c r="M606" s="1399"/>
      <c r="N606" s="1399"/>
      <c r="O606" s="1399"/>
      <c r="P606" s="1399"/>
      <c r="Q606" s="1399"/>
      <c r="R606" s="1399"/>
      <c r="S606"/>
      <c r="T606" s="22"/>
      <c r="U606" t="s">
        <v>18</v>
      </c>
      <c r="V606"/>
      <c r="W606"/>
      <c r="X606"/>
      <c r="Y606"/>
      <c r="Z606"/>
      <c r="AA606" s="1399"/>
      <c r="AB606" s="1399"/>
      <c r="AC606" s="1399"/>
      <c r="AD606" s="1399"/>
      <c r="AE606" s="1399"/>
      <c r="AF606" s="1399"/>
      <c r="AG606" s="1399"/>
      <c r="AH606" s="1399"/>
      <c r="AI606" s="1399"/>
      <c r="AJ606" s="1399"/>
      <c r="AK606" s="1399"/>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418" t="s">
        <v>669</v>
      </c>
      <c r="O607" s="1418"/>
      <c r="P607"/>
      <c r="Q607"/>
      <c r="R607"/>
      <c r="S607"/>
      <c r="T607" s="22"/>
      <c r="U607" t="s">
        <v>20</v>
      </c>
      <c r="V607"/>
      <c r="W607"/>
      <c r="X607"/>
      <c r="Y607"/>
      <c r="Z607"/>
      <c r="AA607"/>
      <c r="AB607"/>
      <c r="AC607"/>
      <c r="AD607"/>
      <c r="AE607"/>
      <c r="AF607"/>
      <c r="AG607" s="1418" t="s">
        <v>669</v>
      </c>
      <c r="AH607" s="1418"/>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463</v>
      </c>
      <c r="G609" s="1489">
        <f>C564</f>
        <v>0</v>
      </c>
      <c r="H609" s="1489"/>
      <c r="I609" s="1489"/>
      <c r="J609" s="1489"/>
      <c r="K609" s="1489"/>
      <c r="L609" s="1489"/>
      <c r="M609" s="1489"/>
      <c r="N609" s="1489"/>
      <c r="O609" s="1489"/>
      <c r="P609" s="1489"/>
      <c r="Q609" s="1489"/>
      <c r="R609" s="1489"/>
      <c r="T609" s="55" t="s">
        <v>363</v>
      </c>
      <c r="U609" t="s">
        <v>463</v>
      </c>
      <c r="Z609" s="1489">
        <f>C565</f>
        <v>0</v>
      </c>
      <c r="AA609" s="1489"/>
      <c r="AB609" s="1489"/>
      <c r="AC609" s="1489"/>
      <c r="AD609" s="1489"/>
      <c r="AE609" s="1489"/>
      <c r="AF609" s="1489"/>
      <c r="AG609" s="1489"/>
      <c r="AH609" s="1489"/>
      <c r="AI609" s="1489"/>
      <c r="AJ609" s="1489"/>
      <c r="AK609" s="1489"/>
      <c r="AZ609" s="3"/>
      <c r="BA609" s="3"/>
      <c r="BB609" s="3"/>
      <c r="BC609" s="3"/>
    </row>
    <row r="610" spans="1:55" ht="12.95" customHeight="1">
      <c r="B610" t="s">
        <v>85</v>
      </c>
      <c r="G610" s="1399"/>
      <c r="H610" s="1399"/>
      <c r="I610" s="1399"/>
      <c r="J610" s="1399"/>
      <c r="K610" s="1399"/>
      <c r="L610" s="1399"/>
      <c r="M610" s="1399"/>
      <c r="N610" s="1399"/>
      <c r="O610" s="1399"/>
      <c r="P610" s="1399"/>
      <c r="Q610" s="1399"/>
      <c r="R610" s="1399"/>
      <c r="U610" t="s">
        <v>85</v>
      </c>
      <c r="Z610" s="1399"/>
      <c r="AA610" s="1399"/>
      <c r="AB610" s="1399"/>
      <c r="AC610" s="1399"/>
      <c r="AD610" s="1399"/>
      <c r="AE610" s="1399"/>
      <c r="AF610" s="1399"/>
      <c r="AG610" s="1399"/>
      <c r="AH610" s="1399"/>
      <c r="AI610" s="1399"/>
      <c r="AJ610" s="1399"/>
      <c r="AK610" s="1399"/>
      <c r="AZ610" s="3"/>
      <c r="BA610" s="3"/>
      <c r="BB610" s="3"/>
      <c r="BC610" s="3"/>
    </row>
    <row r="611" spans="1:55" ht="12.95" customHeight="1">
      <c r="B611" t="s">
        <v>580</v>
      </c>
      <c r="G611" s="1399"/>
      <c r="H611" s="1399"/>
      <c r="I611" s="1399"/>
      <c r="J611" s="1399"/>
      <c r="K611" s="1399"/>
      <c r="L611" s="1399"/>
      <c r="M611" s="1399"/>
      <c r="N611" s="1399"/>
      <c r="O611" s="1399"/>
      <c r="P611" s="1399"/>
      <c r="Q611" s="1399"/>
      <c r="R611" s="1399"/>
      <c r="U611" t="s">
        <v>580</v>
      </c>
      <c r="Z611" s="1420"/>
      <c r="AA611" s="1420"/>
      <c r="AB611" s="1420"/>
      <c r="AC611" s="1420"/>
      <c r="AD611" s="1420"/>
      <c r="AE611" s="1420"/>
      <c r="AF611" s="1420"/>
      <c r="AG611" s="1420"/>
      <c r="AH611" s="1420"/>
      <c r="AI611" s="1420"/>
      <c r="AJ611" s="1420"/>
      <c r="AK611" s="1420"/>
      <c r="AZ611" s="3"/>
      <c r="BA611" s="3"/>
      <c r="BB611" s="3"/>
      <c r="BC611" s="3"/>
    </row>
    <row r="612" spans="1:55" ht="12.95" customHeight="1">
      <c r="B612" t="s">
        <v>17</v>
      </c>
      <c r="G612" s="1399"/>
      <c r="H612" s="1399"/>
      <c r="I612" s="1399"/>
      <c r="J612" s="1399"/>
      <c r="K612" s="1399"/>
      <c r="L612" s="1399"/>
      <c r="M612" s="1399"/>
      <c r="N612" s="1399"/>
      <c r="O612" s="1399"/>
      <c r="P612" s="1399"/>
      <c r="Q612" s="1399"/>
      <c r="R612" s="1399"/>
      <c r="U612" t="s">
        <v>17</v>
      </c>
      <c r="Z612" s="1420"/>
      <c r="AA612" s="1420"/>
      <c r="AB612" s="1420"/>
      <c r="AC612" s="1420"/>
      <c r="AD612" s="1420"/>
      <c r="AE612" s="1420"/>
      <c r="AF612" s="1420"/>
      <c r="AG612" s="1420"/>
      <c r="AH612" s="1420"/>
      <c r="AI612" s="1420"/>
      <c r="AJ612" s="1420"/>
      <c r="AK612" s="1420"/>
      <c r="AZ612" s="3"/>
      <c r="BA612" s="3"/>
      <c r="BB612" s="3"/>
      <c r="BC612" s="3"/>
    </row>
    <row r="613" spans="1:55" ht="12.95" customHeight="1">
      <c r="B613" t="s">
        <v>316</v>
      </c>
      <c r="G613" s="1475"/>
      <c r="H613" s="1475"/>
      <c r="I613" s="1475"/>
      <c r="J613" s="1475"/>
      <c r="K613" s="1475"/>
      <c r="L613" s="1475"/>
      <c r="O613" s="33" t="s">
        <v>206</v>
      </c>
      <c r="P613" s="1397"/>
      <c r="Q613" s="1397"/>
      <c r="R613" s="1397"/>
      <c r="U613" t="s">
        <v>316</v>
      </c>
      <c r="Z613" s="1475"/>
      <c r="AA613" s="1475"/>
      <c r="AB613" s="1475"/>
      <c r="AC613" s="1475"/>
      <c r="AD613" s="1475"/>
      <c r="AE613" s="1475"/>
      <c r="AH613" s="33" t="s">
        <v>206</v>
      </c>
      <c r="AI613" s="1397"/>
      <c r="AJ613" s="1397"/>
      <c r="AK613" s="1397"/>
      <c r="AZ613" s="3"/>
      <c r="BA613" s="3"/>
      <c r="BB613" s="3"/>
      <c r="BC613" s="3"/>
    </row>
    <row r="614" spans="1:55" ht="12.95" customHeight="1">
      <c r="B614" t="s">
        <v>18</v>
      </c>
      <c r="H614" s="1399"/>
      <c r="I614" s="1399"/>
      <c r="J614" s="1399"/>
      <c r="K614" s="1399"/>
      <c r="L614" s="1399"/>
      <c r="M614" s="1399"/>
      <c r="N614" s="1399"/>
      <c r="O614" s="1399"/>
      <c r="P614" s="1399"/>
      <c r="Q614" s="1399"/>
      <c r="R614" s="1399"/>
      <c r="U614" t="s">
        <v>18</v>
      </c>
      <c r="AA614" s="1399"/>
      <c r="AB614" s="1399"/>
      <c r="AC614" s="1399"/>
      <c r="AD614" s="1399"/>
      <c r="AE614" s="1399"/>
      <c r="AF614" s="1399"/>
      <c r="AG614" s="1399"/>
      <c r="AH614" s="1399"/>
      <c r="AI614" s="1399"/>
      <c r="AJ614" s="1399"/>
      <c r="AK614" s="1399"/>
      <c r="AU614" s="900"/>
      <c r="AV614" s="900"/>
      <c r="AW614" s="900"/>
      <c r="AX614" s="900"/>
      <c r="AY614" s="900"/>
      <c r="AZ614" s="3"/>
      <c r="BA614" s="3"/>
      <c r="BB614" s="3"/>
      <c r="BC614" s="3"/>
    </row>
    <row r="615" spans="1:55" ht="12.95" customHeight="1">
      <c r="B615" t="s">
        <v>20</v>
      </c>
      <c r="N615" s="1418" t="s">
        <v>669</v>
      </c>
      <c r="O615" s="1418"/>
      <c r="U615" t="s">
        <v>20</v>
      </c>
      <c r="AG615" s="1418" t="s">
        <v>669</v>
      </c>
      <c r="AH615" s="1418"/>
      <c r="AU615" s="900"/>
      <c r="AV615" s="900"/>
      <c r="AW615" s="900"/>
      <c r="AX615" s="900"/>
      <c r="AY615" s="900"/>
      <c r="AZ615" s="3"/>
      <c r="BA615" s="3"/>
      <c r="BB615" s="3"/>
      <c r="BC615" s="3"/>
    </row>
    <row r="616" spans="1:55" ht="12.95" customHeight="1">
      <c r="AZ616" s="3"/>
      <c r="BA616" s="3"/>
      <c r="BB616" s="3"/>
      <c r="BC616" s="3"/>
    </row>
    <row r="617" spans="1:55" ht="12.95" customHeight="1">
      <c r="A617" s="1272" t="s">
        <v>544</v>
      </c>
      <c r="B617" s="1272"/>
      <c r="C617" s="1272"/>
      <c r="D617" s="1272"/>
      <c r="E617" s="1272"/>
      <c r="F617" s="1272"/>
      <c r="G617" s="1272"/>
      <c r="H617" s="1272"/>
      <c r="I617" s="1272"/>
      <c r="J617" s="1272"/>
      <c r="K617" s="1272"/>
      <c r="L617" s="1272"/>
      <c r="M617" s="1272"/>
      <c r="N617" s="1272"/>
      <c r="O617" s="1272"/>
      <c r="P617" s="1272"/>
      <c r="Q617" s="1272"/>
      <c r="R617" s="1272"/>
      <c r="S617" s="1272"/>
      <c r="T617" s="1272"/>
      <c r="U617" s="1272"/>
      <c r="V617" s="1272"/>
      <c r="W617" s="1272"/>
      <c r="X617" s="1272"/>
      <c r="Y617" s="1272"/>
      <c r="Z617" s="1272"/>
      <c r="AA617" s="1272"/>
      <c r="AB617" s="1272"/>
      <c r="AC617" s="1272"/>
      <c r="AD617" s="1272"/>
      <c r="AE617" s="1272"/>
      <c r="AF617" s="1272"/>
      <c r="AG617" s="1272"/>
      <c r="AH617" s="1272"/>
      <c r="AI617" s="1272"/>
      <c r="AJ617" s="1272"/>
      <c r="AK617" s="1272"/>
      <c r="AL617" s="1272"/>
      <c r="AM617" s="1272"/>
      <c r="AN617" s="1272"/>
      <c r="AO617" s="1272"/>
      <c r="AP617" s="1272"/>
      <c r="AQ617" s="1272"/>
      <c r="AR617" s="1272"/>
      <c r="AS617" s="1272"/>
      <c r="AT617" s="1272"/>
      <c r="AZ617" s="3"/>
      <c r="BA617" s="3"/>
      <c r="BB617" s="3"/>
      <c r="BC617" s="3"/>
    </row>
    <row r="618" spans="1:55" ht="12.95" customHeight="1">
      <c r="A618" s="1272"/>
      <c r="B618" s="1272"/>
      <c r="C618" s="1272"/>
      <c r="D618" s="1272"/>
      <c r="E618" s="1272"/>
      <c r="F618" s="1272"/>
      <c r="G618" s="1272"/>
      <c r="H618" s="1272"/>
      <c r="I618" s="1272"/>
      <c r="J618" s="1272"/>
      <c r="K618" s="1272"/>
      <c r="L618" s="1272"/>
      <c r="M618" s="1272"/>
      <c r="N618" s="1272"/>
      <c r="O618" s="1272"/>
      <c r="P618" s="1272"/>
      <c r="Q618" s="1272"/>
      <c r="R618" s="1272"/>
      <c r="S618" s="1272"/>
      <c r="T618" s="1272"/>
      <c r="U618" s="1272"/>
      <c r="V618" s="1272"/>
      <c r="W618" s="1272"/>
      <c r="X618" s="1272"/>
      <c r="Y618" s="1272"/>
      <c r="Z618" s="1272"/>
      <c r="AA618" s="1272"/>
      <c r="AB618" s="1272"/>
      <c r="AC618" s="1272"/>
      <c r="AD618" s="1272"/>
      <c r="AE618" s="1272"/>
      <c r="AF618" s="1272"/>
      <c r="AG618" s="1272"/>
      <c r="AH618" s="1272"/>
      <c r="AI618" s="1272"/>
      <c r="AJ618" s="1272"/>
      <c r="AK618" s="1272"/>
      <c r="AL618" s="1272"/>
      <c r="AM618" s="1272"/>
      <c r="AN618" s="1272"/>
      <c r="AO618" s="1272"/>
      <c r="AP618" s="1272"/>
      <c r="AQ618" s="1272"/>
      <c r="AR618" s="1272"/>
      <c r="AS618" s="1272"/>
      <c r="AT618" s="1272"/>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2102</v>
      </c>
      <c r="AZ622" s="3"/>
      <c r="BA622" s="3"/>
      <c r="BB622" s="3"/>
      <c r="BC622" s="3"/>
    </row>
    <row r="623" spans="1:55" ht="12.95" customHeight="1">
      <c r="B623" s="513"/>
      <c r="C623" s="2"/>
      <c r="AU623" s="3"/>
      <c r="AZ623" s="3"/>
      <c r="BA623" s="3"/>
      <c r="BB623" s="3"/>
      <c r="BC623" s="3"/>
    </row>
    <row r="624" spans="1:55" ht="12.95" customHeight="1">
      <c r="B624" s="1683" t="s">
        <v>2104</v>
      </c>
      <c r="C624" s="1683"/>
      <c r="D624" s="1683"/>
      <c r="E624" s="1683"/>
      <c r="F624" s="1683"/>
      <c r="G624" s="1683"/>
      <c r="H624" s="1683"/>
      <c r="I624" s="1683"/>
      <c r="J624" s="1683"/>
      <c r="K624" s="1683"/>
      <c r="L624" s="1683"/>
      <c r="M624" s="1684" t="s">
        <v>2105</v>
      </c>
      <c r="N624" s="1684"/>
      <c r="O624" s="1684"/>
      <c r="P624" s="1684"/>
      <c r="Q624" s="1684" t="s">
        <v>1853</v>
      </c>
      <c r="R624" s="1684"/>
      <c r="S624" s="1684"/>
      <c r="T624" s="1684" t="s">
        <v>1851</v>
      </c>
      <c r="U624" s="1684"/>
      <c r="V624" s="1684"/>
      <c r="W624" s="1612" t="s">
        <v>453</v>
      </c>
      <c r="X624" s="1612"/>
      <c r="Y624" s="1612"/>
      <c r="Z624" s="1383" t="s">
        <v>2134</v>
      </c>
      <c r="AA624" s="1383"/>
      <c r="AB624" s="1384"/>
      <c r="AC624" s="1598" t="s">
        <v>1676</v>
      </c>
      <c r="AD624" s="1599"/>
      <c r="AE624" s="1600"/>
      <c r="AF624" s="1382" t="s">
        <v>1931</v>
      </c>
      <c r="AG624" s="1383"/>
      <c r="AH624" s="1383"/>
      <c r="AI624" s="1383"/>
      <c r="AJ624" s="1384"/>
      <c r="AK624" s="1685" t="s">
        <v>1932</v>
      </c>
      <c r="AL624" s="1686"/>
      <c r="AM624" s="1686"/>
      <c r="AN624" s="1687"/>
      <c r="AO624" s="1684" t="s">
        <v>454</v>
      </c>
      <c r="AP624" s="1684"/>
      <c r="AQ624" s="1684"/>
      <c r="AR624" s="1684"/>
      <c r="AS624" s="1684"/>
      <c r="AU624" s="3"/>
      <c r="AZ624" s="3"/>
      <c r="BA624" s="3"/>
      <c r="BB624" s="3"/>
      <c r="BC624" s="3"/>
    </row>
    <row r="625" spans="2:157" ht="12.95" customHeight="1">
      <c r="B625" s="1683"/>
      <c r="C625" s="1683"/>
      <c r="D625" s="1683"/>
      <c r="E625" s="1683"/>
      <c r="F625" s="1683"/>
      <c r="G625" s="1683"/>
      <c r="H625" s="1683"/>
      <c r="I625" s="1683"/>
      <c r="J625" s="1683"/>
      <c r="K625" s="1683"/>
      <c r="L625" s="1683"/>
      <c r="M625" s="1684"/>
      <c r="N625" s="1684"/>
      <c r="O625" s="1684"/>
      <c r="P625" s="1684"/>
      <c r="Q625" s="1684"/>
      <c r="R625" s="1684"/>
      <c r="S625" s="1684"/>
      <c r="T625" s="1684"/>
      <c r="U625" s="1684"/>
      <c r="V625" s="1684"/>
      <c r="W625" s="1612"/>
      <c r="X625" s="1612"/>
      <c r="Y625" s="1612"/>
      <c r="Z625" s="1386"/>
      <c r="AA625" s="1386"/>
      <c r="AB625" s="1387"/>
      <c r="AC625" s="1601"/>
      <c r="AD625" s="1602"/>
      <c r="AE625" s="1603"/>
      <c r="AF625" s="1385"/>
      <c r="AG625" s="1386"/>
      <c r="AH625" s="1386"/>
      <c r="AI625" s="1386"/>
      <c r="AJ625" s="1387"/>
      <c r="AK625" s="1688"/>
      <c r="AL625" s="1689"/>
      <c r="AM625" s="1689"/>
      <c r="AN625" s="1690"/>
      <c r="AO625" s="1684"/>
      <c r="AP625" s="1684"/>
      <c r="AQ625" s="1684"/>
      <c r="AR625" s="1684"/>
      <c r="AS625" s="1684"/>
      <c r="AU625" s="3"/>
      <c r="AZ625" s="3"/>
      <c r="BA625" s="3"/>
      <c r="BB625" s="3"/>
      <c r="BC625" s="3"/>
      <c r="BD625" s="3"/>
    </row>
    <row r="626" spans="2:157" ht="12.95" customHeight="1">
      <c r="B626" s="1683"/>
      <c r="C626" s="1683"/>
      <c r="D626" s="1683"/>
      <c r="E626" s="1683"/>
      <c r="F626" s="1683"/>
      <c r="G626" s="1683"/>
      <c r="H626" s="1683"/>
      <c r="I626" s="1683"/>
      <c r="J626" s="1683"/>
      <c r="K626" s="1683"/>
      <c r="L626" s="1683"/>
      <c r="M626" s="1684"/>
      <c r="N626" s="1684"/>
      <c r="O626" s="1684"/>
      <c r="P626" s="1684"/>
      <c r="Q626" s="1684"/>
      <c r="R626" s="1684"/>
      <c r="S626" s="1684"/>
      <c r="T626" s="1684"/>
      <c r="U626" s="1684"/>
      <c r="V626" s="1684"/>
      <c r="W626" s="1612"/>
      <c r="X626" s="1612"/>
      <c r="Y626" s="1612"/>
      <c r="Z626" s="1389"/>
      <c r="AA626" s="1389"/>
      <c r="AB626" s="1390"/>
      <c r="AC626" s="1604"/>
      <c r="AD626" s="1605"/>
      <c r="AE626" s="1606"/>
      <c r="AF626" s="1388"/>
      <c r="AG626" s="1389"/>
      <c r="AH626" s="1389"/>
      <c r="AI626" s="1389"/>
      <c r="AJ626" s="1390"/>
      <c r="AK626" s="1691"/>
      <c r="AL626" s="1692"/>
      <c r="AM626" s="1692"/>
      <c r="AN626" s="1693"/>
      <c r="AO626" s="1684"/>
      <c r="AP626" s="1684"/>
      <c r="AQ626" s="1684"/>
      <c r="AR626" s="1684"/>
      <c r="AS626" s="1684"/>
      <c r="AT626" s="3"/>
      <c r="AU626" s="3"/>
      <c r="AZ626" s="3"/>
      <c r="BA626" s="3"/>
      <c r="BB626" s="3"/>
      <c r="BC626" s="3"/>
      <c r="BD626" s="3"/>
    </row>
    <row r="627" spans="2:157" ht="12.95" customHeight="1">
      <c r="B627" s="51" t="s">
        <v>112</v>
      </c>
      <c r="C627" s="1493" t="s">
        <v>2628</v>
      </c>
      <c r="D627" s="1493"/>
      <c r="E627" s="1493"/>
      <c r="F627" s="1493"/>
      <c r="G627" s="1493"/>
      <c r="H627" s="1493"/>
      <c r="I627" s="1493"/>
      <c r="J627" s="1493"/>
      <c r="K627" s="1493"/>
      <c r="L627" s="1493"/>
      <c r="M627" s="1611" t="s">
        <v>2115</v>
      </c>
      <c r="N627" s="1611"/>
      <c r="O627" s="1611"/>
      <c r="P627" s="1611"/>
      <c r="Q627" s="1495">
        <v>216</v>
      </c>
      <c r="R627" s="1495"/>
      <c r="S627" s="1496"/>
      <c r="T627" s="1494">
        <v>480</v>
      </c>
      <c r="U627" s="1495"/>
      <c r="V627" s="1496"/>
      <c r="W627" s="1466">
        <v>6.25E-2</v>
      </c>
      <c r="X627" s="1467"/>
      <c r="Y627" s="1468"/>
      <c r="Z627" s="1443" t="s">
        <v>2133</v>
      </c>
      <c r="AA627" s="1444"/>
      <c r="AB627" s="1445"/>
      <c r="AC627" s="1427">
        <v>1</v>
      </c>
      <c r="AD627" s="1428"/>
      <c r="AE627" s="1429"/>
      <c r="AF627" s="1440">
        <v>521262</v>
      </c>
      <c r="AG627" s="1441"/>
      <c r="AH627" s="1441"/>
      <c r="AI627" s="1441"/>
      <c r="AJ627" s="1442"/>
      <c r="AK627" s="1470">
        <v>0</v>
      </c>
      <c r="AL627" s="1471"/>
      <c r="AM627" s="1471"/>
      <c r="AN627" s="1472"/>
      <c r="AO627" s="1655">
        <v>7651136</v>
      </c>
      <c r="AP627" s="1655"/>
      <c r="AQ627" s="1655"/>
      <c r="AR627" s="1655"/>
      <c r="AS627" s="1655"/>
      <c r="AT627" s="3"/>
      <c r="AU627" s="3"/>
      <c r="AZ627" s="3"/>
      <c r="BA627" s="3"/>
      <c r="BB627" s="3"/>
      <c r="BC627" s="3"/>
      <c r="BD627" s="3"/>
    </row>
    <row r="628" spans="2:157" ht="12.95" customHeight="1">
      <c r="B628" s="52" t="s">
        <v>113</v>
      </c>
      <c r="C628" s="1493" t="s">
        <v>2634</v>
      </c>
      <c r="D628" s="1493"/>
      <c r="E628" s="1493"/>
      <c r="F628" s="1493"/>
      <c r="G628" s="1493"/>
      <c r="H628" s="1493"/>
      <c r="I628" s="1493"/>
      <c r="J628" s="1493"/>
      <c r="K628" s="1493"/>
      <c r="L628" s="1493"/>
      <c r="M628" s="1611" t="s">
        <v>2123</v>
      </c>
      <c r="N628" s="1611"/>
      <c r="O628" s="1611"/>
      <c r="P628" s="1611"/>
      <c r="Q628" s="1494">
        <v>12</v>
      </c>
      <c r="R628" s="1495"/>
      <c r="S628" s="1496"/>
      <c r="T628" s="1494">
        <v>12</v>
      </c>
      <c r="U628" s="1495"/>
      <c r="V628" s="1496"/>
      <c r="W628" s="1466">
        <v>0</v>
      </c>
      <c r="X628" s="1467"/>
      <c r="Y628" s="1468"/>
      <c r="Z628" s="1443" t="s">
        <v>300</v>
      </c>
      <c r="AA628" s="1444"/>
      <c r="AB628" s="1445"/>
      <c r="AC628" s="1427"/>
      <c r="AD628" s="1428"/>
      <c r="AE628" s="1429"/>
      <c r="AF628" s="1440"/>
      <c r="AG628" s="1441"/>
      <c r="AH628" s="1441"/>
      <c r="AI628" s="1441"/>
      <c r="AJ628" s="1442"/>
      <c r="AK628" s="1470"/>
      <c r="AL628" s="1471"/>
      <c r="AM628" s="1471"/>
      <c r="AN628" s="1472"/>
      <c r="AO628" s="1439">
        <v>133469</v>
      </c>
      <c r="AP628" s="1340"/>
      <c r="AQ628" s="1340"/>
      <c r="AR628" s="1340"/>
      <c r="AS628" s="1341"/>
      <c r="AT628" s="1150" t="str">
        <f>IF(AND(NOT(C627=""),C628="",NOT(C629="")),"!","")</f>
        <v/>
      </c>
      <c r="AU628" s="3"/>
      <c r="AZ628" s="3"/>
      <c r="BA628" s="3"/>
      <c r="BB628" s="3"/>
      <c r="BC628" s="3"/>
      <c r="BD628" s="3"/>
    </row>
    <row r="629" spans="2:157" ht="12.95" customHeight="1">
      <c r="B629" s="52" t="s">
        <v>119</v>
      </c>
      <c r="C629" s="1493" t="s">
        <v>2635</v>
      </c>
      <c r="D629" s="1493"/>
      <c r="E629" s="1493"/>
      <c r="F629" s="1493"/>
      <c r="G629" s="1493"/>
      <c r="H629" s="1493"/>
      <c r="I629" s="1493"/>
      <c r="J629" s="1493"/>
      <c r="K629" s="1493"/>
      <c r="L629" s="1493"/>
      <c r="M629" s="1611" t="s">
        <v>2117</v>
      </c>
      <c r="N629" s="1611"/>
      <c r="O629" s="1611"/>
      <c r="P629" s="1611"/>
      <c r="Q629" s="1494">
        <v>660</v>
      </c>
      <c r="R629" s="1495"/>
      <c r="S629" s="1496"/>
      <c r="T629" s="1494"/>
      <c r="U629" s="1495"/>
      <c r="V629" s="1496"/>
      <c r="W629" s="1466">
        <v>0.04</v>
      </c>
      <c r="X629" s="1467"/>
      <c r="Y629" s="1468"/>
      <c r="Z629" s="1443" t="s">
        <v>457</v>
      </c>
      <c r="AA629" s="1444"/>
      <c r="AB629" s="1445"/>
      <c r="AC629" s="1427">
        <v>2</v>
      </c>
      <c r="AD629" s="1428"/>
      <c r="AE629" s="1429"/>
      <c r="AF629" s="1440"/>
      <c r="AG629" s="1441"/>
      <c r="AH629" s="1441"/>
      <c r="AI629" s="1441"/>
      <c r="AJ629" s="1442"/>
      <c r="AK629" s="1470"/>
      <c r="AL629" s="1471"/>
      <c r="AM629" s="1471"/>
      <c r="AN629" s="1472"/>
      <c r="AO629" s="1439">
        <v>9501778</v>
      </c>
      <c r="AP629" s="1340"/>
      <c r="AQ629" s="1340"/>
      <c r="AR629" s="1340"/>
      <c r="AS629" s="1341"/>
      <c r="AT629" s="1150" t="str">
        <f t="shared" ref="AT629:AT638" si="1">IF(AND(NOT(C628=""),C629="",NOT(C630="")),"!","")</f>
        <v/>
      </c>
      <c r="AU629" s="3"/>
      <c r="AZ629" s="3"/>
      <c r="BA629" s="3"/>
      <c r="BB629" s="3"/>
      <c r="BC629" s="3"/>
      <c r="BD629" s="3"/>
    </row>
    <row r="630" spans="2:157" ht="12.95" customHeight="1">
      <c r="B630" s="52" t="s">
        <v>581</v>
      </c>
      <c r="C630" s="1493" t="s">
        <v>2636</v>
      </c>
      <c r="D630" s="1473"/>
      <c r="E630" s="1473"/>
      <c r="F630" s="1473"/>
      <c r="G630" s="1473"/>
      <c r="H630" s="1473"/>
      <c r="I630" s="1473"/>
      <c r="J630" s="1473"/>
      <c r="K630" s="1473"/>
      <c r="L630" s="1473"/>
      <c r="M630" s="1611" t="s">
        <v>2106</v>
      </c>
      <c r="N630" s="1611"/>
      <c r="O630" s="1611"/>
      <c r="P630" s="1611"/>
      <c r="Q630" s="1494">
        <v>660</v>
      </c>
      <c r="R630" s="1495"/>
      <c r="S630" s="1496"/>
      <c r="T630" s="1494"/>
      <c r="U630" s="1495"/>
      <c r="V630" s="1496"/>
      <c r="W630" s="1466">
        <v>0.04</v>
      </c>
      <c r="X630" s="1467"/>
      <c r="Y630" s="1468"/>
      <c r="Z630" s="1443" t="s">
        <v>457</v>
      </c>
      <c r="AA630" s="1444"/>
      <c r="AB630" s="1445"/>
      <c r="AC630" s="1427">
        <v>3</v>
      </c>
      <c r="AD630" s="1428"/>
      <c r="AE630" s="1429"/>
      <c r="AF630" s="1440"/>
      <c r="AG630" s="1441"/>
      <c r="AH630" s="1441"/>
      <c r="AI630" s="1441"/>
      <c r="AJ630" s="1442"/>
      <c r="AK630" s="1470"/>
      <c r="AL630" s="1471"/>
      <c r="AM630" s="1471"/>
      <c r="AN630" s="1472"/>
      <c r="AO630" s="1439">
        <v>4750024</v>
      </c>
      <c r="AP630" s="1340"/>
      <c r="AQ630" s="1340"/>
      <c r="AR630" s="1340"/>
      <c r="AS630" s="1341"/>
      <c r="AT630" s="1150" t="str">
        <f t="shared" si="1"/>
        <v/>
      </c>
      <c r="AU630" s="3"/>
      <c r="AZ630" s="3"/>
      <c r="BA630" s="3"/>
      <c r="BB630" s="3"/>
      <c r="BC630" s="3"/>
      <c r="BD630" s="3"/>
    </row>
    <row r="631" spans="2:157" ht="12.95" customHeight="1">
      <c r="B631" s="52" t="s">
        <v>763</v>
      </c>
      <c r="C631" s="1473"/>
      <c r="D631" s="1473"/>
      <c r="E631" s="1473"/>
      <c r="F631" s="1473"/>
      <c r="G631" s="1473"/>
      <c r="H631" s="1473"/>
      <c r="I631" s="1473"/>
      <c r="J631" s="1473"/>
      <c r="K631" s="1473"/>
      <c r="L631" s="1473"/>
      <c r="M631" s="1611" t="s">
        <v>1184</v>
      </c>
      <c r="N631" s="1611"/>
      <c r="O631" s="1611"/>
      <c r="P631" s="1611"/>
      <c r="Q631" s="1494"/>
      <c r="R631" s="1495"/>
      <c r="S631" s="1496"/>
      <c r="T631" s="1494"/>
      <c r="U631" s="1495"/>
      <c r="V631" s="1496"/>
      <c r="W631" s="1466"/>
      <c r="X631" s="1467"/>
      <c r="Y631" s="1468"/>
      <c r="Z631" s="1443" t="s">
        <v>1184</v>
      </c>
      <c r="AA631" s="1444"/>
      <c r="AB631" s="1445"/>
      <c r="AC631" s="1427"/>
      <c r="AD631" s="1428"/>
      <c r="AE631" s="1429"/>
      <c r="AF631" s="1440"/>
      <c r="AG631" s="1441"/>
      <c r="AH631" s="1441"/>
      <c r="AI631" s="1441"/>
      <c r="AJ631" s="1442"/>
      <c r="AK631" s="1470"/>
      <c r="AL631" s="1471"/>
      <c r="AM631" s="1471"/>
      <c r="AN631" s="1472"/>
      <c r="AO631" s="1439"/>
      <c r="AP631" s="1340"/>
      <c r="AQ631" s="1340"/>
      <c r="AR631" s="1340"/>
      <c r="AS631" s="1341"/>
      <c r="AT631" s="1150" t="str">
        <f t="shared" si="1"/>
        <v/>
      </c>
      <c r="AU631" s="3"/>
      <c r="AZ631" s="3"/>
      <c r="BA631" s="3"/>
      <c r="BB631" s="3"/>
      <c r="BC631" s="3"/>
      <c r="BD631" s="3"/>
    </row>
    <row r="632" spans="2:157" ht="12.95" customHeight="1">
      <c r="B632" s="52" t="s">
        <v>584</v>
      </c>
      <c r="C632" s="1473"/>
      <c r="D632" s="1473"/>
      <c r="E632" s="1473"/>
      <c r="F632" s="1473"/>
      <c r="G632" s="1473"/>
      <c r="H632" s="1473"/>
      <c r="I632" s="1473"/>
      <c r="J632" s="1473"/>
      <c r="K632" s="1473"/>
      <c r="L632" s="1473"/>
      <c r="M632" s="1611" t="s">
        <v>1184</v>
      </c>
      <c r="N632" s="1611"/>
      <c r="O632" s="1611"/>
      <c r="P632" s="1611"/>
      <c r="Q632" s="1494"/>
      <c r="R632" s="1495"/>
      <c r="S632" s="1496"/>
      <c r="T632" s="1494"/>
      <c r="U632" s="1495"/>
      <c r="V632" s="1496"/>
      <c r="W632" s="1466"/>
      <c r="X632" s="1467"/>
      <c r="Y632" s="1468"/>
      <c r="Z632" s="1443" t="s">
        <v>1184</v>
      </c>
      <c r="AA632" s="1444"/>
      <c r="AB632" s="1445"/>
      <c r="AC632" s="1427"/>
      <c r="AD632" s="1428"/>
      <c r="AE632" s="1429"/>
      <c r="AF632" s="1440"/>
      <c r="AG632" s="1441"/>
      <c r="AH632" s="1441"/>
      <c r="AI632" s="1441"/>
      <c r="AJ632" s="1442"/>
      <c r="AK632" s="1470"/>
      <c r="AL632" s="1471"/>
      <c r="AM632" s="1471"/>
      <c r="AN632" s="1472"/>
      <c r="AO632" s="1439"/>
      <c r="AP632" s="1340"/>
      <c r="AQ632" s="1340"/>
      <c r="AR632" s="1340"/>
      <c r="AS632" s="1341"/>
      <c r="AT632" s="1150" t="str">
        <f t="shared" si="1"/>
        <v/>
      </c>
      <c r="AU632" s="3"/>
      <c r="AZ632" s="3"/>
      <c r="BA632" s="3"/>
      <c r="BB632" s="3"/>
      <c r="BC632" s="3"/>
      <c r="BD632" s="3"/>
    </row>
    <row r="633" spans="2:157" ht="12.95" customHeight="1">
      <c r="B633" s="52" t="s">
        <v>455</v>
      </c>
      <c r="C633" s="1473"/>
      <c r="D633" s="1473"/>
      <c r="E633" s="1473"/>
      <c r="F633" s="1473"/>
      <c r="G633" s="1473"/>
      <c r="H633" s="1473"/>
      <c r="I633" s="1473"/>
      <c r="J633" s="1473"/>
      <c r="K633" s="1473"/>
      <c r="L633" s="1473"/>
      <c r="M633" s="1611" t="s">
        <v>1184</v>
      </c>
      <c r="N633" s="1611"/>
      <c r="O633" s="1611"/>
      <c r="P633" s="1611"/>
      <c r="Q633" s="1494"/>
      <c r="R633" s="1495"/>
      <c r="S633" s="1496"/>
      <c r="T633" s="1494"/>
      <c r="U633" s="1495"/>
      <c r="V633" s="1496"/>
      <c r="W633" s="1466"/>
      <c r="X633" s="1467"/>
      <c r="Y633" s="1468"/>
      <c r="Z633" s="1443" t="s">
        <v>1184</v>
      </c>
      <c r="AA633" s="1444"/>
      <c r="AB633" s="1445"/>
      <c r="AC633" s="1427"/>
      <c r="AD633" s="1428"/>
      <c r="AE633" s="1429"/>
      <c r="AF633" s="1440"/>
      <c r="AG633" s="1441"/>
      <c r="AH633" s="1441"/>
      <c r="AI633" s="1441"/>
      <c r="AJ633" s="1442"/>
      <c r="AK633" s="1470"/>
      <c r="AL633" s="1471"/>
      <c r="AM633" s="1471"/>
      <c r="AN633" s="1472"/>
      <c r="AO633" s="1439"/>
      <c r="AP633" s="1340"/>
      <c r="AQ633" s="1340"/>
      <c r="AR633" s="1340"/>
      <c r="AS633" s="1341"/>
      <c r="AT633" s="1150" t="str">
        <f t="shared" si="1"/>
        <v/>
      </c>
      <c r="AU633" s="3"/>
      <c r="AV633" s="3"/>
      <c r="AW633" s="3"/>
      <c r="AX633" s="3"/>
      <c r="AY633" s="3"/>
      <c r="AZ633" s="3"/>
      <c r="BA633" s="3"/>
      <c r="BB633" s="3"/>
      <c r="BC633" s="3"/>
      <c r="BD633" s="3"/>
    </row>
    <row r="634" spans="2:157" ht="12.95" customHeight="1">
      <c r="B634" s="52" t="s">
        <v>456</v>
      </c>
      <c r="C634" s="1473"/>
      <c r="D634" s="1473"/>
      <c r="E634" s="1473"/>
      <c r="F634" s="1473"/>
      <c r="G634" s="1473"/>
      <c r="H634" s="1473"/>
      <c r="I634" s="1473"/>
      <c r="J634" s="1473"/>
      <c r="K634" s="1473"/>
      <c r="L634" s="1473"/>
      <c r="M634" s="1611" t="s">
        <v>1184</v>
      </c>
      <c r="N634" s="1611"/>
      <c r="O634" s="1611"/>
      <c r="P634" s="1611"/>
      <c r="Q634" s="1494"/>
      <c r="R634" s="1495"/>
      <c r="S634" s="1496"/>
      <c r="T634" s="1494"/>
      <c r="U634" s="1495"/>
      <c r="V634" s="1496"/>
      <c r="W634" s="1466"/>
      <c r="X634" s="1467"/>
      <c r="Y634" s="1468"/>
      <c r="Z634" s="1443" t="s">
        <v>1184</v>
      </c>
      <c r="AA634" s="1444"/>
      <c r="AB634" s="1445"/>
      <c r="AC634" s="1427"/>
      <c r="AD634" s="1428"/>
      <c r="AE634" s="1429"/>
      <c r="AF634" s="1440"/>
      <c r="AG634" s="1441"/>
      <c r="AH634" s="1441"/>
      <c r="AI634" s="1441"/>
      <c r="AJ634" s="1442"/>
      <c r="AK634" s="1470"/>
      <c r="AL634" s="1471"/>
      <c r="AM634" s="1471"/>
      <c r="AN634" s="1472"/>
      <c r="AO634" s="1439"/>
      <c r="AP634" s="1340"/>
      <c r="AQ634" s="1340"/>
      <c r="AR634" s="1340"/>
      <c r="AS634" s="1341"/>
      <c r="AT634" s="1150" t="str">
        <f t="shared" si="1"/>
        <v/>
      </c>
      <c r="AU634" s="3"/>
      <c r="AV634" s="3"/>
      <c r="AW634" s="3"/>
      <c r="AX634" s="3"/>
      <c r="AY634" s="3"/>
      <c r="AZ634" s="3"/>
      <c r="BA634" s="3" t="s">
        <v>1184</v>
      </c>
      <c r="BB634" s="3"/>
      <c r="BC634" s="3"/>
      <c r="BD634" s="3"/>
    </row>
    <row r="635" spans="2:157" ht="12.95" customHeight="1">
      <c r="B635" s="52" t="s">
        <v>461</v>
      </c>
      <c r="C635" s="1473"/>
      <c r="D635" s="1473"/>
      <c r="E635" s="1473"/>
      <c r="F635" s="1473"/>
      <c r="G635" s="1473"/>
      <c r="H635" s="1473"/>
      <c r="I635" s="1473"/>
      <c r="J635" s="1473"/>
      <c r="K635" s="1473"/>
      <c r="L635" s="1473"/>
      <c r="M635" s="1611" t="s">
        <v>1184</v>
      </c>
      <c r="N635" s="1611"/>
      <c r="O635" s="1611"/>
      <c r="P635" s="1611"/>
      <c r="Q635" s="1494"/>
      <c r="R635" s="1495"/>
      <c r="S635" s="1496"/>
      <c r="T635" s="1494"/>
      <c r="U635" s="1495"/>
      <c r="V635" s="1496"/>
      <c r="W635" s="1466"/>
      <c r="X635" s="1467"/>
      <c r="Y635" s="1468"/>
      <c r="Z635" s="1443" t="s">
        <v>1184</v>
      </c>
      <c r="AA635" s="1444"/>
      <c r="AB635" s="1445"/>
      <c r="AC635" s="1427"/>
      <c r="AD635" s="1428"/>
      <c r="AE635" s="1429"/>
      <c r="AF635" s="1440"/>
      <c r="AG635" s="1441"/>
      <c r="AH635" s="1441"/>
      <c r="AI635" s="1441"/>
      <c r="AJ635" s="1442"/>
      <c r="AK635" s="1470"/>
      <c r="AL635" s="1471"/>
      <c r="AM635" s="1471"/>
      <c r="AN635" s="1472"/>
      <c r="AO635" s="1439"/>
      <c r="AP635" s="1340"/>
      <c r="AQ635" s="1340"/>
      <c r="AR635" s="1340"/>
      <c r="AS635" s="1341"/>
      <c r="AT635" s="1150" t="str">
        <f t="shared" si="1"/>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75">
        <f t="shared" ref="DX635:DX669" si="2">EZ718*(CP718/$CP$753)</f>
        <v>51.692307692307693</v>
      </c>
      <c r="DY635" s="1375"/>
      <c r="DZ635" s="1375"/>
      <c r="EA635" s="1375"/>
      <c r="EB635" s="1375"/>
      <c r="EC635" s="1375" t="e">
        <f t="shared" ref="EC635:EC669" si="3">FE718*(CU718/$CU$753)</f>
        <v>#VALUE!</v>
      </c>
      <c r="ED635" s="1375"/>
      <c r="EE635" s="1375"/>
      <c r="EF635" s="1375"/>
      <c r="EG635" s="1375"/>
      <c r="EH635" s="1375" t="e">
        <f t="shared" ref="EH635:EH669" si="4">FJ718*(CZ718/$CZ$753)</f>
        <v>#VALUE!</v>
      </c>
      <c r="EI635" s="1375"/>
      <c r="EJ635" s="1375"/>
      <c r="EK635" s="1375"/>
      <c r="EL635" s="1375"/>
      <c r="EM635" s="1375" t="e">
        <f t="shared" ref="EM635:EM669" si="5">FO718*(DE718/$DE$753)</f>
        <v>#VALUE!</v>
      </c>
      <c r="EN635" s="1375"/>
      <c r="EO635" s="1375"/>
      <c r="EP635" s="1375"/>
      <c r="EQ635" s="1375"/>
      <c r="ER635" s="1375" t="e">
        <f t="shared" ref="ER635:ER669" si="6">FT718*(DJ718/$DJ$753)</f>
        <v>#VALUE!</v>
      </c>
      <c r="ES635" s="1375"/>
      <c r="ET635" s="1375"/>
      <c r="EU635" s="1375"/>
      <c r="EV635" s="1375"/>
      <c r="EW635" s="1375" t="e">
        <f t="shared" ref="EW635:EW669" si="7">FY718*(DO718/$DO$753)</f>
        <v>#VALUE!</v>
      </c>
      <c r="EX635" s="1375"/>
      <c r="EY635" s="1375"/>
      <c r="EZ635" s="1375"/>
      <c r="FA635" s="1375"/>
    </row>
    <row r="636" spans="2:157" ht="12.95" customHeight="1">
      <c r="B636" s="52" t="s">
        <v>646</v>
      </c>
      <c r="C636" s="1473"/>
      <c r="D636" s="1473"/>
      <c r="E636" s="1473"/>
      <c r="F636" s="1473"/>
      <c r="G636" s="1473"/>
      <c r="H636" s="1473"/>
      <c r="I636" s="1473"/>
      <c r="J636" s="1473"/>
      <c r="K636" s="1473"/>
      <c r="L636" s="1473"/>
      <c r="M636" s="1611" t="s">
        <v>1184</v>
      </c>
      <c r="N636" s="1611"/>
      <c r="O636" s="1611"/>
      <c r="P636" s="1611"/>
      <c r="Q636" s="1494"/>
      <c r="R636" s="1495"/>
      <c r="S636" s="1496"/>
      <c r="T636" s="1494"/>
      <c r="U636" s="1495"/>
      <c r="V636" s="1496"/>
      <c r="W636" s="1466"/>
      <c r="X636" s="1467"/>
      <c r="Y636" s="1468"/>
      <c r="Z636" s="1443" t="s">
        <v>1184</v>
      </c>
      <c r="AA636" s="1444"/>
      <c r="AB636" s="1445"/>
      <c r="AC636" s="1427"/>
      <c r="AD636" s="1428"/>
      <c r="AE636" s="1429"/>
      <c r="AF636" s="1440"/>
      <c r="AG636" s="1441"/>
      <c r="AH636" s="1441"/>
      <c r="AI636" s="1441"/>
      <c r="AJ636" s="1442"/>
      <c r="AK636" s="1470"/>
      <c r="AL636" s="1471"/>
      <c r="AM636" s="1471"/>
      <c r="AN636" s="1472"/>
      <c r="AO636" s="1439"/>
      <c r="AP636" s="1340"/>
      <c r="AQ636" s="1340"/>
      <c r="AR636" s="1340"/>
      <c r="AS636" s="1341"/>
      <c r="AT636" s="1150" t="str">
        <f t="shared" si="1"/>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375">
        <f t="shared" si="2"/>
        <v>318.46153846153845</v>
      </c>
      <c r="DY636" s="1375"/>
      <c r="DZ636" s="1375"/>
      <c r="EA636" s="1375"/>
      <c r="EB636" s="1375"/>
      <c r="EC636" s="1375" t="e">
        <f t="shared" si="3"/>
        <v>#VALUE!</v>
      </c>
      <c r="ED636" s="1375"/>
      <c r="EE636" s="1375"/>
      <c r="EF636" s="1375"/>
      <c r="EG636" s="1375"/>
      <c r="EH636" s="1375" t="e">
        <f t="shared" si="4"/>
        <v>#VALUE!</v>
      </c>
      <c r="EI636" s="1375"/>
      <c r="EJ636" s="1375"/>
      <c r="EK636" s="1375"/>
      <c r="EL636" s="1375"/>
      <c r="EM636" s="1375" t="e">
        <f t="shared" si="5"/>
        <v>#VALUE!</v>
      </c>
      <c r="EN636" s="1375"/>
      <c r="EO636" s="1375"/>
      <c r="EP636" s="1375"/>
      <c r="EQ636" s="1375"/>
      <c r="ER636" s="1375" t="e">
        <f t="shared" si="6"/>
        <v>#VALUE!</v>
      </c>
      <c r="ES636" s="1375"/>
      <c r="ET636" s="1375"/>
      <c r="EU636" s="1375"/>
      <c r="EV636" s="1375"/>
      <c r="EW636" s="1375" t="e">
        <f t="shared" si="7"/>
        <v>#VALUE!</v>
      </c>
      <c r="EX636" s="1375"/>
      <c r="EY636" s="1375"/>
      <c r="EZ636" s="1375"/>
      <c r="FA636" s="1375"/>
    </row>
    <row r="637" spans="2:157" ht="12.95" customHeight="1">
      <c r="B637" s="52" t="s">
        <v>362</v>
      </c>
      <c r="C637" s="1473"/>
      <c r="D637" s="1473"/>
      <c r="E637" s="1473"/>
      <c r="F637" s="1473"/>
      <c r="G637" s="1473"/>
      <c r="H637" s="1473"/>
      <c r="I637" s="1473"/>
      <c r="J637" s="1473"/>
      <c r="K637" s="1473"/>
      <c r="L637" s="1473"/>
      <c r="M637" s="1611" t="s">
        <v>1184</v>
      </c>
      <c r="N637" s="1611"/>
      <c r="O637" s="1611"/>
      <c r="P637" s="1611"/>
      <c r="Q637" s="1494"/>
      <c r="R637" s="1495"/>
      <c r="S637" s="1496"/>
      <c r="T637" s="1494"/>
      <c r="U637" s="1495"/>
      <c r="V637" s="1496"/>
      <c r="W637" s="1466"/>
      <c r="X637" s="1467"/>
      <c r="Y637" s="1468"/>
      <c r="Z637" s="1443" t="s">
        <v>1184</v>
      </c>
      <c r="AA637" s="1444"/>
      <c r="AB637" s="1445"/>
      <c r="AC637" s="1427"/>
      <c r="AD637" s="1428"/>
      <c r="AE637" s="1429"/>
      <c r="AF637" s="1440"/>
      <c r="AG637" s="1441"/>
      <c r="AH637" s="1441"/>
      <c r="AI637" s="1441"/>
      <c r="AJ637" s="1442"/>
      <c r="AK637" s="1470"/>
      <c r="AL637" s="1471"/>
      <c r="AM637" s="1471"/>
      <c r="AN637" s="1472"/>
      <c r="AO637" s="1439"/>
      <c r="AP637" s="1340"/>
      <c r="AQ637" s="1340"/>
      <c r="AR637" s="1340"/>
      <c r="AS637" s="1341"/>
      <c r="AT637" s="1150" t="str">
        <f t="shared" si="1"/>
        <v/>
      </c>
      <c r="AV637" s="3"/>
      <c r="AW637" s="3"/>
      <c r="AX637" s="3"/>
      <c r="AY637" s="3"/>
      <c r="AZ637" s="34"/>
      <c r="BA637" s="3" t="s">
        <v>2133</v>
      </c>
      <c r="BB637" s="34"/>
      <c r="BC637" s="34"/>
      <c r="BD637" s="34"/>
      <c r="BE637" s="34"/>
      <c r="BF637" s="34"/>
      <c r="BG637" s="34"/>
      <c r="BH637" s="34"/>
      <c r="BI637" s="34"/>
      <c r="BJ637" s="34"/>
      <c r="BK637" s="34"/>
      <c r="BL637" s="34"/>
      <c r="BM637" s="34"/>
      <c r="DA637" s="3"/>
      <c r="DB637" s="3"/>
      <c r="DC637" s="3"/>
      <c r="DD637" s="3"/>
      <c r="DE637" s="3"/>
      <c r="DF637" s="3"/>
      <c r="DX637" s="1375">
        <f t="shared" si="2"/>
        <v>698.38461538461536</v>
      </c>
      <c r="DY637" s="1375"/>
      <c r="DZ637" s="1375"/>
      <c r="EA637" s="1375"/>
      <c r="EB637" s="1375"/>
      <c r="EC637" s="1375" t="e">
        <f t="shared" si="3"/>
        <v>#VALUE!</v>
      </c>
      <c r="ED637" s="1375"/>
      <c r="EE637" s="1375"/>
      <c r="EF637" s="1375"/>
      <c r="EG637" s="1375"/>
      <c r="EH637" s="1375" t="e">
        <f t="shared" si="4"/>
        <v>#VALUE!</v>
      </c>
      <c r="EI637" s="1375"/>
      <c r="EJ637" s="1375"/>
      <c r="EK637" s="1375"/>
      <c r="EL637" s="1375"/>
      <c r="EM637" s="1375" t="e">
        <f t="shared" si="5"/>
        <v>#VALUE!</v>
      </c>
      <c r="EN637" s="1375"/>
      <c r="EO637" s="1375"/>
      <c r="EP637" s="1375"/>
      <c r="EQ637" s="1375"/>
      <c r="ER637" s="1375" t="e">
        <f t="shared" si="6"/>
        <v>#VALUE!</v>
      </c>
      <c r="ES637" s="1375"/>
      <c r="ET637" s="1375"/>
      <c r="EU637" s="1375"/>
      <c r="EV637" s="1375"/>
      <c r="EW637" s="1375" t="e">
        <f t="shared" si="7"/>
        <v>#VALUE!</v>
      </c>
      <c r="EX637" s="1375"/>
      <c r="EY637" s="1375"/>
      <c r="EZ637" s="1375"/>
      <c r="FA637" s="1375"/>
    </row>
    <row r="638" spans="2:157" ht="12.95" customHeight="1">
      <c r="B638" s="52" t="s">
        <v>363</v>
      </c>
      <c r="C638" s="1473"/>
      <c r="D638" s="1473"/>
      <c r="E638" s="1473"/>
      <c r="F638" s="1473"/>
      <c r="G638" s="1473"/>
      <c r="H638" s="1473"/>
      <c r="I638" s="1473"/>
      <c r="J638" s="1473"/>
      <c r="K638" s="1473"/>
      <c r="L638" s="1473"/>
      <c r="M638" s="1611" t="s">
        <v>1184</v>
      </c>
      <c r="N638" s="1611"/>
      <c r="O638" s="1611"/>
      <c r="P638" s="1611"/>
      <c r="Q638" s="1494"/>
      <c r="R638" s="1495"/>
      <c r="S638" s="1496"/>
      <c r="T638" s="1494"/>
      <c r="U638" s="1495"/>
      <c r="V638" s="1496"/>
      <c r="W638" s="1466"/>
      <c r="X638" s="1467"/>
      <c r="Y638" s="1468"/>
      <c r="Z638" s="1443" t="s">
        <v>1184</v>
      </c>
      <c r="AA638" s="1444"/>
      <c r="AB638" s="1445"/>
      <c r="AC638" s="1427"/>
      <c r="AD638" s="1428"/>
      <c r="AE638" s="1429"/>
      <c r="AF638" s="1440"/>
      <c r="AG638" s="1441"/>
      <c r="AH638" s="1441"/>
      <c r="AI638" s="1441"/>
      <c r="AJ638" s="1442"/>
      <c r="AK638" s="1470"/>
      <c r="AL638" s="1471"/>
      <c r="AM638" s="1471"/>
      <c r="AN638" s="1472"/>
      <c r="AO638" s="1439"/>
      <c r="AP638" s="1340"/>
      <c r="AQ638" s="1340"/>
      <c r="AR638" s="1340"/>
      <c r="AS638" s="1341"/>
      <c r="AT638" s="1150"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375" t="e">
        <f t="shared" si="2"/>
        <v>#VALUE!</v>
      </c>
      <c r="DY638" s="1375"/>
      <c r="DZ638" s="1375"/>
      <c r="EA638" s="1375"/>
      <c r="EB638" s="1375"/>
      <c r="EC638" s="1375">
        <f t="shared" si="3"/>
        <v>26.37037037037037</v>
      </c>
      <c r="ED638" s="1375"/>
      <c r="EE638" s="1375"/>
      <c r="EF638" s="1375"/>
      <c r="EG638" s="1375"/>
      <c r="EH638" s="1375" t="e">
        <f t="shared" si="4"/>
        <v>#VALUE!</v>
      </c>
      <c r="EI638" s="1375"/>
      <c r="EJ638" s="1375"/>
      <c r="EK638" s="1375"/>
      <c r="EL638" s="1375"/>
      <c r="EM638" s="1375" t="e">
        <f t="shared" si="5"/>
        <v>#VALUE!</v>
      </c>
      <c r="EN638" s="1375"/>
      <c r="EO638" s="1375"/>
      <c r="EP638" s="1375"/>
      <c r="EQ638" s="1375"/>
      <c r="ER638" s="1375" t="e">
        <f t="shared" si="6"/>
        <v>#VALUE!</v>
      </c>
      <c r="ES638" s="1375"/>
      <c r="ET638" s="1375"/>
      <c r="EU638" s="1375"/>
      <c r="EV638" s="1375"/>
      <c r="EW638" s="1375" t="e">
        <f t="shared" si="7"/>
        <v>#VALUE!</v>
      </c>
      <c r="EX638" s="1375"/>
      <c r="EY638" s="1375"/>
      <c r="EZ638" s="1375"/>
      <c r="FA638" s="1375"/>
    </row>
    <row r="639" spans="2:157" ht="12.95" customHeight="1">
      <c r="B639" s="1411" t="s">
        <v>128</v>
      </c>
      <c r="C639" s="1412"/>
      <c r="D639" s="1412"/>
      <c r="E639" s="1412"/>
      <c r="F639" s="1412"/>
      <c r="G639" s="1412"/>
      <c r="H639" s="1412"/>
      <c r="I639" s="1412"/>
      <c r="J639" s="1412"/>
      <c r="K639" s="1412"/>
      <c r="L639" s="1412"/>
      <c r="M639" s="1412"/>
      <c r="N639" s="1412"/>
      <c r="O639" s="1412"/>
      <c r="P639" s="1412"/>
      <c r="Q639" s="1412"/>
      <c r="R639" s="1412"/>
      <c r="S639" s="1412"/>
      <c r="T639" s="1412"/>
      <c r="U639" s="1412"/>
      <c r="V639" s="1412"/>
      <c r="W639" s="1412"/>
      <c r="X639" s="1412"/>
      <c r="Y639" s="1412"/>
      <c r="Z639" s="1412"/>
      <c r="AA639" s="1412"/>
      <c r="AB639" s="1412"/>
      <c r="AC639" s="1412"/>
      <c r="AD639" s="1412"/>
      <c r="AE639" s="1412"/>
      <c r="AF639" s="1412"/>
      <c r="AG639" s="1412"/>
      <c r="AH639" s="1412"/>
      <c r="AI639" s="1412"/>
      <c r="AJ639" s="1412"/>
      <c r="AK639" s="1412"/>
      <c r="AL639" s="1412"/>
      <c r="AM639" s="1412"/>
      <c r="AN639" s="1414"/>
      <c r="AO639" s="1436">
        <f>SUM(AO627:AR638)</f>
        <v>22036407</v>
      </c>
      <c r="AP639" s="1437"/>
      <c r="AQ639" s="1437"/>
      <c r="AR639" s="1437"/>
      <c r="AS639" s="1438"/>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75" t="e">
        <f t="shared" si="2"/>
        <v>#VALUE!</v>
      </c>
      <c r="DY639" s="1375"/>
      <c r="DZ639" s="1375"/>
      <c r="EA639" s="1375"/>
      <c r="EB639" s="1375"/>
      <c r="EC639" s="1375">
        <f t="shared" si="3"/>
        <v>162.77777777777777</v>
      </c>
      <c r="ED639" s="1375"/>
      <c r="EE639" s="1375"/>
      <c r="EF639" s="1375"/>
      <c r="EG639" s="1375"/>
      <c r="EH639" s="1375" t="e">
        <f t="shared" si="4"/>
        <v>#VALUE!</v>
      </c>
      <c r="EI639" s="1375"/>
      <c r="EJ639" s="1375"/>
      <c r="EK639" s="1375"/>
      <c r="EL639" s="1375"/>
      <c r="EM639" s="1375" t="e">
        <f t="shared" si="5"/>
        <v>#VALUE!</v>
      </c>
      <c r="EN639" s="1375"/>
      <c r="EO639" s="1375"/>
      <c r="EP639" s="1375"/>
      <c r="EQ639" s="1375"/>
      <c r="ER639" s="1375" t="e">
        <f t="shared" si="6"/>
        <v>#VALUE!</v>
      </c>
      <c r="ES639" s="1375"/>
      <c r="ET639" s="1375"/>
      <c r="EU639" s="1375"/>
      <c r="EV639" s="1375"/>
      <c r="EW639" s="1375" t="e">
        <f t="shared" si="7"/>
        <v>#VALUE!</v>
      </c>
      <c r="EX639" s="1375"/>
      <c r="EY639" s="1375"/>
      <c r="EZ639" s="1375"/>
      <c r="FA639" s="1375"/>
    </row>
    <row r="640" spans="2:157" ht="12.95" customHeight="1">
      <c r="B640" s="1411" t="s">
        <v>267</v>
      </c>
      <c r="C640" s="1412"/>
      <c r="D640" s="1412"/>
      <c r="E640" s="1412"/>
      <c r="F640" s="1412"/>
      <c r="G640" s="1412"/>
      <c r="H640" s="1412"/>
      <c r="I640" s="1412"/>
      <c r="J640" s="1412"/>
      <c r="K640" s="1412"/>
      <c r="L640" s="1412"/>
      <c r="M640" s="1412"/>
      <c r="N640" s="1412"/>
      <c r="O640" s="1412"/>
      <c r="P640" s="1412"/>
      <c r="Q640" s="1412"/>
      <c r="R640" s="1412"/>
      <c r="S640" s="1412"/>
      <c r="T640" s="1412"/>
      <c r="U640" s="1412"/>
      <c r="V640" s="1412"/>
      <c r="W640" s="1412"/>
      <c r="X640" s="1412"/>
      <c r="Y640" s="1412"/>
      <c r="Z640" s="1412"/>
      <c r="AA640" s="1412"/>
      <c r="AB640" s="1412"/>
      <c r="AC640" s="1412"/>
      <c r="AD640" s="1412"/>
      <c r="AE640" s="1412"/>
      <c r="AF640" s="1412"/>
      <c r="AG640" s="1412"/>
      <c r="AH640" s="1412"/>
      <c r="AI640" s="1412"/>
      <c r="AJ640" s="1412"/>
      <c r="AK640" s="1412"/>
      <c r="AL640" s="1412"/>
      <c r="AM640" s="1412"/>
      <c r="AN640" s="1414"/>
      <c r="AO640" s="1439">
        <v>11480479</v>
      </c>
      <c r="AP640" s="1340"/>
      <c r="AQ640" s="1340"/>
      <c r="AR640" s="1340"/>
      <c r="AS640" s="1341"/>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75" t="e">
        <f t="shared" si="2"/>
        <v>#VALUE!</v>
      </c>
      <c r="DY640" s="1375"/>
      <c r="DZ640" s="1375"/>
      <c r="EA640" s="1375"/>
      <c r="EB640" s="1375"/>
      <c r="EC640" s="1375">
        <f t="shared" si="3"/>
        <v>767.22222222222229</v>
      </c>
      <c r="ED640" s="1375"/>
      <c r="EE640" s="1375"/>
      <c r="EF640" s="1375"/>
      <c r="EG640" s="1375"/>
      <c r="EH640" s="1375" t="e">
        <f t="shared" si="4"/>
        <v>#VALUE!</v>
      </c>
      <c r="EI640" s="1375"/>
      <c r="EJ640" s="1375"/>
      <c r="EK640" s="1375"/>
      <c r="EL640" s="1375"/>
      <c r="EM640" s="1375" t="e">
        <f t="shared" si="5"/>
        <v>#VALUE!</v>
      </c>
      <c r="EN640" s="1375"/>
      <c r="EO640" s="1375"/>
      <c r="EP640" s="1375"/>
      <c r="EQ640" s="1375"/>
      <c r="ER640" s="1375" t="e">
        <f t="shared" si="6"/>
        <v>#VALUE!</v>
      </c>
      <c r="ES640" s="1375"/>
      <c r="ET640" s="1375"/>
      <c r="EU640" s="1375"/>
      <c r="EV640" s="1375"/>
      <c r="EW640" s="1375" t="e">
        <f t="shared" si="7"/>
        <v>#VALUE!</v>
      </c>
      <c r="EX640" s="1375"/>
      <c r="EY640" s="1375"/>
      <c r="EZ640" s="1375"/>
      <c r="FA640" s="1375"/>
    </row>
    <row r="641" spans="1:157" ht="12.95" customHeight="1">
      <c r="B641" s="1696" t="s">
        <v>268</v>
      </c>
      <c r="C641" s="1413"/>
      <c r="D641" s="1413"/>
      <c r="E641" s="1413"/>
      <c r="F641" s="1413"/>
      <c r="G641" s="1413"/>
      <c r="H641" s="1413"/>
      <c r="I641" s="1413"/>
      <c r="J641" s="1413"/>
      <c r="K641" s="1413"/>
      <c r="L641" s="1413"/>
      <c r="M641" s="1413"/>
      <c r="N641" s="1413"/>
      <c r="O641" s="1413"/>
      <c r="P641" s="1413"/>
      <c r="Q641" s="1413"/>
      <c r="R641" s="1413"/>
      <c r="S641" s="1413"/>
      <c r="T641" s="1413"/>
      <c r="U641" s="1413"/>
      <c r="V641" s="1413"/>
      <c r="W641" s="1413"/>
      <c r="X641" s="1413"/>
      <c r="Y641" s="1413"/>
      <c r="Z641" s="1413"/>
      <c r="AA641" s="1413"/>
      <c r="AB641" s="1413"/>
      <c r="AC641" s="1413"/>
      <c r="AD641" s="1413"/>
      <c r="AE641" s="1413"/>
      <c r="AF641" s="1413"/>
      <c r="AG641" s="1413"/>
      <c r="AH641" s="1413"/>
      <c r="AI641" s="1413"/>
      <c r="AJ641" s="1413"/>
      <c r="AK641" s="1413"/>
      <c r="AL641" s="1413"/>
      <c r="AM641" s="1413"/>
      <c r="AN641" s="1697"/>
      <c r="AO641" s="1436">
        <f>AO639+AO640</f>
        <v>33516886</v>
      </c>
      <c r="AP641" s="1437"/>
      <c r="AQ641" s="1437"/>
      <c r="AR641" s="1437"/>
      <c r="AS641" s="1438"/>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75" t="e">
        <f t="shared" si="2"/>
        <v>#VALUE!</v>
      </c>
      <c r="DY641" s="1375"/>
      <c r="DZ641" s="1375"/>
      <c r="EA641" s="1375"/>
      <c r="EB641" s="1375"/>
      <c r="EC641" s="1375">
        <f t="shared" si="3"/>
        <v>344.22222222222223</v>
      </c>
      <c r="ED641" s="1375"/>
      <c r="EE641" s="1375"/>
      <c r="EF641" s="1375"/>
      <c r="EG641" s="1375"/>
      <c r="EH641" s="1375" t="e">
        <f t="shared" si="4"/>
        <v>#VALUE!</v>
      </c>
      <c r="EI641" s="1375"/>
      <c r="EJ641" s="1375"/>
      <c r="EK641" s="1375"/>
      <c r="EL641" s="1375"/>
      <c r="EM641" s="1375" t="e">
        <f t="shared" si="5"/>
        <v>#VALUE!</v>
      </c>
      <c r="EN641" s="1375"/>
      <c r="EO641" s="1375"/>
      <c r="EP641" s="1375"/>
      <c r="EQ641" s="1375"/>
      <c r="ER641" s="1375" t="e">
        <f t="shared" si="6"/>
        <v>#VALUE!</v>
      </c>
      <c r="ES641" s="1375"/>
      <c r="ET641" s="1375"/>
      <c r="EU641" s="1375"/>
      <c r="EV641" s="1375"/>
      <c r="EW641" s="1375" t="e">
        <f t="shared" si="7"/>
        <v>#VALUE!</v>
      </c>
      <c r="EX641" s="1375"/>
      <c r="EY641" s="1375"/>
      <c r="EZ641" s="1375"/>
      <c r="FA641" s="1375"/>
    </row>
    <row r="642" spans="1:157" ht="12.95" customHeight="1">
      <c r="B642" s="513"/>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75" t="e">
        <f t="shared" si="2"/>
        <v>#VALUE!</v>
      </c>
      <c r="DY642" s="1375"/>
      <c r="DZ642" s="1375"/>
      <c r="EA642" s="1375"/>
      <c r="EB642" s="1375"/>
      <c r="EC642" s="1375" t="e">
        <f t="shared" si="3"/>
        <v>#VALUE!</v>
      </c>
      <c r="ED642" s="1375"/>
      <c r="EE642" s="1375"/>
      <c r="EF642" s="1375"/>
      <c r="EG642" s="1375"/>
      <c r="EH642" s="1375">
        <f t="shared" si="4"/>
        <v>55.4</v>
      </c>
      <c r="EI642" s="1375"/>
      <c r="EJ642" s="1375"/>
      <c r="EK642" s="1375"/>
      <c r="EL642" s="1375"/>
      <c r="EM642" s="1375" t="e">
        <f t="shared" si="5"/>
        <v>#VALUE!</v>
      </c>
      <c r="EN642" s="1375"/>
      <c r="EO642" s="1375"/>
      <c r="EP642" s="1375"/>
      <c r="EQ642" s="1375"/>
      <c r="ER642" s="1375" t="e">
        <f t="shared" si="6"/>
        <v>#VALUE!</v>
      </c>
      <c r="ES642" s="1375"/>
      <c r="ET642" s="1375"/>
      <c r="EU642" s="1375"/>
      <c r="EV642" s="1375"/>
      <c r="EW642" s="1375" t="e">
        <f t="shared" si="7"/>
        <v>#VALUE!</v>
      </c>
      <c r="EX642" s="1375"/>
      <c r="EY642" s="1375"/>
      <c r="EZ642" s="1375"/>
      <c r="FA642" s="1375"/>
    </row>
    <row r="643" spans="1:157" ht="12.95" customHeight="1">
      <c r="A643" s="55" t="s">
        <v>112</v>
      </c>
      <c r="B643" t="s">
        <v>463</v>
      </c>
      <c r="G643" s="1489" t="str">
        <f>C627</f>
        <v>Banner Bank</v>
      </c>
      <c r="H643" s="1489"/>
      <c r="I643" s="1489"/>
      <c r="J643" s="1489"/>
      <c r="K643" s="1489"/>
      <c r="L643" s="1489"/>
      <c r="M643" s="1489"/>
      <c r="N643" s="1489"/>
      <c r="O643" s="1489"/>
      <c r="P643" s="1489"/>
      <c r="Q643" s="1489"/>
      <c r="R643" s="1489"/>
      <c r="S643" s="8"/>
      <c r="T643" s="55" t="s">
        <v>113</v>
      </c>
      <c r="U643" t="s">
        <v>463</v>
      </c>
      <c r="Z643" s="1489" t="str">
        <f>C628</f>
        <v xml:space="preserve">NOI During Construction </v>
      </c>
      <c r="AA643" s="1489"/>
      <c r="AB643" s="1489"/>
      <c r="AC643" s="1489"/>
      <c r="AD643" s="1489"/>
      <c r="AE643" s="1489"/>
      <c r="AF643" s="1489"/>
      <c r="AG643" s="1489"/>
      <c r="AH643" s="1489"/>
      <c r="AI643" s="1489"/>
      <c r="AJ643" s="1489"/>
      <c r="AK643" s="1489"/>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75" t="e">
        <f t="shared" si="2"/>
        <v>#VALUE!</v>
      </c>
      <c r="DY643" s="1375"/>
      <c r="DZ643" s="1375"/>
      <c r="EA643" s="1375"/>
      <c r="EB643" s="1375"/>
      <c r="EC643" s="1375" t="e">
        <f t="shared" si="3"/>
        <v>#VALUE!</v>
      </c>
      <c r="ED643" s="1375"/>
      <c r="EE643" s="1375"/>
      <c r="EF643" s="1375"/>
      <c r="EG643" s="1375"/>
      <c r="EH643" s="1375">
        <f t="shared" si="4"/>
        <v>412.8</v>
      </c>
      <c r="EI643" s="1375"/>
      <c r="EJ643" s="1375"/>
      <c r="EK643" s="1375"/>
      <c r="EL643" s="1375"/>
      <c r="EM643" s="1375" t="e">
        <f t="shared" si="5"/>
        <v>#VALUE!</v>
      </c>
      <c r="EN643" s="1375"/>
      <c r="EO643" s="1375"/>
      <c r="EP643" s="1375"/>
      <c r="EQ643" s="1375"/>
      <c r="ER643" s="1375" t="e">
        <f t="shared" si="6"/>
        <v>#VALUE!</v>
      </c>
      <c r="ES643" s="1375"/>
      <c r="ET643" s="1375"/>
      <c r="EU643" s="1375"/>
      <c r="EV643" s="1375"/>
      <c r="EW643" s="1375" t="e">
        <f t="shared" si="7"/>
        <v>#VALUE!</v>
      </c>
      <c r="EX643" s="1375"/>
      <c r="EY643" s="1375"/>
      <c r="EZ643" s="1375"/>
      <c r="FA643" s="1375"/>
    </row>
    <row r="644" spans="1:157" ht="12.95" customHeight="1">
      <c r="A644" s="22"/>
      <c r="B644" t="s">
        <v>85</v>
      </c>
      <c r="G644" s="1399" t="s">
        <v>2653</v>
      </c>
      <c r="H644" s="1399"/>
      <c r="I644" s="1399"/>
      <c r="J644" s="1399"/>
      <c r="K644" s="1399"/>
      <c r="L644" s="1399"/>
      <c r="M644" s="1399"/>
      <c r="N644" s="1399"/>
      <c r="O644" s="1399"/>
      <c r="P644" s="1399"/>
      <c r="Q644" s="1399"/>
      <c r="R644" s="1399"/>
      <c r="S644" s="8"/>
      <c r="T644" s="22"/>
      <c r="U644" t="s">
        <v>85</v>
      </c>
      <c r="Z644" s="1399" t="s">
        <v>2617</v>
      </c>
      <c r="AA644" s="1399"/>
      <c r="AB644" s="1399"/>
      <c r="AC644" s="1399"/>
      <c r="AD644" s="1399"/>
      <c r="AE644" s="1399"/>
      <c r="AF644" s="1399"/>
      <c r="AG644" s="1399"/>
      <c r="AH644" s="1399"/>
      <c r="AI644" s="1399"/>
      <c r="AJ644" s="1399"/>
      <c r="AK644" s="1399"/>
      <c r="AV644" s="3"/>
      <c r="AW644" s="3"/>
      <c r="AX644" s="3"/>
      <c r="AY644" s="3"/>
      <c r="AZ644" s="3"/>
      <c r="BA644" s="3"/>
      <c r="BB644" s="3"/>
      <c r="BC644" s="3"/>
      <c r="BD644" s="3"/>
      <c r="BE644" s="3"/>
      <c r="BF644" s="3"/>
      <c r="BG644" s="3"/>
      <c r="BH644" s="3"/>
      <c r="BI644" s="3"/>
      <c r="BJ644" s="3"/>
      <c r="BK644" s="3"/>
      <c r="BL644" s="3"/>
      <c r="BM644" s="3"/>
      <c r="DX644" s="1375" t="e">
        <f t="shared" si="2"/>
        <v>#VALUE!</v>
      </c>
      <c r="DY644" s="1375"/>
      <c r="DZ644" s="1375"/>
      <c r="EA644" s="1375"/>
      <c r="EB644" s="1375"/>
      <c r="EC644" s="1375" t="e">
        <f t="shared" si="3"/>
        <v>#VALUE!</v>
      </c>
      <c r="ED644" s="1375"/>
      <c r="EE644" s="1375"/>
      <c r="EF644" s="1375"/>
      <c r="EG644" s="1375"/>
      <c r="EH644" s="1375">
        <f t="shared" si="4"/>
        <v>978.66666666666663</v>
      </c>
      <c r="EI644" s="1375"/>
      <c r="EJ644" s="1375"/>
      <c r="EK644" s="1375"/>
      <c r="EL644" s="1375"/>
      <c r="EM644" s="1375" t="e">
        <f t="shared" si="5"/>
        <v>#VALUE!</v>
      </c>
      <c r="EN644" s="1375"/>
      <c r="EO644" s="1375"/>
      <c r="EP644" s="1375"/>
      <c r="EQ644" s="1375"/>
      <c r="ER644" s="1375" t="e">
        <f t="shared" si="6"/>
        <v>#VALUE!</v>
      </c>
      <c r="ES644" s="1375"/>
      <c r="ET644" s="1375"/>
      <c r="EU644" s="1375"/>
      <c r="EV644" s="1375"/>
      <c r="EW644" s="1375" t="e">
        <f t="shared" si="7"/>
        <v>#VALUE!</v>
      </c>
      <c r="EX644" s="1375"/>
      <c r="EY644" s="1375"/>
      <c r="EZ644" s="1375"/>
      <c r="FA644" s="1375"/>
    </row>
    <row r="645" spans="1:157" ht="12.95" customHeight="1">
      <c r="A645" s="22"/>
      <c r="B645" t="s">
        <v>580</v>
      </c>
      <c r="G645" s="1399" t="s">
        <v>729</v>
      </c>
      <c r="H645" s="1399"/>
      <c r="I645" s="1399"/>
      <c r="J645" s="1399"/>
      <c r="K645" s="1399"/>
      <c r="L645" s="1399"/>
      <c r="M645" s="1399"/>
      <c r="N645" s="1399"/>
      <c r="O645" s="1399"/>
      <c r="P645" s="1399"/>
      <c r="Q645" s="1399"/>
      <c r="R645" s="1399"/>
      <c r="T645" s="22"/>
      <c r="U645" t="s">
        <v>580</v>
      </c>
      <c r="Z645" s="1420" t="s">
        <v>729</v>
      </c>
      <c r="AA645" s="1420"/>
      <c r="AB645" s="1420"/>
      <c r="AC645" s="1420"/>
      <c r="AD645" s="1420"/>
      <c r="AE645" s="1420"/>
      <c r="AF645" s="1420"/>
      <c r="AG645" s="1420"/>
      <c r="AH645" s="1420"/>
      <c r="AI645" s="1420"/>
      <c r="AJ645" s="1420"/>
      <c r="AK645" s="1420"/>
      <c r="AV645" s="3"/>
      <c r="AW645" s="3"/>
      <c r="AX645" s="3"/>
      <c r="AY645" s="3"/>
      <c r="AZ645" s="3"/>
      <c r="BA645" s="3"/>
      <c r="BB645" s="3"/>
      <c r="BC645" s="3"/>
      <c r="BD645" s="3"/>
      <c r="BE645" s="3"/>
      <c r="BF645" s="3"/>
      <c r="BG645" s="3"/>
      <c r="BH645" s="3"/>
      <c r="BI645" s="3"/>
      <c r="BJ645" s="3"/>
      <c r="BK645" s="3"/>
      <c r="BL645" s="3"/>
      <c r="BM645" s="3"/>
      <c r="DX645" s="1375" t="e">
        <f t="shared" si="2"/>
        <v>#VALUE!</v>
      </c>
      <c r="DY645" s="1375"/>
      <c r="DZ645" s="1375"/>
      <c r="EA645" s="1375"/>
      <c r="EB645" s="1375"/>
      <c r="EC645" s="1375" t="e">
        <f t="shared" si="3"/>
        <v>#VALUE!</v>
      </c>
      <c r="ED645" s="1375"/>
      <c r="EE645" s="1375"/>
      <c r="EF645" s="1375"/>
      <c r="EG645" s="1375"/>
      <c r="EH645" s="1375" t="e">
        <f t="shared" si="4"/>
        <v>#VALUE!</v>
      </c>
      <c r="EI645" s="1375"/>
      <c r="EJ645" s="1375"/>
      <c r="EK645" s="1375"/>
      <c r="EL645" s="1375"/>
      <c r="EM645" s="1375">
        <f t="shared" si="5"/>
        <v>31.551724137931036</v>
      </c>
      <c r="EN645" s="1375"/>
      <c r="EO645" s="1375"/>
      <c r="EP645" s="1375"/>
      <c r="EQ645" s="1375"/>
      <c r="ER645" s="1375" t="e">
        <f t="shared" si="6"/>
        <v>#VALUE!</v>
      </c>
      <c r="ES645" s="1375"/>
      <c r="ET645" s="1375"/>
      <c r="EU645" s="1375"/>
      <c r="EV645" s="1375"/>
      <c r="EW645" s="1375" t="e">
        <f t="shared" si="7"/>
        <v>#VALUE!</v>
      </c>
      <c r="EX645" s="1375"/>
      <c r="EY645" s="1375"/>
      <c r="EZ645" s="1375"/>
      <c r="FA645" s="1375"/>
    </row>
    <row r="646" spans="1:157" ht="12.95" customHeight="1">
      <c r="A646" s="22"/>
      <c r="B646" t="s">
        <v>17</v>
      </c>
      <c r="G646" s="1399" t="s">
        <v>2654</v>
      </c>
      <c r="H646" s="1399"/>
      <c r="I646" s="1399"/>
      <c r="J646" s="1399"/>
      <c r="K646" s="1399"/>
      <c r="L646" s="1399"/>
      <c r="M646" s="1399"/>
      <c r="N646" s="1399"/>
      <c r="O646" s="1399"/>
      <c r="P646" s="1399"/>
      <c r="Q646" s="1399"/>
      <c r="R646" s="1399"/>
      <c r="S646" s="8"/>
      <c r="T646" s="22"/>
      <c r="U646" t="s">
        <v>17</v>
      </c>
      <c r="Z646" s="1420" t="s">
        <v>2666</v>
      </c>
      <c r="AA646" s="1420"/>
      <c r="AB646" s="1420"/>
      <c r="AC646" s="1420"/>
      <c r="AD646" s="1420"/>
      <c r="AE646" s="1420"/>
      <c r="AF646" s="1420"/>
      <c r="AG646" s="1420"/>
      <c r="AH646" s="1420"/>
      <c r="AI646" s="1420"/>
      <c r="AJ646" s="1420"/>
      <c r="AK646" s="1420"/>
      <c r="AZ646" s="3"/>
      <c r="BA646" s="3"/>
      <c r="BB646" s="3"/>
      <c r="BC646" s="3"/>
      <c r="BD646" s="3"/>
      <c r="BE646" s="3"/>
      <c r="BF646" s="3"/>
      <c r="BG646" s="3"/>
      <c r="BH646" s="3"/>
      <c r="BI646" s="3"/>
      <c r="BJ646" s="3"/>
      <c r="BK646" s="3"/>
      <c r="BL646" s="3"/>
      <c r="BM646" s="3"/>
      <c r="DX646" s="1375" t="e">
        <f t="shared" si="2"/>
        <v>#VALUE!</v>
      </c>
      <c r="DY646" s="1375"/>
      <c r="DZ646" s="1375"/>
      <c r="EA646" s="1375"/>
      <c r="EB646" s="1375"/>
      <c r="EC646" s="1375" t="e">
        <f t="shared" si="3"/>
        <v>#VALUE!</v>
      </c>
      <c r="ED646" s="1375"/>
      <c r="EE646" s="1375"/>
      <c r="EF646" s="1375"/>
      <c r="EG646" s="1375"/>
      <c r="EH646" s="1375" t="e">
        <f t="shared" si="4"/>
        <v>#VALUE!</v>
      </c>
      <c r="EI646" s="1375"/>
      <c r="EJ646" s="1375"/>
      <c r="EK646" s="1375"/>
      <c r="EL646" s="1375"/>
      <c r="EM646" s="1375">
        <f t="shared" si="5"/>
        <v>236.06896551724137</v>
      </c>
      <c r="EN646" s="1375"/>
      <c r="EO646" s="1375"/>
      <c r="EP646" s="1375"/>
      <c r="EQ646" s="1375"/>
      <c r="ER646" s="1375" t="e">
        <f t="shared" si="6"/>
        <v>#VALUE!</v>
      </c>
      <c r="ES646" s="1375"/>
      <c r="ET646" s="1375"/>
      <c r="EU646" s="1375"/>
      <c r="EV646" s="1375"/>
      <c r="EW646" s="1375" t="e">
        <f t="shared" si="7"/>
        <v>#VALUE!</v>
      </c>
      <c r="EX646" s="1375"/>
      <c r="EY646" s="1375"/>
      <c r="EZ646" s="1375"/>
      <c r="FA646" s="1375"/>
    </row>
    <row r="647" spans="1:157" ht="12.95" customHeight="1">
      <c r="A647" s="22"/>
      <c r="B647" t="s">
        <v>316</v>
      </c>
      <c r="G647" s="1475" t="s">
        <v>2655</v>
      </c>
      <c r="H647" s="1475"/>
      <c r="I647" s="1475"/>
      <c r="J647" s="1475"/>
      <c r="K647" s="1475"/>
      <c r="L647" s="1475"/>
      <c r="O647" s="33" t="s">
        <v>206</v>
      </c>
      <c r="P647" s="1499" t="s">
        <v>2678</v>
      </c>
      <c r="Q647" s="1397"/>
      <c r="R647" s="1397"/>
      <c r="S647" s="10"/>
      <c r="T647" s="22"/>
      <c r="U647" t="s">
        <v>316</v>
      </c>
      <c r="Z647" s="1474" t="s">
        <v>2659</v>
      </c>
      <c r="AA647" s="1475"/>
      <c r="AB647" s="1475"/>
      <c r="AC647" s="1475"/>
      <c r="AD647" s="1475"/>
      <c r="AE647" s="1475"/>
      <c r="AH647" s="33" t="s">
        <v>206</v>
      </c>
      <c r="AI647" s="1499" t="s">
        <v>2678</v>
      </c>
      <c r="AJ647" s="1397"/>
      <c r="AK647" s="1397"/>
      <c r="AZ647" s="34"/>
      <c r="BA647" s="34"/>
      <c r="BB647" s="34"/>
      <c r="BC647" s="34"/>
      <c r="BD647" s="34"/>
      <c r="BE647" s="34"/>
      <c r="BF647" s="34"/>
      <c r="BG647" s="34"/>
      <c r="BH647" s="34"/>
      <c r="BI647" s="34"/>
      <c r="BJ647" s="34"/>
      <c r="BK647" s="34"/>
      <c r="BL647" s="34"/>
      <c r="BM647" s="34"/>
      <c r="DX647" s="1375" t="e">
        <f t="shared" si="2"/>
        <v>#VALUE!</v>
      </c>
      <c r="DY647" s="1375"/>
      <c r="DZ647" s="1375"/>
      <c r="EA647" s="1375"/>
      <c r="EB647" s="1375"/>
      <c r="EC647" s="1375" t="e">
        <f t="shared" si="3"/>
        <v>#VALUE!</v>
      </c>
      <c r="ED647" s="1375"/>
      <c r="EE647" s="1375"/>
      <c r="EF647" s="1375"/>
      <c r="EG647" s="1375"/>
      <c r="EH647" s="1375" t="e">
        <f t="shared" si="4"/>
        <v>#VALUE!</v>
      </c>
      <c r="EI647" s="1375"/>
      <c r="EJ647" s="1375"/>
      <c r="EK647" s="1375"/>
      <c r="EL647" s="1375"/>
      <c r="EM647" s="1375">
        <f t="shared" si="5"/>
        <v>1553.655172413793</v>
      </c>
      <c r="EN647" s="1375"/>
      <c r="EO647" s="1375"/>
      <c r="EP647" s="1375"/>
      <c r="EQ647" s="1375"/>
      <c r="ER647" s="1375" t="e">
        <f t="shared" si="6"/>
        <v>#VALUE!</v>
      </c>
      <c r="ES647" s="1375"/>
      <c r="ET647" s="1375"/>
      <c r="EU647" s="1375"/>
      <c r="EV647" s="1375"/>
      <c r="EW647" s="1375" t="e">
        <f t="shared" si="7"/>
        <v>#VALUE!</v>
      </c>
      <c r="EX647" s="1375"/>
      <c r="EY647" s="1375"/>
      <c r="EZ647" s="1375"/>
      <c r="FA647" s="1375"/>
    </row>
    <row r="648" spans="1:157" ht="12.95" customHeight="1">
      <c r="A648" s="22"/>
      <c r="B648" t="s">
        <v>18</v>
      </c>
      <c r="H648" s="1399" t="s">
        <v>2668</v>
      </c>
      <c r="I648" s="1399"/>
      <c r="J648" s="1399"/>
      <c r="K648" s="1399"/>
      <c r="L648" s="1399"/>
      <c r="M648" s="1399"/>
      <c r="N648" s="1399"/>
      <c r="O648" s="1399"/>
      <c r="P648" s="1399"/>
      <c r="Q648" s="1399"/>
      <c r="R648" s="1399"/>
      <c r="S648" s="8"/>
      <c r="T648" s="22"/>
      <c r="U648" t="s">
        <v>18</v>
      </c>
      <c r="AA648" s="1399" t="s">
        <v>2667</v>
      </c>
      <c r="AB648" s="1399"/>
      <c r="AC648" s="1399"/>
      <c r="AD648" s="1399"/>
      <c r="AE648" s="1399"/>
      <c r="AF648" s="1399"/>
      <c r="AG648" s="1399"/>
      <c r="AH648" s="1399"/>
      <c r="AI648" s="1399"/>
      <c r="AJ648" s="1399"/>
      <c r="AK648" s="1399"/>
      <c r="AZ648" s="34"/>
      <c r="BA648" s="34"/>
      <c r="BB648" s="34"/>
      <c r="BC648" s="34"/>
      <c r="BD648" s="34"/>
      <c r="BE648" s="34"/>
      <c r="BF648" s="34"/>
      <c r="BG648" s="34"/>
      <c r="BH648" s="34"/>
      <c r="BI648" s="34"/>
      <c r="BJ648" s="34"/>
      <c r="BK648" s="34"/>
      <c r="BL648" s="34"/>
      <c r="BM648" s="34"/>
      <c r="DX648" s="1375" t="e">
        <f t="shared" si="2"/>
        <v>#VALUE!</v>
      </c>
      <c r="DY648" s="1375"/>
      <c r="DZ648" s="1375"/>
      <c r="EA648" s="1375"/>
      <c r="EB648" s="1375"/>
      <c r="EC648" s="1375" t="e">
        <f t="shared" si="3"/>
        <v>#VALUE!</v>
      </c>
      <c r="ED648" s="1375"/>
      <c r="EE648" s="1375"/>
      <c r="EF648" s="1375"/>
      <c r="EG648" s="1375"/>
      <c r="EH648" s="1375" t="e">
        <f t="shared" si="4"/>
        <v>#VALUE!</v>
      </c>
      <c r="EI648" s="1375"/>
      <c r="EJ648" s="1375"/>
      <c r="EK648" s="1375"/>
      <c r="EL648" s="1375"/>
      <c r="EM648" s="1375" t="e">
        <f t="shared" si="5"/>
        <v>#VALUE!</v>
      </c>
      <c r="EN648" s="1375"/>
      <c r="EO648" s="1375"/>
      <c r="EP648" s="1375"/>
      <c r="EQ648" s="1375"/>
      <c r="ER648" s="1375" t="e">
        <f t="shared" si="6"/>
        <v>#VALUE!</v>
      </c>
      <c r="ES648" s="1375"/>
      <c r="ET648" s="1375"/>
      <c r="EU648" s="1375"/>
      <c r="EV648" s="1375"/>
      <c r="EW648" s="1375" t="e">
        <f t="shared" si="7"/>
        <v>#VALUE!</v>
      </c>
      <c r="EX648" s="1375"/>
      <c r="EY648" s="1375"/>
      <c r="EZ648" s="1375"/>
      <c r="FA648" s="1375"/>
    </row>
    <row r="649" spans="1:157" ht="12.95" customHeight="1">
      <c r="A649" s="22"/>
      <c r="B649" t="s">
        <v>20</v>
      </c>
      <c r="N649" s="1418" t="s">
        <v>545</v>
      </c>
      <c r="O649" s="1418"/>
      <c r="T649" s="22"/>
      <c r="U649" t="s">
        <v>20</v>
      </c>
      <c r="AG649" s="1418" t="s">
        <v>545</v>
      </c>
      <c r="AH649" s="1418"/>
      <c r="AZ649" s="34"/>
      <c r="BA649" s="34"/>
      <c r="BB649" s="34"/>
      <c r="BC649" s="34"/>
      <c r="BD649" s="34"/>
      <c r="BE649" s="34"/>
      <c r="BF649" s="34"/>
      <c r="BG649" s="34"/>
      <c r="BH649" s="34"/>
      <c r="BI649" s="34"/>
      <c r="BJ649" s="34"/>
      <c r="BK649" s="34"/>
      <c r="BL649" s="34"/>
      <c r="BM649" s="34"/>
      <c r="DX649" s="1375" t="e">
        <f t="shared" si="2"/>
        <v>#VALUE!</v>
      </c>
      <c r="DY649" s="1375"/>
      <c r="DZ649" s="1375"/>
      <c r="EA649" s="1375"/>
      <c r="EB649" s="1375"/>
      <c r="EC649" s="1375" t="e">
        <f t="shared" si="3"/>
        <v>#VALUE!</v>
      </c>
      <c r="ED649" s="1375"/>
      <c r="EE649" s="1375"/>
      <c r="EF649" s="1375"/>
      <c r="EG649" s="1375"/>
      <c r="EH649" s="1375" t="e">
        <f t="shared" si="4"/>
        <v>#VALUE!</v>
      </c>
      <c r="EI649" s="1375"/>
      <c r="EJ649" s="1375"/>
      <c r="EK649" s="1375"/>
      <c r="EL649" s="1375"/>
      <c r="EM649" s="1375" t="e">
        <f t="shared" si="5"/>
        <v>#VALUE!</v>
      </c>
      <c r="EN649" s="1375"/>
      <c r="EO649" s="1375"/>
      <c r="EP649" s="1375"/>
      <c r="EQ649" s="1375"/>
      <c r="ER649" s="1375" t="e">
        <f t="shared" si="6"/>
        <v>#VALUE!</v>
      </c>
      <c r="ES649" s="1375"/>
      <c r="ET649" s="1375"/>
      <c r="EU649" s="1375"/>
      <c r="EV649" s="1375"/>
      <c r="EW649" s="1375" t="e">
        <f t="shared" si="7"/>
        <v>#VALUE!</v>
      </c>
      <c r="EX649" s="1375"/>
      <c r="EY649" s="1375"/>
      <c r="EZ649" s="1375"/>
      <c r="FA649" s="1375"/>
    </row>
    <row r="650" spans="1:157" ht="12.95" customHeight="1">
      <c r="A650" s="22"/>
      <c r="T650" s="22"/>
      <c r="AZ650" s="34"/>
      <c r="BA650" s="34"/>
      <c r="BB650" s="34"/>
      <c r="BC650" s="34"/>
      <c r="BD650" s="34"/>
      <c r="BE650" s="34"/>
      <c r="BF650" s="34"/>
      <c r="BG650" s="34"/>
      <c r="BH650" s="34"/>
      <c r="BI650" s="34"/>
      <c r="BJ650" s="34"/>
      <c r="BK650" s="34"/>
      <c r="BL650" s="34"/>
      <c r="BM650" s="34"/>
      <c r="DX650" s="1375" t="e">
        <f t="shared" si="2"/>
        <v>#VALUE!</v>
      </c>
      <c r="DY650" s="1375"/>
      <c r="DZ650" s="1375"/>
      <c r="EA650" s="1375"/>
      <c r="EB650" s="1375"/>
      <c r="EC650" s="1375" t="e">
        <f t="shared" si="3"/>
        <v>#VALUE!</v>
      </c>
      <c r="ED650" s="1375"/>
      <c r="EE650" s="1375"/>
      <c r="EF650" s="1375"/>
      <c r="EG650" s="1375"/>
      <c r="EH650" s="1375" t="e">
        <f t="shared" si="4"/>
        <v>#VALUE!</v>
      </c>
      <c r="EI650" s="1375"/>
      <c r="EJ650" s="1375"/>
      <c r="EK650" s="1375"/>
      <c r="EL650" s="1375"/>
      <c r="EM650" s="1375" t="e">
        <f t="shared" si="5"/>
        <v>#VALUE!</v>
      </c>
      <c r="EN650" s="1375"/>
      <c r="EO650" s="1375"/>
      <c r="EP650" s="1375"/>
      <c r="EQ650" s="1375"/>
      <c r="ER650" s="1375" t="e">
        <f t="shared" si="6"/>
        <v>#VALUE!</v>
      </c>
      <c r="ES650" s="1375"/>
      <c r="ET650" s="1375"/>
      <c r="EU650" s="1375"/>
      <c r="EV650" s="1375"/>
      <c r="EW650" s="1375" t="e">
        <f t="shared" si="7"/>
        <v>#VALUE!</v>
      </c>
      <c r="EX650" s="1375"/>
      <c r="EY650" s="1375"/>
      <c r="EZ650" s="1375"/>
      <c r="FA650" s="1375"/>
    </row>
    <row r="651" spans="1:157" ht="12.95" customHeight="1">
      <c r="A651" s="55" t="s">
        <v>119</v>
      </c>
      <c r="B651" t="s">
        <v>463</v>
      </c>
      <c r="G651" s="1489" t="str">
        <f>C629</f>
        <v>City Loan (Existing)</v>
      </c>
      <c r="H651" s="1489"/>
      <c r="I651" s="1489"/>
      <c r="J651" s="1489"/>
      <c r="K651" s="1489"/>
      <c r="L651" s="1489"/>
      <c r="M651" s="1489"/>
      <c r="N651" s="1489"/>
      <c r="O651" s="1489"/>
      <c r="P651" s="1489"/>
      <c r="Q651" s="1489"/>
      <c r="R651" s="1489"/>
      <c r="T651" s="55" t="s">
        <v>581</v>
      </c>
      <c r="U651" t="s">
        <v>463</v>
      </c>
      <c r="Z651" s="1489" t="str">
        <f>C630</f>
        <v>City Loan (Accrued Interest)</v>
      </c>
      <c r="AA651" s="1489"/>
      <c r="AB651" s="1489"/>
      <c r="AC651" s="1489"/>
      <c r="AD651" s="1489"/>
      <c r="AE651" s="1489"/>
      <c r="AF651" s="1489"/>
      <c r="AG651" s="1489"/>
      <c r="AH651" s="1489"/>
      <c r="AI651" s="1489"/>
      <c r="AJ651" s="1489"/>
      <c r="AK651" s="1489"/>
      <c r="AZ651" s="34"/>
      <c r="BA651" s="34"/>
      <c r="BB651" s="34"/>
      <c r="BC651" s="34"/>
      <c r="BD651" s="34"/>
      <c r="BE651" s="34"/>
      <c r="BF651" s="34"/>
      <c r="BG651" s="34"/>
      <c r="BH651" s="34"/>
      <c r="BI651" s="34"/>
      <c r="BJ651" s="34"/>
      <c r="BK651" s="34"/>
      <c r="BL651" s="34"/>
      <c r="BM651" s="34"/>
      <c r="DX651" s="1375" t="e">
        <f t="shared" si="2"/>
        <v>#VALUE!</v>
      </c>
      <c r="DY651" s="1375"/>
      <c r="DZ651" s="1375"/>
      <c r="EA651" s="1375"/>
      <c r="EB651" s="1375"/>
      <c r="EC651" s="1375" t="e">
        <f t="shared" si="3"/>
        <v>#VALUE!</v>
      </c>
      <c r="ED651" s="1375"/>
      <c r="EE651" s="1375"/>
      <c r="EF651" s="1375"/>
      <c r="EG651" s="1375"/>
      <c r="EH651" s="1375" t="e">
        <f t="shared" si="4"/>
        <v>#VALUE!</v>
      </c>
      <c r="EI651" s="1375"/>
      <c r="EJ651" s="1375"/>
      <c r="EK651" s="1375"/>
      <c r="EL651" s="1375"/>
      <c r="EM651" s="1375" t="e">
        <f t="shared" si="5"/>
        <v>#VALUE!</v>
      </c>
      <c r="EN651" s="1375"/>
      <c r="EO651" s="1375"/>
      <c r="EP651" s="1375"/>
      <c r="EQ651" s="1375"/>
      <c r="ER651" s="1375" t="e">
        <f t="shared" si="6"/>
        <v>#VALUE!</v>
      </c>
      <c r="ES651" s="1375"/>
      <c r="ET651" s="1375"/>
      <c r="EU651" s="1375"/>
      <c r="EV651" s="1375"/>
      <c r="EW651" s="1375" t="e">
        <f t="shared" si="7"/>
        <v>#VALUE!</v>
      </c>
      <c r="EX651" s="1375"/>
      <c r="EY651" s="1375"/>
      <c r="EZ651" s="1375"/>
      <c r="FA651" s="1375"/>
    </row>
    <row r="652" spans="1:157" ht="12.95" customHeight="1">
      <c r="A652" s="22"/>
      <c r="B652" t="s">
        <v>85</v>
      </c>
      <c r="G652" s="1399" t="s">
        <v>2661</v>
      </c>
      <c r="H652" s="1399"/>
      <c r="I652" s="1399"/>
      <c r="J652" s="1399"/>
      <c r="K652" s="1399"/>
      <c r="L652" s="1399"/>
      <c r="M652" s="1399"/>
      <c r="N652" s="1399"/>
      <c r="O652" s="1399"/>
      <c r="P652" s="1399"/>
      <c r="Q652" s="1399"/>
      <c r="R652" s="1399"/>
      <c r="T652" s="22"/>
      <c r="U652" t="s">
        <v>85</v>
      </c>
      <c r="Z652" s="1399" t="s">
        <v>2661</v>
      </c>
      <c r="AA652" s="1399"/>
      <c r="AB652" s="1399"/>
      <c r="AC652" s="1399"/>
      <c r="AD652" s="1399"/>
      <c r="AE652" s="1399"/>
      <c r="AF652" s="1399"/>
      <c r="AG652" s="1399"/>
      <c r="AH652" s="1399"/>
      <c r="AI652" s="1399"/>
      <c r="AJ652" s="1399"/>
      <c r="AK652" s="1399"/>
      <c r="AZ652" s="34"/>
      <c r="BA652" s="34"/>
      <c r="BB652" s="34"/>
      <c r="BC652" s="34"/>
      <c r="BD652" s="34"/>
      <c r="BE652" s="34"/>
      <c r="BF652" s="34"/>
      <c r="BG652" s="34"/>
      <c r="BH652" s="34"/>
      <c r="BI652" s="34"/>
      <c r="BJ652" s="34"/>
      <c r="BK652" s="34"/>
      <c r="BL652" s="34"/>
      <c r="BM652" s="34"/>
      <c r="DX652" s="1375" t="e">
        <f t="shared" si="2"/>
        <v>#VALUE!</v>
      </c>
      <c r="DY652" s="1375"/>
      <c r="DZ652" s="1375"/>
      <c r="EA652" s="1375"/>
      <c r="EB652" s="1375"/>
      <c r="EC652" s="1375" t="e">
        <f t="shared" si="3"/>
        <v>#VALUE!</v>
      </c>
      <c r="ED652" s="1375"/>
      <c r="EE652" s="1375"/>
      <c r="EF652" s="1375"/>
      <c r="EG652" s="1375"/>
      <c r="EH652" s="1375" t="e">
        <f t="shared" si="4"/>
        <v>#VALUE!</v>
      </c>
      <c r="EI652" s="1375"/>
      <c r="EJ652" s="1375"/>
      <c r="EK652" s="1375"/>
      <c r="EL652" s="1375"/>
      <c r="EM652" s="1375" t="e">
        <f t="shared" si="5"/>
        <v>#VALUE!</v>
      </c>
      <c r="EN652" s="1375"/>
      <c r="EO652" s="1375"/>
      <c r="EP652" s="1375"/>
      <c r="EQ652" s="1375"/>
      <c r="ER652" s="1375" t="e">
        <f t="shared" si="6"/>
        <v>#VALUE!</v>
      </c>
      <c r="ES652" s="1375"/>
      <c r="ET652" s="1375"/>
      <c r="EU652" s="1375"/>
      <c r="EV652" s="1375"/>
      <c r="EW652" s="1375" t="e">
        <f t="shared" si="7"/>
        <v>#VALUE!</v>
      </c>
      <c r="EX652" s="1375"/>
      <c r="EY652" s="1375"/>
      <c r="EZ652" s="1375"/>
      <c r="FA652" s="1375"/>
    </row>
    <row r="653" spans="1:157" ht="12.95" customHeight="1">
      <c r="A653" s="22"/>
      <c r="B653" t="s">
        <v>580</v>
      </c>
      <c r="G653" s="1420" t="s">
        <v>2614</v>
      </c>
      <c r="H653" s="1420"/>
      <c r="I653" s="1420"/>
      <c r="J653" s="1420"/>
      <c r="K653" s="1420"/>
      <c r="L653" s="1420"/>
      <c r="M653" s="1420"/>
      <c r="N653" s="1420"/>
      <c r="O653" s="1420"/>
      <c r="P653" s="1420"/>
      <c r="Q653" s="1420"/>
      <c r="R653" s="1420"/>
      <c r="T653" s="22"/>
      <c r="U653" t="s">
        <v>580</v>
      </c>
      <c r="Z653" s="1420" t="s">
        <v>2614</v>
      </c>
      <c r="AA653" s="1420"/>
      <c r="AB653" s="1420"/>
      <c r="AC653" s="1420"/>
      <c r="AD653" s="1420"/>
      <c r="AE653" s="1420"/>
      <c r="AF653" s="1420"/>
      <c r="AG653" s="1420"/>
      <c r="AH653" s="1420"/>
      <c r="AI653" s="1420"/>
      <c r="AJ653" s="1420"/>
      <c r="AK653" s="1420"/>
      <c r="AZ653" s="34"/>
      <c r="BA653" s="34"/>
      <c r="BB653" s="34"/>
      <c r="BC653" s="34"/>
      <c r="BD653" s="34"/>
      <c r="BE653" s="34"/>
      <c r="BF653" s="34"/>
      <c r="BG653" s="34"/>
      <c r="BH653" s="34"/>
      <c r="BI653" s="34"/>
      <c r="BJ653" s="34"/>
      <c r="BK653" s="34"/>
      <c r="BL653" s="34"/>
      <c r="BM653" s="34"/>
      <c r="DX653" s="1375" t="e">
        <f t="shared" si="2"/>
        <v>#VALUE!</v>
      </c>
      <c r="DY653" s="1375"/>
      <c r="DZ653" s="1375"/>
      <c r="EA653" s="1375"/>
      <c r="EB653" s="1375"/>
      <c r="EC653" s="1375" t="e">
        <f t="shared" si="3"/>
        <v>#VALUE!</v>
      </c>
      <c r="ED653" s="1375"/>
      <c r="EE653" s="1375"/>
      <c r="EF653" s="1375"/>
      <c r="EG653" s="1375"/>
      <c r="EH653" s="1375" t="e">
        <f t="shared" si="4"/>
        <v>#VALUE!</v>
      </c>
      <c r="EI653" s="1375"/>
      <c r="EJ653" s="1375"/>
      <c r="EK653" s="1375"/>
      <c r="EL653" s="1375"/>
      <c r="EM653" s="1375" t="e">
        <f t="shared" si="5"/>
        <v>#VALUE!</v>
      </c>
      <c r="EN653" s="1375"/>
      <c r="EO653" s="1375"/>
      <c r="EP653" s="1375"/>
      <c r="EQ653" s="1375"/>
      <c r="ER653" s="1375" t="e">
        <f t="shared" si="6"/>
        <v>#VALUE!</v>
      </c>
      <c r="ES653" s="1375"/>
      <c r="ET653" s="1375"/>
      <c r="EU653" s="1375"/>
      <c r="EV653" s="1375"/>
      <c r="EW653" s="1375" t="e">
        <f t="shared" si="7"/>
        <v>#VALUE!</v>
      </c>
      <c r="EX653" s="1375"/>
      <c r="EY653" s="1375"/>
      <c r="EZ653" s="1375"/>
      <c r="FA653" s="1375"/>
    </row>
    <row r="654" spans="1:157" ht="12.95" customHeight="1">
      <c r="A654" s="22"/>
      <c r="B654" t="s">
        <v>17</v>
      </c>
      <c r="G654" s="1420" t="s">
        <v>2662</v>
      </c>
      <c r="H654" s="1420"/>
      <c r="I654" s="1420"/>
      <c r="J654" s="1420"/>
      <c r="K654" s="1420"/>
      <c r="L654" s="1420"/>
      <c r="M654" s="1420"/>
      <c r="N654" s="1420"/>
      <c r="O654" s="1420"/>
      <c r="P654" s="1420"/>
      <c r="Q654" s="1420"/>
      <c r="R654" s="1420"/>
      <c r="T654" s="22"/>
      <c r="U654" t="s">
        <v>17</v>
      </c>
      <c r="Z654" s="1420" t="s">
        <v>2662</v>
      </c>
      <c r="AA654" s="1420"/>
      <c r="AB654" s="1420"/>
      <c r="AC654" s="1420"/>
      <c r="AD654" s="1420"/>
      <c r="AE654" s="1420"/>
      <c r="AF654" s="1420"/>
      <c r="AG654" s="1420"/>
      <c r="AH654" s="1420"/>
      <c r="AI654" s="1420"/>
      <c r="AJ654" s="1420"/>
      <c r="AK654" s="1420"/>
      <c r="AZ654" s="34"/>
      <c r="BA654" s="34"/>
      <c r="BB654" s="34"/>
      <c r="BC654" s="34"/>
      <c r="BD654" s="34"/>
      <c r="BE654" s="34"/>
      <c r="BF654" s="34"/>
      <c r="BG654" s="34"/>
      <c r="BH654" s="34"/>
      <c r="BI654" s="34"/>
      <c r="BJ654" s="34"/>
      <c r="BK654" s="34"/>
      <c r="BL654" s="34"/>
      <c r="BM654" s="34"/>
      <c r="DX654" s="1375" t="e">
        <f t="shared" si="2"/>
        <v>#VALUE!</v>
      </c>
      <c r="DY654" s="1375"/>
      <c r="DZ654" s="1375"/>
      <c r="EA654" s="1375"/>
      <c r="EB654" s="1375"/>
      <c r="EC654" s="1375" t="e">
        <f t="shared" si="3"/>
        <v>#VALUE!</v>
      </c>
      <c r="ED654" s="1375"/>
      <c r="EE654" s="1375"/>
      <c r="EF654" s="1375"/>
      <c r="EG654" s="1375"/>
      <c r="EH654" s="1375" t="e">
        <f t="shared" si="4"/>
        <v>#VALUE!</v>
      </c>
      <c r="EI654" s="1375"/>
      <c r="EJ654" s="1375"/>
      <c r="EK654" s="1375"/>
      <c r="EL654" s="1375"/>
      <c r="EM654" s="1375" t="e">
        <f t="shared" si="5"/>
        <v>#VALUE!</v>
      </c>
      <c r="EN654" s="1375"/>
      <c r="EO654" s="1375"/>
      <c r="EP654" s="1375"/>
      <c r="EQ654" s="1375"/>
      <c r="ER654" s="1375" t="e">
        <f t="shared" si="6"/>
        <v>#VALUE!</v>
      </c>
      <c r="ES654" s="1375"/>
      <c r="ET654" s="1375"/>
      <c r="EU654" s="1375"/>
      <c r="EV654" s="1375"/>
      <c r="EW654" s="1375" t="e">
        <f t="shared" si="7"/>
        <v>#VALUE!</v>
      </c>
      <c r="EX654" s="1375"/>
      <c r="EY654" s="1375"/>
      <c r="EZ654" s="1375"/>
      <c r="FA654" s="1375"/>
    </row>
    <row r="655" spans="1:157" ht="12.95" customHeight="1">
      <c r="A655" s="22"/>
      <c r="B655" t="s">
        <v>316</v>
      </c>
      <c r="G655" s="1474" t="s">
        <v>2663</v>
      </c>
      <c r="H655" s="1475"/>
      <c r="I655" s="1475"/>
      <c r="J655" s="1475"/>
      <c r="K655" s="1475"/>
      <c r="L655" s="1475"/>
      <c r="O655" s="33" t="s">
        <v>206</v>
      </c>
      <c r="P655" s="1499" t="s">
        <v>2678</v>
      </c>
      <c r="Q655" s="1397"/>
      <c r="R655" s="1397"/>
      <c r="T655" s="22"/>
      <c r="U655" t="s">
        <v>316</v>
      </c>
      <c r="Z655" s="1475" t="s">
        <v>2663</v>
      </c>
      <c r="AA655" s="1475"/>
      <c r="AB655" s="1475"/>
      <c r="AC655" s="1475"/>
      <c r="AD655" s="1475"/>
      <c r="AE655" s="1475"/>
      <c r="AH655" s="33" t="s">
        <v>206</v>
      </c>
      <c r="AI655" s="1499" t="s">
        <v>2678</v>
      </c>
      <c r="AJ655" s="1397"/>
      <c r="AK655" s="1397"/>
      <c r="AZ655" s="34"/>
      <c r="BA655" s="34"/>
      <c r="BB655" s="34"/>
      <c r="BC655" s="34"/>
      <c r="BD655" s="34"/>
      <c r="BE655" s="34"/>
      <c r="BF655" s="34"/>
      <c r="BG655" s="34"/>
      <c r="BH655" s="34"/>
      <c r="BI655" s="34"/>
      <c r="BJ655" s="34"/>
      <c r="BK655" s="34"/>
      <c r="BL655" s="34"/>
      <c r="BM655" s="34"/>
      <c r="DX655" s="1375" t="e">
        <f t="shared" si="2"/>
        <v>#VALUE!</v>
      </c>
      <c r="DY655" s="1375"/>
      <c r="DZ655" s="1375"/>
      <c r="EA655" s="1375"/>
      <c r="EB655" s="1375"/>
      <c r="EC655" s="1375" t="e">
        <f t="shared" si="3"/>
        <v>#VALUE!</v>
      </c>
      <c r="ED655" s="1375"/>
      <c r="EE655" s="1375"/>
      <c r="EF655" s="1375"/>
      <c r="EG655" s="1375"/>
      <c r="EH655" s="1375" t="e">
        <f t="shared" si="4"/>
        <v>#VALUE!</v>
      </c>
      <c r="EI655" s="1375"/>
      <c r="EJ655" s="1375"/>
      <c r="EK655" s="1375"/>
      <c r="EL655" s="1375"/>
      <c r="EM655" s="1375" t="e">
        <f t="shared" si="5"/>
        <v>#VALUE!</v>
      </c>
      <c r="EN655" s="1375"/>
      <c r="EO655" s="1375"/>
      <c r="EP655" s="1375"/>
      <c r="EQ655" s="1375"/>
      <c r="ER655" s="1375" t="e">
        <f t="shared" si="6"/>
        <v>#VALUE!</v>
      </c>
      <c r="ES655" s="1375"/>
      <c r="ET655" s="1375"/>
      <c r="EU655" s="1375"/>
      <c r="EV655" s="1375"/>
      <c r="EW655" s="1375" t="e">
        <f t="shared" si="7"/>
        <v>#VALUE!</v>
      </c>
      <c r="EX655" s="1375"/>
      <c r="EY655" s="1375"/>
      <c r="EZ655" s="1375"/>
      <c r="FA655" s="1375"/>
    </row>
    <row r="656" spans="1:157" ht="12.95" customHeight="1">
      <c r="A656" s="22"/>
      <c r="B656" t="s">
        <v>18</v>
      </c>
      <c r="H656" s="1399" t="s">
        <v>2665</v>
      </c>
      <c r="I656" s="1399"/>
      <c r="J656" s="1399"/>
      <c r="K656" s="1399"/>
      <c r="L656" s="1399"/>
      <c r="M656" s="1399"/>
      <c r="N656" s="1399"/>
      <c r="O656" s="1399"/>
      <c r="P656" s="1399"/>
      <c r="Q656" s="1399"/>
      <c r="R656" s="1399"/>
      <c r="T656" s="22"/>
      <c r="U656" t="s">
        <v>18</v>
      </c>
      <c r="AA656" s="1399" t="s">
        <v>2664</v>
      </c>
      <c r="AB656" s="1399"/>
      <c r="AC656" s="1399"/>
      <c r="AD656" s="1399"/>
      <c r="AE656" s="1399"/>
      <c r="AF656" s="1399"/>
      <c r="AG656" s="1399"/>
      <c r="AH656" s="1399"/>
      <c r="AI656" s="1399"/>
      <c r="AJ656" s="1399"/>
      <c r="AK656" s="1399"/>
      <c r="AZ656" s="34"/>
      <c r="BA656" s="34"/>
      <c r="BB656" s="34"/>
      <c r="BC656" s="34"/>
      <c r="BD656" s="34"/>
      <c r="BE656" s="34"/>
      <c r="BF656" s="34"/>
      <c r="BG656" s="34"/>
      <c r="BH656" s="34"/>
      <c r="BI656" s="34"/>
      <c r="BJ656" s="34"/>
      <c r="BK656" s="34"/>
      <c r="BL656" s="34"/>
      <c r="BM656" s="34"/>
      <c r="DX656" s="1375" t="e">
        <f t="shared" si="2"/>
        <v>#VALUE!</v>
      </c>
      <c r="DY656" s="1375"/>
      <c r="DZ656" s="1375"/>
      <c r="EA656" s="1375"/>
      <c r="EB656" s="1375"/>
      <c r="EC656" s="1375" t="e">
        <f t="shared" si="3"/>
        <v>#VALUE!</v>
      </c>
      <c r="ED656" s="1375"/>
      <c r="EE656" s="1375"/>
      <c r="EF656" s="1375"/>
      <c r="EG656" s="1375"/>
      <c r="EH656" s="1375" t="e">
        <f t="shared" si="4"/>
        <v>#VALUE!</v>
      </c>
      <c r="EI656" s="1375"/>
      <c r="EJ656" s="1375"/>
      <c r="EK656" s="1375"/>
      <c r="EL656" s="1375"/>
      <c r="EM656" s="1375" t="e">
        <f t="shared" si="5"/>
        <v>#VALUE!</v>
      </c>
      <c r="EN656" s="1375"/>
      <c r="EO656" s="1375"/>
      <c r="EP656" s="1375"/>
      <c r="EQ656" s="1375"/>
      <c r="ER656" s="1375" t="e">
        <f t="shared" si="6"/>
        <v>#VALUE!</v>
      </c>
      <c r="ES656" s="1375"/>
      <c r="ET656" s="1375"/>
      <c r="EU656" s="1375"/>
      <c r="EV656" s="1375"/>
      <c r="EW656" s="1375" t="e">
        <f t="shared" si="7"/>
        <v>#VALUE!</v>
      </c>
      <c r="EX656" s="1375"/>
      <c r="EY656" s="1375"/>
      <c r="EZ656" s="1375"/>
      <c r="FA656" s="1375"/>
    </row>
    <row r="657" spans="1:157" ht="12.95" customHeight="1">
      <c r="A657" s="22"/>
      <c r="B657" t="s">
        <v>20</v>
      </c>
      <c r="N657" s="1418" t="s">
        <v>545</v>
      </c>
      <c r="O657" s="1418"/>
      <c r="T657" s="22"/>
      <c r="U657" t="s">
        <v>20</v>
      </c>
      <c r="AG657" s="1418" t="s">
        <v>545</v>
      </c>
      <c r="AH657" s="1418"/>
      <c r="AZ657" s="34"/>
      <c r="BA657" s="34"/>
      <c r="BB657" s="34"/>
      <c r="BC657" s="34"/>
      <c r="BD657" s="34"/>
      <c r="BE657" s="34"/>
      <c r="BF657" s="34"/>
      <c r="BG657" s="34"/>
      <c r="BH657" s="34"/>
      <c r="BI657" s="34"/>
      <c r="BJ657" s="34"/>
      <c r="BK657" s="34"/>
      <c r="BL657" s="34"/>
      <c r="BM657" s="34"/>
      <c r="DX657" s="1375" t="e">
        <f t="shared" si="2"/>
        <v>#VALUE!</v>
      </c>
      <c r="DY657" s="1375"/>
      <c r="DZ657" s="1375"/>
      <c r="EA657" s="1375"/>
      <c r="EB657" s="1375"/>
      <c r="EC657" s="1375" t="e">
        <f t="shared" si="3"/>
        <v>#VALUE!</v>
      </c>
      <c r="ED657" s="1375"/>
      <c r="EE657" s="1375"/>
      <c r="EF657" s="1375"/>
      <c r="EG657" s="1375"/>
      <c r="EH657" s="1375" t="e">
        <f t="shared" si="4"/>
        <v>#VALUE!</v>
      </c>
      <c r="EI657" s="1375"/>
      <c r="EJ657" s="1375"/>
      <c r="EK657" s="1375"/>
      <c r="EL657" s="1375"/>
      <c r="EM657" s="1375" t="e">
        <f t="shared" si="5"/>
        <v>#VALUE!</v>
      </c>
      <c r="EN657" s="1375"/>
      <c r="EO657" s="1375"/>
      <c r="EP657" s="1375"/>
      <c r="EQ657" s="1375"/>
      <c r="ER657" s="1375" t="e">
        <f t="shared" si="6"/>
        <v>#VALUE!</v>
      </c>
      <c r="ES657" s="1375"/>
      <c r="ET657" s="1375"/>
      <c r="EU657" s="1375"/>
      <c r="EV657" s="1375"/>
      <c r="EW657" s="1375" t="e">
        <f t="shared" si="7"/>
        <v>#VALUE!</v>
      </c>
      <c r="EX657" s="1375"/>
      <c r="EY657" s="1375"/>
      <c r="EZ657" s="1375"/>
      <c r="FA657" s="1375"/>
    </row>
    <row r="658" spans="1:157" ht="12.95" customHeight="1">
      <c r="A658" s="22"/>
      <c r="T658" s="22"/>
      <c r="AZ658" s="34"/>
      <c r="BA658" s="34"/>
      <c r="BB658" s="34"/>
      <c r="BC658" s="34"/>
      <c r="BD658" s="34"/>
      <c r="BE658" s="34"/>
      <c r="BF658" s="34"/>
      <c r="BG658" s="34"/>
      <c r="BH658" s="34"/>
      <c r="BI658" s="34"/>
      <c r="BJ658" s="34"/>
      <c r="BK658" s="34"/>
      <c r="BL658" s="34"/>
      <c r="BM658" s="34"/>
      <c r="DX658" s="1375" t="e">
        <f t="shared" si="2"/>
        <v>#VALUE!</v>
      </c>
      <c r="DY658" s="1375"/>
      <c r="DZ658" s="1375"/>
      <c r="EA658" s="1375"/>
      <c r="EB658" s="1375"/>
      <c r="EC658" s="1375" t="e">
        <f t="shared" si="3"/>
        <v>#VALUE!</v>
      </c>
      <c r="ED658" s="1375"/>
      <c r="EE658" s="1375"/>
      <c r="EF658" s="1375"/>
      <c r="EG658" s="1375"/>
      <c r="EH658" s="1375" t="e">
        <f t="shared" si="4"/>
        <v>#VALUE!</v>
      </c>
      <c r="EI658" s="1375"/>
      <c r="EJ658" s="1375"/>
      <c r="EK658" s="1375"/>
      <c r="EL658" s="1375"/>
      <c r="EM658" s="1375" t="e">
        <f t="shared" si="5"/>
        <v>#VALUE!</v>
      </c>
      <c r="EN658" s="1375"/>
      <c r="EO658" s="1375"/>
      <c r="EP658" s="1375"/>
      <c r="EQ658" s="1375"/>
      <c r="ER658" s="1375" t="e">
        <f t="shared" si="6"/>
        <v>#VALUE!</v>
      </c>
      <c r="ES658" s="1375"/>
      <c r="ET658" s="1375"/>
      <c r="EU658" s="1375"/>
      <c r="EV658" s="1375"/>
      <c r="EW658" s="1375" t="e">
        <f t="shared" si="7"/>
        <v>#VALUE!</v>
      </c>
      <c r="EX658" s="1375"/>
      <c r="EY658" s="1375"/>
      <c r="EZ658" s="1375"/>
      <c r="FA658" s="1375"/>
    </row>
    <row r="659" spans="1:157" ht="12.95" customHeight="1">
      <c r="A659" s="55" t="s">
        <v>763</v>
      </c>
      <c r="B659" t="s">
        <v>463</v>
      </c>
      <c r="G659" s="1489">
        <f>C631</f>
        <v>0</v>
      </c>
      <c r="H659" s="1489"/>
      <c r="I659" s="1489"/>
      <c r="J659" s="1489"/>
      <c r="K659" s="1489"/>
      <c r="L659" s="1489"/>
      <c r="M659" s="1489"/>
      <c r="N659" s="1489"/>
      <c r="O659" s="1489"/>
      <c r="P659" s="1489"/>
      <c r="Q659" s="1489"/>
      <c r="R659" s="1489"/>
      <c r="T659" s="55" t="s">
        <v>584</v>
      </c>
      <c r="U659" t="s">
        <v>463</v>
      </c>
      <c r="Z659" s="1489">
        <f>C632</f>
        <v>0</v>
      </c>
      <c r="AA659" s="1489"/>
      <c r="AB659" s="1489"/>
      <c r="AC659" s="1489"/>
      <c r="AD659" s="1489"/>
      <c r="AE659" s="1489"/>
      <c r="AF659" s="1489"/>
      <c r="AG659" s="1489"/>
      <c r="AH659" s="1489"/>
      <c r="AI659" s="1489"/>
      <c r="AJ659" s="1489"/>
      <c r="AK659" s="1489"/>
      <c r="AZ659" s="34"/>
      <c r="BA659" s="34"/>
      <c r="BB659" s="34"/>
      <c r="BC659" s="34"/>
      <c r="BD659" s="34"/>
      <c r="BE659" s="34"/>
      <c r="BF659" s="34"/>
      <c r="BG659" s="34"/>
      <c r="BH659" s="34"/>
      <c r="BI659" s="34"/>
      <c r="BJ659" s="34"/>
      <c r="BK659" s="34"/>
      <c r="BL659" s="34"/>
      <c r="BM659" s="34"/>
      <c r="DX659" s="1375" t="e">
        <f t="shared" si="2"/>
        <v>#VALUE!</v>
      </c>
      <c r="DY659" s="1375"/>
      <c r="DZ659" s="1375"/>
      <c r="EA659" s="1375"/>
      <c r="EB659" s="1375"/>
      <c r="EC659" s="1375" t="e">
        <f t="shared" si="3"/>
        <v>#VALUE!</v>
      </c>
      <c r="ED659" s="1375"/>
      <c r="EE659" s="1375"/>
      <c r="EF659" s="1375"/>
      <c r="EG659" s="1375"/>
      <c r="EH659" s="1375" t="e">
        <f t="shared" si="4"/>
        <v>#VALUE!</v>
      </c>
      <c r="EI659" s="1375"/>
      <c r="EJ659" s="1375"/>
      <c r="EK659" s="1375"/>
      <c r="EL659" s="1375"/>
      <c r="EM659" s="1375" t="e">
        <f t="shared" si="5"/>
        <v>#VALUE!</v>
      </c>
      <c r="EN659" s="1375"/>
      <c r="EO659" s="1375"/>
      <c r="EP659" s="1375"/>
      <c r="EQ659" s="1375"/>
      <c r="ER659" s="1375" t="e">
        <f t="shared" si="6"/>
        <v>#VALUE!</v>
      </c>
      <c r="ES659" s="1375"/>
      <c r="ET659" s="1375"/>
      <c r="EU659" s="1375"/>
      <c r="EV659" s="1375"/>
      <c r="EW659" s="1375" t="e">
        <f t="shared" si="7"/>
        <v>#VALUE!</v>
      </c>
      <c r="EX659" s="1375"/>
      <c r="EY659" s="1375"/>
      <c r="EZ659" s="1375"/>
      <c r="FA659" s="1375"/>
    </row>
    <row r="660" spans="1:157" ht="12.95" customHeight="1">
      <c r="A660" s="22"/>
      <c r="B660" t="s">
        <v>85</v>
      </c>
      <c r="G660" s="1399"/>
      <c r="H660" s="1399"/>
      <c r="I660" s="1399"/>
      <c r="J660" s="1399"/>
      <c r="K660" s="1399"/>
      <c r="L660" s="1399"/>
      <c r="M660" s="1399"/>
      <c r="N660" s="1399"/>
      <c r="O660" s="1399"/>
      <c r="P660" s="1399"/>
      <c r="Q660" s="1399"/>
      <c r="R660" s="1399"/>
      <c r="T660" s="22"/>
      <c r="U660" t="s">
        <v>85</v>
      </c>
      <c r="Z660" s="1399"/>
      <c r="AA660" s="1399"/>
      <c r="AB660" s="1399"/>
      <c r="AC660" s="1399"/>
      <c r="AD660" s="1399"/>
      <c r="AE660" s="1399"/>
      <c r="AF660" s="1399"/>
      <c r="AG660" s="1399"/>
      <c r="AH660" s="1399"/>
      <c r="AI660" s="1399"/>
      <c r="AJ660" s="1399"/>
      <c r="AK660" s="1399"/>
      <c r="AZ660" s="34"/>
      <c r="BA660" s="34"/>
      <c r="BB660" s="34"/>
      <c r="BC660" s="34"/>
      <c r="BD660" s="34"/>
      <c r="BE660" s="34"/>
      <c r="BF660" s="34"/>
      <c r="BG660" s="34"/>
      <c r="BH660" s="34"/>
      <c r="BI660" s="34"/>
      <c r="BJ660" s="34"/>
      <c r="BK660" s="34"/>
      <c r="BL660" s="34"/>
      <c r="BM660" s="34"/>
      <c r="DX660" s="1375" t="e">
        <f t="shared" si="2"/>
        <v>#VALUE!</v>
      </c>
      <c r="DY660" s="1375"/>
      <c r="DZ660" s="1375"/>
      <c r="EA660" s="1375"/>
      <c r="EB660" s="1375"/>
      <c r="EC660" s="1375" t="e">
        <f t="shared" si="3"/>
        <v>#VALUE!</v>
      </c>
      <c r="ED660" s="1375"/>
      <c r="EE660" s="1375"/>
      <c r="EF660" s="1375"/>
      <c r="EG660" s="1375"/>
      <c r="EH660" s="1375" t="e">
        <f t="shared" si="4"/>
        <v>#VALUE!</v>
      </c>
      <c r="EI660" s="1375"/>
      <c r="EJ660" s="1375"/>
      <c r="EK660" s="1375"/>
      <c r="EL660" s="1375"/>
      <c r="EM660" s="1375" t="e">
        <f t="shared" si="5"/>
        <v>#VALUE!</v>
      </c>
      <c r="EN660" s="1375"/>
      <c r="EO660" s="1375"/>
      <c r="EP660" s="1375"/>
      <c r="EQ660" s="1375"/>
      <c r="ER660" s="1375" t="e">
        <f t="shared" si="6"/>
        <v>#VALUE!</v>
      </c>
      <c r="ES660" s="1375"/>
      <c r="ET660" s="1375"/>
      <c r="EU660" s="1375"/>
      <c r="EV660" s="1375"/>
      <c r="EW660" s="1375" t="e">
        <f t="shared" si="7"/>
        <v>#VALUE!</v>
      </c>
      <c r="EX660" s="1375"/>
      <c r="EY660" s="1375"/>
      <c r="EZ660" s="1375"/>
      <c r="FA660" s="1375"/>
    </row>
    <row r="661" spans="1:157" ht="12.95" customHeight="1">
      <c r="A661" s="22"/>
      <c r="B661" t="s">
        <v>580</v>
      </c>
      <c r="G661" s="1399"/>
      <c r="H661" s="1399"/>
      <c r="I661" s="1399"/>
      <c r="J661" s="1399"/>
      <c r="K661" s="1399"/>
      <c r="L661" s="1399"/>
      <c r="M661" s="1399"/>
      <c r="N661" s="1399"/>
      <c r="O661" s="1399"/>
      <c r="P661" s="1399"/>
      <c r="Q661" s="1399"/>
      <c r="R661" s="1399"/>
      <c r="T661" s="22"/>
      <c r="U661" t="s">
        <v>580</v>
      </c>
      <c r="Z661" s="1420"/>
      <c r="AA661" s="1420"/>
      <c r="AB661" s="1420"/>
      <c r="AC661" s="1420"/>
      <c r="AD661" s="1420"/>
      <c r="AE661" s="1420"/>
      <c r="AF661" s="1420"/>
      <c r="AG661" s="1420"/>
      <c r="AH661" s="1420"/>
      <c r="AI661" s="1420"/>
      <c r="AJ661" s="1420"/>
      <c r="AK661" s="1420"/>
      <c r="AZ661" s="34"/>
      <c r="BA661" s="34"/>
      <c r="BB661" s="34"/>
      <c r="BC661" s="34"/>
      <c r="BD661" s="34"/>
      <c r="BE661" s="34"/>
      <c r="BF661" s="34"/>
      <c r="BG661" s="34"/>
      <c r="BH661" s="34"/>
      <c r="BI661" s="34"/>
      <c r="BJ661" s="34"/>
      <c r="BK661" s="34"/>
      <c r="BL661" s="34"/>
      <c r="BM661" s="34"/>
      <c r="DX661" s="1375" t="e">
        <f t="shared" si="2"/>
        <v>#VALUE!</v>
      </c>
      <c r="DY661" s="1375"/>
      <c r="DZ661" s="1375"/>
      <c r="EA661" s="1375"/>
      <c r="EB661" s="1375"/>
      <c r="EC661" s="1375" t="e">
        <f t="shared" si="3"/>
        <v>#VALUE!</v>
      </c>
      <c r="ED661" s="1375"/>
      <c r="EE661" s="1375"/>
      <c r="EF661" s="1375"/>
      <c r="EG661" s="1375"/>
      <c r="EH661" s="1375" t="e">
        <f t="shared" si="4"/>
        <v>#VALUE!</v>
      </c>
      <c r="EI661" s="1375"/>
      <c r="EJ661" s="1375"/>
      <c r="EK661" s="1375"/>
      <c r="EL661" s="1375"/>
      <c r="EM661" s="1375" t="e">
        <f t="shared" si="5"/>
        <v>#VALUE!</v>
      </c>
      <c r="EN661" s="1375"/>
      <c r="EO661" s="1375"/>
      <c r="EP661" s="1375"/>
      <c r="EQ661" s="1375"/>
      <c r="ER661" s="1375" t="e">
        <f t="shared" si="6"/>
        <v>#VALUE!</v>
      </c>
      <c r="ES661" s="1375"/>
      <c r="ET661" s="1375"/>
      <c r="EU661" s="1375"/>
      <c r="EV661" s="1375"/>
      <c r="EW661" s="1375" t="e">
        <f t="shared" si="7"/>
        <v>#VALUE!</v>
      </c>
      <c r="EX661" s="1375"/>
      <c r="EY661" s="1375"/>
      <c r="EZ661" s="1375"/>
      <c r="FA661" s="1375"/>
    </row>
    <row r="662" spans="1:157" ht="12.95" customHeight="1">
      <c r="A662" s="22"/>
      <c r="B662" t="s">
        <v>17</v>
      </c>
      <c r="G662" s="1399"/>
      <c r="H662" s="1399"/>
      <c r="I662" s="1399"/>
      <c r="J662" s="1399"/>
      <c r="K662" s="1399"/>
      <c r="L662" s="1399"/>
      <c r="M662" s="1399"/>
      <c r="N662" s="1399"/>
      <c r="O662" s="1399"/>
      <c r="P662" s="1399"/>
      <c r="Q662" s="1399"/>
      <c r="R662" s="1399"/>
      <c r="T662" s="22"/>
      <c r="U662" t="s">
        <v>17</v>
      </c>
      <c r="Z662" s="1420"/>
      <c r="AA662" s="1420"/>
      <c r="AB662" s="1420"/>
      <c r="AC662" s="1420"/>
      <c r="AD662" s="1420"/>
      <c r="AE662" s="1420"/>
      <c r="AF662" s="1420"/>
      <c r="AG662" s="1420"/>
      <c r="AH662" s="1420"/>
      <c r="AI662" s="1420"/>
      <c r="AJ662" s="1420"/>
      <c r="AK662" s="1420"/>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75" t="e">
        <f t="shared" si="2"/>
        <v>#VALUE!</v>
      </c>
      <c r="DY662" s="1375"/>
      <c r="DZ662" s="1375"/>
      <c r="EA662" s="1375"/>
      <c r="EB662" s="1375"/>
      <c r="EC662" s="1375" t="e">
        <f t="shared" si="3"/>
        <v>#VALUE!</v>
      </c>
      <c r="ED662" s="1375"/>
      <c r="EE662" s="1375"/>
      <c r="EF662" s="1375"/>
      <c r="EG662" s="1375"/>
      <c r="EH662" s="1375" t="e">
        <f t="shared" si="4"/>
        <v>#VALUE!</v>
      </c>
      <c r="EI662" s="1375"/>
      <c r="EJ662" s="1375"/>
      <c r="EK662" s="1375"/>
      <c r="EL662" s="1375"/>
      <c r="EM662" s="1375" t="e">
        <f t="shared" si="5"/>
        <v>#VALUE!</v>
      </c>
      <c r="EN662" s="1375"/>
      <c r="EO662" s="1375"/>
      <c r="EP662" s="1375"/>
      <c r="EQ662" s="1375"/>
      <c r="ER662" s="1375" t="e">
        <f t="shared" si="6"/>
        <v>#VALUE!</v>
      </c>
      <c r="ES662" s="1375"/>
      <c r="ET662" s="1375"/>
      <c r="EU662" s="1375"/>
      <c r="EV662" s="1375"/>
      <c r="EW662" s="1375" t="e">
        <f t="shared" si="7"/>
        <v>#VALUE!</v>
      </c>
      <c r="EX662" s="1375"/>
      <c r="EY662" s="1375"/>
      <c r="EZ662" s="1375"/>
      <c r="FA662" s="1375"/>
    </row>
    <row r="663" spans="1:157" ht="12.95" customHeight="1">
      <c r="A663" s="22"/>
      <c r="B663" t="s">
        <v>316</v>
      </c>
      <c r="G663" s="1475"/>
      <c r="H663" s="1475"/>
      <c r="I663" s="1475"/>
      <c r="J663" s="1475"/>
      <c r="K663" s="1475"/>
      <c r="L663" s="1475"/>
      <c r="O663" s="33" t="s">
        <v>206</v>
      </c>
      <c r="P663" s="1397"/>
      <c r="Q663" s="1397"/>
      <c r="R663" s="1397"/>
      <c r="T663" s="22"/>
      <c r="U663" t="s">
        <v>316</v>
      </c>
      <c r="Z663" s="1475"/>
      <c r="AA663" s="1475"/>
      <c r="AB663" s="1475"/>
      <c r="AC663" s="1475"/>
      <c r="AD663" s="1475"/>
      <c r="AE663" s="1475"/>
      <c r="AH663" s="33" t="s">
        <v>206</v>
      </c>
      <c r="AI663" s="1397"/>
      <c r="AJ663" s="1397"/>
      <c r="AK663" s="1397"/>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75" t="e">
        <f t="shared" si="2"/>
        <v>#VALUE!</v>
      </c>
      <c r="DY663" s="1375"/>
      <c r="DZ663" s="1375"/>
      <c r="EA663" s="1375"/>
      <c r="EB663" s="1375"/>
      <c r="EC663" s="1375" t="e">
        <f t="shared" si="3"/>
        <v>#VALUE!</v>
      </c>
      <c r="ED663" s="1375"/>
      <c r="EE663" s="1375"/>
      <c r="EF663" s="1375"/>
      <c r="EG663" s="1375"/>
      <c r="EH663" s="1375" t="e">
        <f t="shared" si="4"/>
        <v>#VALUE!</v>
      </c>
      <c r="EI663" s="1375"/>
      <c r="EJ663" s="1375"/>
      <c r="EK663" s="1375"/>
      <c r="EL663" s="1375"/>
      <c r="EM663" s="1375" t="e">
        <f t="shared" si="5"/>
        <v>#VALUE!</v>
      </c>
      <c r="EN663" s="1375"/>
      <c r="EO663" s="1375"/>
      <c r="EP663" s="1375"/>
      <c r="EQ663" s="1375"/>
      <c r="ER663" s="1375" t="e">
        <f t="shared" si="6"/>
        <v>#VALUE!</v>
      </c>
      <c r="ES663" s="1375"/>
      <c r="ET663" s="1375"/>
      <c r="EU663" s="1375"/>
      <c r="EV663" s="1375"/>
      <c r="EW663" s="1375" t="e">
        <f t="shared" si="7"/>
        <v>#VALUE!</v>
      </c>
      <c r="EX663" s="1375"/>
      <c r="EY663" s="1375"/>
      <c r="EZ663" s="1375"/>
      <c r="FA663" s="1375"/>
    </row>
    <row r="664" spans="1:157" ht="12.95" customHeight="1">
      <c r="A664" s="22"/>
      <c r="B664" t="s">
        <v>18</v>
      </c>
      <c r="H664" s="1399"/>
      <c r="I664" s="1399"/>
      <c r="J664" s="1399"/>
      <c r="K664" s="1399"/>
      <c r="L664" s="1399"/>
      <c r="M664" s="1399"/>
      <c r="N664" s="1399"/>
      <c r="O664" s="1399"/>
      <c r="P664" s="1399"/>
      <c r="Q664" s="1399"/>
      <c r="R664" s="1399"/>
      <c r="T664" s="22"/>
      <c r="U664" t="s">
        <v>18</v>
      </c>
      <c r="AA664" s="1399"/>
      <c r="AB664" s="1399"/>
      <c r="AC664" s="1399"/>
      <c r="AD664" s="1399"/>
      <c r="AE664" s="1399"/>
      <c r="AF664" s="1399"/>
      <c r="AG664" s="1399"/>
      <c r="AH664" s="1399"/>
      <c r="AI664" s="1399"/>
      <c r="AJ664" s="1399"/>
      <c r="AK664" s="1399"/>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75" t="e">
        <f t="shared" si="2"/>
        <v>#VALUE!</v>
      </c>
      <c r="DY664" s="1375"/>
      <c r="DZ664" s="1375"/>
      <c r="EA664" s="1375"/>
      <c r="EB664" s="1375"/>
      <c r="EC664" s="1375" t="e">
        <f t="shared" si="3"/>
        <v>#VALUE!</v>
      </c>
      <c r="ED664" s="1375"/>
      <c r="EE664" s="1375"/>
      <c r="EF664" s="1375"/>
      <c r="EG664" s="1375"/>
      <c r="EH664" s="1375" t="e">
        <f t="shared" si="4"/>
        <v>#VALUE!</v>
      </c>
      <c r="EI664" s="1375"/>
      <c r="EJ664" s="1375"/>
      <c r="EK664" s="1375"/>
      <c r="EL664" s="1375"/>
      <c r="EM664" s="1375" t="e">
        <f t="shared" si="5"/>
        <v>#VALUE!</v>
      </c>
      <c r="EN664" s="1375"/>
      <c r="EO664" s="1375"/>
      <c r="EP664" s="1375"/>
      <c r="EQ664" s="1375"/>
      <c r="ER664" s="1375" t="e">
        <f t="shared" si="6"/>
        <v>#VALUE!</v>
      </c>
      <c r="ES664" s="1375"/>
      <c r="ET664" s="1375"/>
      <c r="EU664" s="1375"/>
      <c r="EV664" s="1375"/>
      <c r="EW664" s="1375" t="e">
        <f t="shared" si="7"/>
        <v>#VALUE!</v>
      </c>
      <c r="EX664" s="1375"/>
      <c r="EY664" s="1375"/>
      <c r="EZ664" s="1375"/>
      <c r="FA664" s="1375"/>
    </row>
    <row r="665" spans="1:157" ht="12.95" customHeight="1">
      <c r="A665" s="22"/>
      <c r="B665" t="s">
        <v>20</v>
      </c>
      <c r="N665" s="1418" t="s">
        <v>669</v>
      </c>
      <c r="O665" s="1418"/>
      <c r="T665" s="22"/>
      <c r="U665" t="s">
        <v>20</v>
      </c>
      <c r="AG665" s="1418" t="s">
        <v>669</v>
      </c>
      <c r="AH665" s="1418"/>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75" t="e">
        <f t="shared" si="2"/>
        <v>#VALUE!</v>
      </c>
      <c r="DY665" s="1375"/>
      <c r="DZ665" s="1375"/>
      <c r="EA665" s="1375"/>
      <c r="EB665" s="1375"/>
      <c r="EC665" s="1375" t="e">
        <f t="shared" si="3"/>
        <v>#VALUE!</v>
      </c>
      <c r="ED665" s="1375"/>
      <c r="EE665" s="1375"/>
      <c r="EF665" s="1375"/>
      <c r="EG665" s="1375"/>
      <c r="EH665" s="1375" t="e">
        <f t="shared" si="4"/>
        <v>#VALUE!</v>
      </c>
      <c r="EI665" s="1375"/>
      <c r="EJ665" s="1375"/>
      <c r="EK665" s="1375"/>
      <c r="EL665" s="1375"/>
      <c r="EM665" s="1375" t="e">
        <f t="shared" si="5"/>
        <v>#VALUE!</v>
      </c>
      <c r="EN665" s="1375"/>
      <c r="EO665" s="1375"/>
      <c r="EP665" s="1375"/>
      <c r="EQ665" s="1375"/>
      <c r="ER665" s="1375" t="e">
        <f t="shared" si="6"/>
        <v>#VALUE!</v>
      </c>
      <c r="ES665" s="1375"/>
      <c r="ET665" s="1375"/>
      <c r="EU665" s="1375"/>
      <c r="EV665" s="1375"/>
      <c r="EW665" s="1375" t="e">
        <f t="shared" si="7"/>
        <v>#VALUE!</v>
      </c>
      <c r="EX665" s="1375"/>
      <c r="EY665" s="1375"/>
      <c r="EZ665" s="1375"/>
      <c r="FA665" s="1375"/>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75" t="e">
        <f t="shared" si="2"/>
        <v>#VALUE!</v>
      </c>
      <c r="DY666" s="1375"/>
      <c r="DZ666" s="1375"/>
      <c r="EA666" s="1375"/>
      <c r="EB666" s="1375"/>
      <c r="EC666" s="1375" t="e">
        <f t="shared" si="3"/>
        <v>#VALUE!</v>
      </c>
      <c r="ED666" s="1375"/>
      <c r="EE666" s="1375"/>
      <c r="EF666" s="1375"/>
      <c r="EG666" s="1375"/>
      <c r="EH666" s="1375" t="e">
        <f t="shared" si="4"/>
        <v>#VALUE!</v>
      </c>
      <c r="EI666" s="1375"/>
      <c r="EJ666" s="1375"/>
      <c r="EK666" s="1375"/>
      <c r="EL666" s="1375"/>
      <c r="EM666" s="1375" t="e">
        <f t="shared" si="5"/>
        <v>#VALUE!</v>
      </c>
      <c r="EN666" s="1375"/>
      <c r="EO666" s="1375"/>
      <c r="EP666" s="1375"/>
      <c r="EQ666" s="1375"/>
      <c r="ER666" s="1375" t="e">
        <f t="shared" si="6"/>
        <v>#VALUE!</v>
      </c>
      <c r="ES666" s="1375"/>
      <c r="ET666" s="1375"/>
      <c r="EU666" s="1375"/>
      <c r="EV666" s="1375"/>
      <c r="EW666" s="1375" t="e">
        <f t="shared" si="7"/>
        <v>#VALUE!</v>
      </c>
      <c r="EX666" s="1375"/>
      <c r="EY666" s="1375"/>
      <c r="EZ666" s="1375"/>
      <c r="FA666" s="1375"/>
    </row>
    <row r="667" spans="1:157" ht="12.95" customHeight="1">
      <c r="A667" s="55" t="s">
        <v>455</v>
      </c>
      <c r="B667" t="s">
        <v>463</v>
      </c>
      <c r="G667" s="1489">
        <f>C633</f>
        <v>0</v>
      </c>
      <c r="H667" s="1489"/>
      <c r="I667" s="1489"/>
      <c r="J667" s="1489"/>
      <c r="K667" s="1489"/>
      <c r="L667" s="1489"/>
      <c r="M667" s="1489"/>
      <c r="N667" s="1489"/>
      <c r="O667" s="1489"/>
      <c r="P667" s="1489"/>
      <c r="Q667" s="1489"/>
      <c r="R667" s="1489"/>
      <c r="T667" s="55" t="s">
        <v>456</v>
      </c>
      <c r="U667" t="s">
        <v>463</v>
      </c>
      <c r="Z667" s="1489">
        <f>C634</f>
        <v>0</v>
      </c>
      <c r="AA667" s="1489"/>
      <c r="AB667" s="1489"/>
      <c r="AC667" s="1489"/>
      <c r="AD667" s="1489"/>
      <c r="AE667" s="1489"/>
      <c r="AF667" s="1489"/>
      <c r="AG667" s="1489"/>
      <c r="AH667" s="1489"/>
      <c r="AI667" s="1489"/>
      <c r="AJ667" s="1489"/>
      <c r="AK667" s="1489"/>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75" t="e">
        <f t="shared" si="2"/>
        <v>#VALUE!</v>
      </c>
      <c r="DY667" s="1375"/>
      <c r="DZ667" s="1375"/>
      <c r="EA667" s="1375"/>
      <c r="EB667" s="1375"/>
      <c r="EC667" s="1375" t="e">
        <f t="shared" si="3"/>
        <v>#VALUE!</v>
      </c>
      <c r="ED667" s="1375"/>
      <c r="EE667" s="1375"/>
      <c r="EF667" s="1375"/>
      <c r="EG667" s="1375"/>
      <c r="EH667" s="1375" t="e">
        <f t="shared" si="4"/>
        <v>#VALUE!</v>
      </c>
      <c r="EI667" s="1375"/>
      <c r="EJ667" s="1375"/>
      <c r="EK667" s="1375"/>
      <c r="EL667" s="1375"/>
      <c r="EM667" s="1375" t="e">
        <f t="shared" si="5"/>
        <v>#VALUE!</v>
      </c>
      <c r="EN667" s="1375"/>
      <c r="EO667" s="1375"/>
      <c r="EP667" s="1375"/>
      <c r="EQ667" s="1375"/>
      <c r="ER667" s="1375" t="e">
        <f t="shared" si="6"/>
        <v>#VALUE!</v>
      </c>
      <c r="ES667" s="1375"/>
      <c r="ET667" s="1375"/>
      <c r="EU667" s="1375"/>
      <c r="EV667" s="1375"/>
      <c r="EW667" s="1375" t="e">
        <f t="shared" si="7"/>
        <v>#VALUE!</v>
      </c>
      <c r="EX667" s="1375"/>
      <c r="EY667" s="1375"/>
      <c r="EZ667" s="1375"/>
      <c r="FA667" s="1375"/>
    </row>
    <row r="668" spans="1:157" ht="12.95" customHeight="1">
      <c r="A668" s="22"/>
      <c r="B668" t="s">
        <v>85</v>
      </c>
      <c r="G668" s="1399"/>
      <c r="H668" s="1399"/>
      <c r="I668" s="1399"/>
      <c r="J668" s="1399"/>
      <c r="K668" s="1399"/>
      <c r="L668" s="1399"/>
      <c r="M668" s="1399"/>
      <c r="N668" s="1399"/>
      <c r="O668" s="1399"/>
      <c r="P668" s="1399"/>
      <c r="Q668" s="1399"/>
      <c r="R668" s="1399"/>
      <c r="T668" s="22"/>
      <c r="U668" t="s">
        <v>85</v>
      </c>
      <c r="Z668" s="1399"/>
      <c r="AA668" s="1399"/>
      <c r="AB668" s="1399"/>
      <c r="AC668" s="1399"/>
      <c r="AD668" s="1399"/>
      <c r="AE668" s="1399"/>
      <c r="AF668" s="1399"/>
      <c r="AG668" s="1399"/>
      <c r="AH668" s="1399"/>
      <c r="AI668" s="1399"/>
      <c r="AJ668" s="1399"/>
      <c r="AK668" s="1399"/>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75" t="e">
        <f t="shared" si="2"/>
        <v>#VALUE!</v>
      </c>
      <c r="DY668" s="1375"/>
      <c r="DZ668" s="1375"/>
      <c r="EA668" s="1375"/>
      <c r="EB668" s="1375"/>
      <c r="EC668" s="1375" t="e">
        <f t="shared" si="3"/>
        <v>#VALUE!</v>
      </c>
      <c r="ED668" s="1375"/>
      <c r="EE668" s="1375"/>
      <c r="EF668" s="1375"/>
      <c r="EG668" s="1375"/>
      <c r="EH668" s="1375" t="e">
        <f t="shared" si="4"/>
        <v>#VALUE!</v>
      </c>
      <c r="EI668" s="1375"/>
      <c r="EJ668" s="1375"/>
      <c r="EK668" s="1375"/>
      <c r="EL668" s="1375"/>
      <c r="EM668" s="1375" t="e">
        <f t="shared" si="5"/>
        <v>#VALUE!</v>
      </c>
      <c r="EN668" s="1375"/>
      <c r="EO668" s="1375"/>
      <c r="EP668" s="1375"/>
      <c r="EQ668" s="1375"/>
      <c r="ER668" s="1375" t="e">
        <f t="shared" si="6"/>
        <v>#VALUE!</v>
      </c>
      <c r="ES668" s="1375"/>
      <c r="ET668" s="1375"/>
      <c r="EU668" s="1375"/>
      <c r="EV668" s="1375"/>
      <c r="EW668" s="1375" t="e">
        <f t="shared" si="7"/>
        <v>#VALUE!</v>
      </c>
      <c r="EX668" s="1375"/>
      <c r="EY668" s="1375"/>
      <c r="EZ668" s="1375"/>
      <c r="FA668" s="1375"/>
    </row>
    <row r="669" spans="1:157" ht="12.95" customHeight="1">
      <c r="A669" s="22"/>
      <c r="B669" t="s">
        <v>580</v>
      </c>
      <c r="G669" s="1399"/>
      <c r="H669" s="1399"/>
      <c r="I669" s="1399"/>
      <c r="J669" s="1399"/>
      <c r="K669" s="1399"/>
      <c r="L669" s="1399"/>
      <c r="M669" s="1399"/>
      <c r="N669" s="1399"/>
      <c r="O669" s="1399"/>
      <c r="P669" s="1399"/>
      <c r="Q669" s="1399"/>
      <c r="R669" s="1399"/>
      <c r="T669" s="22"/>
      <c r="U669" t="s">
        <v>580</v>
      </c>
      <c r="Z669" s="1420"/>
      <c r="AA669" s="1420"/>
      <c r="AB669" s="1420"/>
      <c r="AC669" s="1420"/>
      <c r="AD669" s="1420"/>
      <c r="AE669" s="1420"/>
      <c r="AF669" s="1420"/>
      <c r="AG669" s="1420"/>
      <c r="AH669" s="1420"/>
      <c r="AI669" s="1420"/>
      <c r="AJ669" s="1420"/>
      <c r="AK669" s="1420"/>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75" t="e">
        <f t="shared" si="2"/>
        <v>#VALUE!</v>
      </c>
      <c r="DY669" s="1375"/>
      <c r="DZ669" s="1375"/>
      <c r="EA669" s="1375"/>
      <c r="EB669" s="1375"/>
      <c r="EC669" s="1375" t="e">
        <f t="shared" si="3"/>
        <v>#VALUE!</v>
      </c>
      <c r="ED669" s="1375"/>
      <c r="EE669" s="1375"/>
      <c r="EF669" s="1375"/>
      <c r="EG669" s="1375"/>
      <c r="EH669" s="1375" t="e">
        <f t="shared" si="4"/>
        <v>#VALUE!</v>
      </c>
      <c r="EI669" s="1375"/>
      <c r="EJ669" s="1375"/>
      <c r="EK669" s="1375"/>
      <c r="EL669" s="1375"/>
      <c r="EM669" s="1375" t="e">
        <f t="shared" si="5"/>
        <v>#VALUE!</v>
      </c>
      <c r="EN669" s="1375"/>
      <c r="EO669" s="1375"/>
      <c r="EP669" s="1375"/>
      <c r="EQ669" s="1375"/>
      <c r="ER669" s="1375" t="e">
        <f t="shared" si="6"/>
        <v>#VALUE!</v>
      </c>
      <c r="ES669" s="1375"/>
      <c r="ET669" s="1375"/>
      <c r="EU669" s="1375"/>
      <c r="EV669" s="1375"/>
      <c r="EW669" s="1375" t="e">
        <f t="shared" si="7"/>
        <v>#VALUE!</v>
      </c>
      <c r="EX669" s="1375"/>
      <c r="EY669" s="1375"/>
      <c r="EZ669" s="1375"/>
      <c r="FA669" s="1375"/>
    </row>
    <row r="670" spans="1:157" ht="12.95" customHeight="1">
      <c r="A670" s="22"/>
      <c r="B670" t="s">
        <v>17</v>
      </c>
      <c r="G670" s="1399"/>
      <c r="H670" s="1399"/>
      <c r="I670" s="1399"/>
      <c r="J670" s="1399"/>
      <c r="K670" s="1399"/>
      <c r="L670" s="1399"/>
      <c r="M670" s="1399"/>
      <c r="N670" s="1399"/>
      <c r="O670" s="1399"/>
      <c r="P670" s="1399"/>
      <c r="Q670" s="1399"/>
      <c r="R670" s="1399"/>
      <c r="T670" s="22"/>
      <c r="U670" t="s">
        <v>17</v>
      </c>
      <c r="Z670" s="1420"/>
      <c r="AA670" s="1420"/>
      <c r="AB670" s="1420"/>
      <c r="AC670" s="1420"/>
      <c r="AD670" s="1420"/>
      <c r="AE670" s="1420"/>
      <c r="AF670" s="1420"/>
      <c r="AG670" s="1420"/>
      <c r="AH670" s="1420"/>
      <c r="AI670" s="1420"/>
      <c r="AJ670" s="1420"/>
      <c r="AK670" s="1420"/>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75">
        <f>SUMIF(DX635:EB669,"&gt;0")</f>
        <v>1068.5384615384614</v>
      </c>
      <c r="DY670" s="1375"/>
      <c r="DZ670" s="1375"/>
      <c r="EA670" s="1375"/>
      <c r="EB670" s="1375"/>
      <c r="EC670" s="1375">
        <f>SUMIF(EC635:EG669,"&gt;0")</f>
        <v>1300.5925925925926</v>
      </c>
      <c r="ED670" s="1375"/>
      <c r="EE670" s="1375"/>
      <c r="EF670" s="1375"/>
      <c r="EG670" s="1375"/>
      <c r="EH670" s="1375">
        <f>SUMIF(EH635:EL669,"&gt;0")</f>
        <v>1446.8666666666666</v>
      </c>
      <c r="EI670" s="1375"/>
      <c r="EJ670" s="1375"/>
      <c r="EK670" s="1375"/>
      <c r="EL670" s="1375"/>
      <c r="EM670" s="1375">
        <f>SUMIF(EM635:EQ669,"&gt;0")</f>
        <v>1821.2758620689654</v>
      </c>
      <c r="EN670" s="1375"/>
      <c r="EO670" s="1375"/>
      <c r="EP670" s="1375"/>
      <c r="EQ670" s="1375"/>
      <c r="ER670" s="1375">
        <f>SUMIF(ER635:EV669,"&gt;0")</f>
        <v>0</v>
      </c>
      <c r="ES670" s="1375"/>
      <c r="ET670" s="1375"/>
      <c r="EU670" s="1375"/>
      <c r="EV670" s="1375"/>
      <c r="EW670" s="1375">
        <f>SUMIF(EW635:FA669,"&gt;0")</f>
        <v>0</v>
      </c>
      <c r="EX670" s="1375"/>
      <c r="EY670" s="1375"/>
      <c r="EZ670" s="1375"/>
      <c r="FA670" s="1375"/>
    </row>
    <row r="671" spans="1:157" ht="12.95" customHeight="1">
      <c r="A671" s="22"/>
      <c r="B671" t="s">
        <v>316</v>
      </c>
      <c r="G671" s="1475"/>
      <c r="H671" s="1475"/>
      <c r="I671" s="1475"/>
      <c r="J671" s="1475"/>
      <c r="K671" s="1475"/>
      <c r="L671" s="1475"/>
      <c r="O671" s="33" t="s">
        <v>206</v>
      </c>
      <c r="P671" s="1397"/>
      <c r="Q671" s="1397"/>
      <c r="R671" s="1397"/>
      <c r="T671" s="22"/>
      <c r="U671" t="s">
        <v>316</v>
      </c>
      <c r="Z671" s="1475"/>
      <c r="AA671" s="1475"/>
      <c r="AB671" s="1475"/>
      <c r="AC671" s="1475"/>
      <c r="AD671" s="1475"/>
      <c r="AE671" s="1475"/>
      <c r="AH671" s="33" t="s">
        <v>206</v>
      </c>
      <c r="AI671" s="1397"/>
      <c r="AJ671" s="1397"/>
      <c r="AK671" s="1397"/>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99"/>
      <c r="I672" s="1399"/>
      <c r="J672" s="1399"/>
      <c r="K672" s="1399"/>
      <c r="L672" s="1399"/>
      <c r="M672" s="1399"/>
      <c r="N672" s="1399"/>
      <c r="O672" s="1399"/>
      <c r="P672" s="1399"/>
      <c r="Q672" s="1399"/>
      <c r="R672" s="1399"/>
      <c r="T672" s="22"/>
      <c r="U672" t="s">
        <v>18</v>
      </c>
      <c r="AA672" s="1399"/>
      <c r="AB672" s="1399"/>
      <c r="AC672" s="1399"/>
      <c r="AD672" s="1399"/>
      <c r="AE672" s="1399"/>
      <c r="AF672" s="1399"/>
      <c r="AG672" s="1399"/>
      <c r="AH672" s="1399"/>
      <c r="AI672" s="1399"/>
      <c r="AJ672" s="1399"/>
      <c r="AK672" s="1399"/>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418" t="s">
        <v>669</v>
      </c>
      <c r="O673" s="1418"/>
      <c r="T673" s="22"/>
      <c r="U673" t="s">
        <v>20</v>
      </c>
      <c r="AG673" s="1418" t="s">
        <v>669</v>
      </c>
      <c r="AH673" s="1418"/>
      <c r="AZ673" s="3"/>
    </row>
    <row r="674" spans="1:52" ht="12.95" customHeight="1">
      <c r="A674" s="22"/>
      <c r="T674" s="22"/>
      <c r="AZ674" s="3"/>
    </row>
    <row r="675" spans="1:52" ht="12.95" customHeight="1">
      <c r="A675" s="55" t="s">
        <v>461</v>
      </c>
      <c r="B675" t="s">
        <v>463</v>
      </c>
      <c r="G675" s="1489">
        <f>C635</f>
        <v>0</v>
      </c>
      <c r="H675" s="1489"/>
      <c r="I675" s="1489"/>
      <c r="J675" s="1489"/>
      <c r="K675" s="1489"/>
      <c r="L675" s="1489"/>
      <c r="M675" s="1489"/>
      <c r="N675" s="1489"/>
      <c r="O675" s="1489"/>
      <c r="P675" s="1489"/>
      <c r="Q675" s="1489"/>
      <c r="R675" s="1489"/>
      <c r="T675" s="55" t="s">
        <v>646</v>
      </c>
      <c r="U675" t="s">
        <v>463</v>
      </c>
      <c r="Z675" s="1489">
        <f>C636</f>
        <v>0</v>
      </c>
      <c r="AA675" s="1489"/>
      <c r="AB675" s="1489"/>
      <c r="AC675" s="1489"/>
      <c r="AD675" s="1489"/>
      <c r="AE675" s="1489"/>
      <c r="AF675" s="1489"/>
      <c r="AG675" s="1489"/>
      <c r="AH675" s="1489"/>
      <c r="AI675" s="1489"/>
      <c r="AJ675" s="1489"/>
      <c r="AK675" s="1489"/>
      <c r="AZ675" s="3"/>
    </row>
    <row r="676" spans="1:52" ht="12.95" customHeight="1">
      <c r="A676" s="22"/>
      <c r="B676" t="s">
        <v>85</v>
      </c>
      <c r="G676" s="1399"/>
      <c r="H676" s="1399"/>
      <c r="I676" s="1399"/>
      <c r="J676" s="1399"/>
      <c r="K676" s="1399"/>
      <c r="L676" s="1399"/>
      <c r="M676" s="1399"/>
      <c r="N676" s="1399"/>
      <c r="O676" s="1399"/>
      <c r="P676" s="1399"/>
      <c r="Q676" s="1399"/>
      <c r="R676" s="1399"/>
      <c r="T676" s="22"/>
      <c r="U676" t="s">
        <v>85</v>
      </c>
      <c r="Z676" s="1399"/>
      <c r="AA676" s="1399"/>
      <c r="AB676" s="1399"/>
      <c r="AC676" s="1399"/>
      <c r="AD676" s="1399"/>
      <c r="AE676" s="1399"/>
      <c r="AF676" s="1399"/>
      <c r="AG676" s="1399"/>
      <c r="AH676" s="1399"/>
      <c r="AI676" s="1399"/>
      <c r="AJ676" s="1399"/>
      <c r="AK676" s="1399"/>
      <c r="AZ676" s="3"/>
    </row>
    <row r="677" spans="1:52" ht="12.95" customHeight="1">
      <c r="A677" s="22"/>
      <c r="B677" t="s">
        <v>580</v>
      </c>
      <c r="G677" s="1399"/>
      <c r="H677" s="1399"/>
      <c r="I677" s="1399"/>
      <c r="J677" s="1399"/>
      <c r="K677" s="1399"/>
      <c r="L677" s="1399"/>
      <c r="M677" s="1399"/>
      <c r="N677" s="1399"/>
      <c r="O677" s="1399"/>
      <c r="P677" s="1399"/>
      <c r="Q677" s="1399"/>
      <c r="R677" s="1399"/>
      <c r="T677" s="22"/>
      <c r="U677" t="s">
        <v>580</v>
      </c>
      <c r="Z677" s="1420"/>
      <c r="AA677" s="1420"/>
      <c r="AB677" s="1420"/>
      <c r="AC677" s="1420"/>
      <c r="AD677" s="1420"/>
      <c r="AE677" s="1420"/>
      <c r="AF677" s="1420"/>
      <c r="AG677" s="1420"/>
      <c r="AH677" s="1420"/>
      <c r="AI677" s="1420"/>
      <c r="AJ677" s="1420"/>
      <c r="AK677" s="1420"/>
      <c r="AZ677" s="3"/>
    </row>
    <row r="678" spans="1:52" ht="12.95" customHeight="1">
      <c r="A678" s="22"/>
      <c r="B678" t="s">
        <v>17</v>
      </c>
      <c r="G678" s="1399"/>
      <c r="H678" s="1399"/>
      <c r="I678" s="1399"/>
      <c r="J678" s="1399"/>
      <c r="K678" s="1399"/>
      <c r="L678" s="1399"/>
      <c r="M678" s="1399"/>
      <c r="N678" s="1399"/>
      <c r="O678" s="1399"/>
      <c r="P678" s="1399"/>
      <c r="Q678" s="1399"/>
      <c r="R678" s="1399"/>
      <c r="T678" s="22"/>
      <c r="U678" t="s">
        <v>17</v>
      </c>
      <c r="Z678" s="1420"/>
      <c r="AA678" s="1420"/>
      <c r="AB678" s="1420"/>
      <c r="AC678" s="1420"/>
      <c r="AD678" s="1420"/>
      <c r="AE678" s="1420"/>
      <c r="AF678" s="1420"/>
      <c r="AG678" s="1420"/>
      <c r="AH678" s="1420"/>
      <c r="AI678" s="1420"/>
      <c r="AJ678" s="1420"/>
      <c r="AK678" s="1420"/>
      <c r="AZ678" s="3"/>
    </row>
    <row r="679" spans="1:52" ht="12.95" customHeight="1">
      <c r="A679" s="22"/>
      <c r="B679" t="s">
        <v>316</v>
      </c>
      <c r="G679" s="1475"/>
      <c r="H679" s="1475"/>
      <c r="I679" s="1475"/>
      <c r="J679" s="1475"/>
      <c r="K679" s="1475"/>
      <c r="L679" s="1475"/>
      <c r="O679" s="33" t="s">
        <v>206</v>
      </c>
      <c r="P679" s="1397"/>
      <c r="Q679" s="1397"/>
      <c r="R679" s="1397"/>
      <c r="T679" s="22"/>
      <c r="U679" t="s">
        <v>316</v>
      </c>
      <c r="Z679" s="1475"/>
      <c r="AA679" s="1475"/>
      <c r="AB679" s="1475"/>
      <c r="AC679" s="1475"/>
      <c r="AD679" s="1475"/>
      <c r="AE679" s="1475"/>
      <c r="AH679" s="33" t="s">
        <v>206</v>
      </c>
      <c r="AI679" s="1397"/>
      <c r="AJ679" s="1397"/>
      <c r="AK679" s="1397"/>
      <c r="AZ679" s="3"/>
    </row>
    <row r="680" spans="1:52" ht="12.95" customHeight="1">
      <c r="A680" s="22"/>
      <c r="B680" t="s">
        <v>18</v>
      </c>
      <c r="H680" s="1399"/>
      <c r="I680" s="1399"/>
      <c r="J680" s="1399"/>
      <c r="K680" s="1399"/>
      <c r="L680" s="1399"/>
      <c r="M680" s="1399"/>
      <c r="N680" s="1399"/>
      <c r="O680" s="1399"/>
      <c r="P680" s="1399"/>
      <c r="Q680" s="1399"/>
      <c r="R680" s="1399"/>
      <c r="T680" s="22"/>
      <c r="U680" t="s">
        <v>18</v>
      </c>
      <c r="AA680" s="1399"/>
      <c r="AB680" s="1399"/>
      <c r="AC680" s="1399"/>
      <c r="AD680" s="1399"/>
      <c r="AE680" s="1399"/>
      <c r="AF680" s="1399"/>
      <c r="AG680" s="1399"/>
      <c r="AH680" s="1399"/>
      <c r="AI680" s="1399"/>
      <c r="AJ680" s="1399"/>
      <c r="AK680" s="1399"/>
      <c r="AZ680" s="3"/>
    </row>
    <row r="681" spans="1:52" ht="12.95" customHeight="1">
      <c r="A681" s="22"/>
      <c r="B681" t="s">
        <v>20</v>
      </c>
      <c r="N681" s="1418" t="s">
        <v>669</v>
      </c>
      <c r="O681" s="1418"/>
      <c r="T681" s="22"/>
      <c r="U681" t="s">
        <v>20</v>
      </c>
      <c r="AG681" s="1418" t="s">
        <v>669</v>
      </c>
      <c r="AH681" s="1418"/>
      <c r="AZ681" s="3"/>
    </row>
    <row r="682" spans="1:52" ht="12.95" customHeight="1">
      <c r="A682" s="22"/>
      <c r="T682" s="22"/>
      <c r="AZ682" s="3"/>
    </row>
    <row r="683" spans="1:52" ht="12.95" customHeight="1">
      <c r="A683" s="55" t="s">
        <v>362</v>
      </c>
      <c r="B683" t="s">
        <v>463</v>
      </c>
      <c r="G683" s="1489">
        <f>C637</f>
        <v>0</v>
      </c>
      <c r="H683" s="1489"/>
      <c r="I683" s="1489"/>
      <c r="J683" s="1489"/>
      <c r="K683" s="1489"/>
      <c r="L683" s="1489"/>
      <c r="M683" s="1489"/>
      <c r="N683" s="1489"/>
      <c r="O683" s="1489"/>
      <c r="P683" s="1489"/>
      <c r="Q683" s="1489"/>
      <c r="R683" s="1489"/>
      <c r="T683" s="55" t="s">
        <v>363</v>
      </c>
      <c r="U683" t="s">
        <v>463</v>
      </c>
      <c r="Z683" s="1489">
        <f>C638</f>
        <v>0</v>
      </c>
      <c r="AA683" s="1489"/>
      <c r="AB683" s="1489"/>
      <c r="AC683" s="1489"/>
      <c r="AD683" s="1489"/>
      <c r="AE683" s="1489"/>
      <c r="AF683" s="1489"/>
      <c r="AG683" s="1489"/>
      <c r="AH683" s="1489"/>
      <c r="AI683" s="1489"/>
      <c r="AJ683" s="1489"/>
      <c r="AK683" s="1489"/>
      <c r="AZ683" s="3"/>
    </row>
    <row r="684" spans="1:52" ht="12.95" customHeight="1">
      <c r="B684" t="s">
        <v>85</v>
      </c>
      <c r="G684" s="1399"/>
      <c r="H684" s="1399"/>
      <c r="I684" s="1399"/>
      <c r="J684" s="1399"/>
      <c r="K684" s="1399"/>
      <c r="L684" s="1399"/>
      <c r="M684" s="1399"/>
      <c r="N684" s="1399"/>
      <c r="O684" s="1399"/>
      <c r="P684" s="1399"/>
      <c r="Q684" s="1399"/>
      <c r="R684" s="1399"/>
      <c r="T684" s="22"/>
      <c r="U684" t="s">
        <v>85</v>
      </c>
      <c r="Z684" s="1399"/>
      <c r="AA684" s="1399"/>
      <c r="AB684" s="1399"/>
      <c r="AC684" s="1399"/>
      <c r="AD684" s="1399"/>
      <c r="AE684" s="1399"/>
      <c r="AF684" s="1399"/>
      <c r="AG684" s="1399"/>
      <c r="AH684" s="1399"/>
      <c r="AI684" s="1399"/>
      <c r="AJ684" s="1399"/>
      <c r="AK684" s="1399"/>
      <c r="AZ684" s="3"/>
    </row>
    <row r="685" spans="1:52" ht="12.95" customHeight="1">
      <c r="B685" t="s">
        <v>580</v>
      </c>
      <c r="G685" s="1399"/>
      <c r="H685" s="1399"/>
      <c r="I685" s="1399"/>
      <c r="J685" s="1399"/>
      <c r="K685" s="1399"/>
      <c r="L685" s="1399"/>
      <c r="M685" s="1399"/>
      <c r="N685" s="1399"/>
      <c r="O685" s="1399"/>
      <c r="P685" s="1399"/>
      <c r="Q685" s="1399"/>
      <c r="R685" s="1399"/>
      <c r="U685" t="s">
        <v>580</v>
      </c>
      <c r="Z685" s="1420"/>
      <c r="AA685" s="1420"/>
      <c r="AB685" s="1420"/>
      <c r="AC685" s="1420"/>
      <c r="AD685" s="1420"/>
      <c r="AE685" s="1420"/>
      <c r="AF685" s="1420"/>
      <c r="AG685" s="1420"/>
      <c r="AH685" s="1420"/>
      <c r="AI685" s="1420"/>
      <c r="AJ685" s="1420"/>
      <c r="AK685" s="1420"/>
      <c r="AZ685" s="3"/>
    </row>
    <row r="686" spans="1:52" ht="12.95" customHeight="1">
      <c r="B686" t="s">
        <v>17</v>
      </c>
      <c r="G686" s="1399"/>
      <c r="H686" s="1399"/>
      <c r="I686" s="1399"/>
      <c r="J686" s="1399"/>
      <c r="K686" s="1399"/>
      <c r="L686" s="1399"/>
      <c r="M686" s="1399"/>
      <c r="N686" s="1399"/>
      <c r="O686" s="1399"/>
      <c r="P686" s="1399"/>
      <c r="Q686" s="1399"/>
      <c r="R686" s="1399"/>
      <c r="U686" t="s">
        <v>17</v>
      </c>
      <c r="Z686" s="1420"/>
      <c r="AA686" s="1420"/>
      <c r="AB686" s="1420"/>
      <c r="AC686" s="1420"/>
      <c r="AD686" s="1420"/>
      <c r="AE686" s="1420"/>
      <c r="AF686" s="1420"/>
      <c r="AG686" s="1420"/>
      <c r="AH686" s="1420"/>
      <c r="AI686" s="1420"/>
      <c r="AJ686" s="1420"/>
      <c r="AK686" s="1420"/>
      <c r="AZ686" s="3"/>
    </row>
    <row r="687" spans="1:52" ht="12.95" customHeight="1">
      <c r="B687" t="s">
        <v>316</v>
      </c>
      <c r="G687" s="1475"/>
      <c r="H687" s="1475"/>
      <c r="I687" s="1475"/>
      <c r="J687" s="1475"/>
      <c r="K687" s="1475"/>
      <c r="L687" s="1475"/>
      <c r="O687" s="33" t="s">
        <v>206</v>
      </c>
      <c r="P687" s="1397"/>
      <c r="Q687" s="1397"/>
      <c r="R687" s="1397"/>
      <c r="U687" t="s">
        <v>316</v>
      </c>
      <c r="Z687" s="1475"/>
      <c r="AA687" s="1475"/>
      <c r="AB687" s="1475"/>
      <c r="AC687" s="1475"/>
      <c r="AD687" s="1475"/>
      <c r="AE687" s="1475"/>
      <c r="AH687" s="33" t="s">
        <v>206</v>
      </c>
      <c r="AI687" s="1397"/>
      <c r="AJ687" s="1397"/>
      <c r="AK687" s="1397"/>
      <c r="AZ687" s="3"/>
    </row>
    <row r="688" spans="1:52" ht="12.95" customHeight="1">
      <c r="B688" t="s">
        <v>18</v>
      </c>
      <c r="H688" s="1399"/>
      <c r="I688" s="1399"/>
      <c r="J688" s="1399"/>
      <c r="K688" s="1399"/>
      <c r="L688" s="1399"/>
      <c r="M688" s="1399"/>
      <c r="N688" s="1399"/>
      <c r="O688" s="1399"/>
      <c r="P688" s="1399"/>
      <c r="Q688" s="1399"/>
      <c r="R688" s="1399"/>
      <c r="U688" t="s">
        <v>18</v>
      </c>
      <c r="AA688" s="1399"/>
      <c r="AB688" s="1399"/>
      <c r="AC688" s="1399"/>
      <c r="AD688" s="1399"/>
      <c r="AE688" s="1399"/>
      <c r="AF688" s="1399"/>
      <c r="AG688" s="1399"/>
      <c r="AH688" s="1399"/>
      <c r="AI688" s="1399"/>
      <c r="AJ688" s="1399"/>
      <c r="AK688" s="1399"/>
      <c r="AZ688" s="3"/>
    </row>
    <row r="689" spans="1:67" ht="12.95" customHeight="1">
      <c r="B689" t="s">
        <v>20</v>
      </c>
      <c r="N689" s="1418" t="s">
        <v>669</v>
      </c>
      <c r="O689" s="1418"/>
      <c r="U689" t="s">
        <v>20</v>
      </c>
      <c r="AG689" s="1418" t="s">
        <v>669</v>
      </c>
      <c r="AH689" s="1418"/>
      <c r="AZ689" s="3"/>
    </row>
    <row r="690" spans="1:67" ht="12.95" customHeight="1">
      <c r="AZ690" s="3"/>
    </row>
    <row r="691" spans="1:67" ht="12.95" customHeight="1">
      <c r="A691" s="2" t="s">
        <v>576</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418" t="s">
        <v>545</v>
      </c>
      <c r="AF693" s="1418"/>
      <c r="AZ693" s="3"/>
    </row>
    <row r="694" spans="1:67" ht="12.95" customHeight="1">
      <c r="B694" s="135"/>
      <c r="C694" s="135"/>
      <c r="D694" s="136" t="s">
        <v>438</v>
      </c>
      <c r="E694" s="135"/>
      <c r="F694" s="135"/>
      <c r="G694" s="135"/>
      <c r="H694" s="135"/>
      <c r="AE694" s="1418" t="s">
        <v>669</v>
      </c>
      <c r="AF694" s="1418"/>
      <c r="AZ694" s="3"/>
    </row>
    <row r="695" spans="1:67" ht="12.95" customHeight="1">
      <c r="B695" s="135"/>
      <c r="C695" s="135"/>
      <c r="D695" s="136" t="s">
        <v>920</v>
      </c>
      <c r="E695" s="135"/>
      <c r="F695" s="135"/>
      <c r="G695" s="135"/>
      <c r="H695" s="135"/>
      <c r="AE695" s="1498">
        <v>45685</v>
      </c>
      <c r="AF695" s="1498"/>
      <c r="AG695" s="1498"/>
      <c r="AH695" s="1498"/>
      <c r="AI695" s="1498"/>
    </row>
    <row r="696" spans="1:67" ht="12.95" customHeight="1">
      <c r="B696" s="135"/>
      <c r="C696" s="135"/>
      <c r="D696" s="318" t="s">
        <v>983</v>
      </c>
      <c r="E696" s="135"/>
      <c r="F696" s="135"/>
      <c r="G696" s="135"/>
      <c r="H696" s="135"/>
      <c r="AE696" s="1500">
        <v>45755</v>
      </c>
      <c r="AF696" s="1500"/>
      <c r="AG696" s="1500"/>
      <c r="AH696" s="1500"/>
      <c r="AI696" s="1500"/>
    </row>
    <row r="697" spans="1:67" ht="12.95" customHeight="1">
      <c r="B697" s="135"/>
      <c r="C697" s="135"/>
    </row>
    <row r="698" spans="1:67" ht="12.95" customHeight="1">
      <c r="B698" s="135"/>
      <c r="C698" s="135"/>
      <c r="D698" s="136" t="s">
        <v>816</v>
      </c>
      <c r="E698" s="135"/>
      <c r="F698" s="135"/>
      <c r="G698" s="135"/>
      <c r="H698" s="135"/>
      <c r="AE698" s="1498">
        <v>45802</v>
      </c>
      <c r="AF698" s="1498"/>
      <c r="AG698" s="1498"/>
      <c r="AH698" s="1498"/>
      <c r="AI698" s="1498"/>
    </row>
    <row r="699" spans="1:67" ht="12.95" customHeight="1">
      <c r="B699" s="135"/>
      <c r="C699" s="135"/>
      <c r="D699" s="136" t="s">
        <v>436</v>
      </c>
      <c r="E699" s="135"/>
      <c r="F699" s="135"/>
      <c r="G699" s="135"/>
      <c r="H699" s="135"/>
      <c r="AE699" s="1695">
        <v>0.51329999999999998</v>
      </c>
      <c r="AF699" s="1695"/>
      <c r="AG699" s="1695"/>
      <c r="AH699" s="1695"/>
      <c r="AI699" s="1695"/>
    </row>
    <row r="700" spans="1:67" ht="12.95" customHeight="1">
      <c r="B700" s="135"/>
      <c r="C700" s="135"/>
      <c r="D700" s="136" t="s">
        <v>437</v>
      </c>
      <c r="E700" s="135"/>
      <c r="F700" s="135"/>
      <c r="G700" s="135"/>
      <c r="H700" s="135"/>
      <c r="W700" s="1489" t="str">
        <f>H335</f>
        <v>California Municipal Finance Agency</v>
      </c>
      <c r="X700" s="1489"/>
      <c r="Y700" s="1489"/>
      <c r="Z700" s="1489"/>
      <c r="AA700" s="1489"/>
      <c r="AB700" s="1489"/>
      <c r="AC700" s="1489"/>
      <c r="AD700" s="1489"/>
      <c r="AE700" s="1489"/>
      <c r="AF700" s="1489"/>
      <c r="AG700" s="1489"/>
      <c r="AH700" s="1489"/>
      <c r="AI700" s="1489"/>
      <c r="AJ700" s="1489"/>
      <c r="AK700" s="1489"/>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418" t="s">
        <v>669</v>
      </c>
      <c r="AF702" s="1418"/>
      <c r="AZ702" s="4" t="s">
        <v>324</v>
      </c>
    </row>
    <row r="703" spans="1:67" ht="12.95" customHeight="1">
      <c r="B703" s="135"/>
      <c r="C703" s="135"/>
      <c r="D703" s="136" t="s">
        <v>442</v>
      </c>
      <c r="E703" s="135"/>
      <c r="F703" s="135"/>
      <c r="G703" s="135"/>
      <c r="H703" s="135"/>
      <c r="W703" s="1497" t="s">
        <v>2678</v>
      </c>
      <c r="X703" s="1399"/>
      <c r="Y703" s="1399"/>
      <c r="Z703" s="1399"/>
      <c r="AA703" s="1399"/>
      <c r="AB703" s="1399"/>
      <c r="AC703" s="1399"/>
      <c r="AD703" s="1399"/>
      <c r="AE703" s="1399"/>
      <c r="AF703" s="1399"/>
      <c r="AG703" s="1399"/>
      <c r="AH703" s="1399"/>
      <c r="AI703" s="1399"/>
      <c r="AJ703" s="1399"/>
      <c r="AK703" s="1399"/>
      <c r="AZ703" s="4" t="s">
        <v>325</v>
      </c>
    </row>
    <row r="704" spans="1:67" ht="12.95" customHeight="1">
      <c r="B704" s="135"/>
      <c r="C704" s="135"/>
      <c r="D704" s="136" t="s">
        <v>87</v>
      </c>
      <c r="E704" s="135"/>
      <c r="F704" s="135"/>
      <c r="G704" s="135"/>
      <c r="H704" s="135"/>
      <c r="J704" s="1497" t="s">
        <v>2678</v>
      </c>
      <c r="K704" s="1399"/>
      <c r="L704" s="1399"/>
      <c r="M704" s="1399"/>
      <c r="N704" s="1399"/>
      <c r="O704" s="1399"/>
      <c r="P704" s="1399"/>
      <c r="Q704" s="1399"/>
      <c r="R704" s="1399"/>
      <c r="S704" s="1399"/>
      <c r="T704" s="1399"/>
      <c r="U704" s="1399"/>
      <c r="V704" s="1399"/>
      <c r="W704" s="1399"/>
      <c r="X704" s="1399"/>
      <c r="AZ704" s="4" t="s">
        <v>163</v>
      </c>
      <c r="BB704" s="34"/>
      <c r="BC704" s="34"/>
      <c r="BD704" s="34"/>
      <c r="BE704" s="3"/>
      <c r="BF704" s="3"/>
      <c r="BJ704" s="3"/>
      <c r="BK704" s="3"/>
      <c r="BL704" s="3"/>
      <c r="BM704" s="3"/>
      <c r="BN704" s="34"/>
      <c r="BO704" s="34"/>
    </row>
    <row r="705" spans="1:185" ht="12.95" customHeight="1">
      <c r="B705" s="135"/>
      <c r="C705" s="135"/>
      <c r="D705" s="136" t="s">
        <v>88</v>
      </c>
      <c r="J705" s="1474" t="s">
        <v>2678</v>
      </c>
      <c r="K705" s="1475"/>
      <c r="L705" s="1475"/>
      <c r="M705" s="1475"/>
      <c r="N705" s="1475"/>
      <c r="O705" s="1475"/>
      <c r="P705" s="4" t="s">
        <v>206</v>
      </c>
      <c r="Q705" s="4"/>
      <c r="R705" s="1499" t="s">
        <v>2678</v>
      </c>
      <c r="S705" s="1397"/>
      <c r="T705" s="1397"/>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443</v>
      </c>
      <c r="W706" s="1399" t="s">
        <v>307</v>
      </c>
      <c r="X706" s="1399"/>
      <c r="Y706" s="1399"/>
      <c r="Z706" s="1399"/>
      <c r="AA706" s="1399"/>
      <c r="AB706" s="1399"/>
      <c r="AC706" s="1399"/>
      <c r="AD706" s="1399"/>
      <c r="AE706" s="1399"/>
      <c r="AF706" s="1399"/>
      <c r="AG706" s="1399"/>
      <c r="AH706" s="1399"/>
      <c r="AI706" s="1399"/>
      <c r="AJ706" s="1399"/>
      <c r="AK706" s="1399"/>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399" t="s">
        <v>334</v>
      </c>
      <c r="F707" s="1399"/>
      <c r="G707" s="1399"/>
      <c r="H707" s="1399"/>
      <c r="I707" s="1399"/>
      <c r="J707" s="1399"/>
      <c r="K707" s="1399"/>
      <c r="L707" s="1399"/>
      <c r="M707" s="1399"/>
      <c r="N707" s="1399"/>
      <c r="O707" s="1399"/>
      <c r="P707" s="1399"/>
      <c r="Q707" s="1399"/>
      <c r="R707" s="1399"/>
      <c r="S707" s="1399"/>
      <c r="T707" s="1399"/>
      <c r="U707" s="1399"/>
      <c r="V707" s="1399"/>
      <c r="W707" s="1399"/>
      <c r="X707" s="1399"/>
      <c r="Y707" s="1399"/>
      <c r="Z707" s="1399"/>
      <c r="AA707" s="1399"/>
      <c r="AB707" s="1399"/>
      <c r="AC707" s="1399"/>
      <c r="AD707" s="1399"/>
      <c r="AE707" s="1399"/>
      <c r="AF707" s="1399"/>
      <c r="AG707" s="1399"/>
      <c r="AH707" s="1399"/>
      <c r="AI707" s="1399"/>
      <c r="AJ707" s="1399"/>
      <c r="AK707" s="1399"/>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72" t="s">
        <v>95</v>
      </c>
      <c r="B709" s="1272"/>
      <c r="C709" s="1272"/>
      <c r="D709" s="1272"/>
      <c r="E709" s="1272"/>
      <c r="F709" s="1272"/>
      <c r="G709" s="1272"/>
      <c r="H709" s="1272"/>
      <c r="I709" s="1272"/>
      <c r="J709" s="1272"/>
      <c r="K709" s="1272"/>
      <c r="L709" s="1272"/>
      <c r="M709" s="1272"/>
      <c r="N709" s="1272"/>
      <c r="O709" s="1272"/>
      <c r="P709" s="1272"/>
      <c r="Q709" s="1272"/>
      <c r="R709" s="1272"/>
      <c r="S709" s="1272"/>
      <c r="T709" s="1272"/>
      <c r="U709" s="1272"/>
      <c r="V709" s="1272"/>
      <c r="W709" s="1272"/>
      <c r="X709" s="1272"/>
      <c r="Y709" s="1272"/>
      <c r="Z709" s="1272"/>
      <c r="AA709" s="1272"/>
      <c r="AB709" s="1272"/>
      <c r="AC709" s="1272"/>
      <c r="AD709" s="1272"/>
      <c r="AE709" s="1272"/>
      <c r="AF709" s="1272"/>
      <c r="AG709" s="1272"/>
      <c r="AH709" s="1272"/>
      <c r="AI709" s="1272"/>
      <c r="AJ709" s="1272"/>
      <c r="AK709" s="1272"/>
      <c r="AL709" s="1272"/>
      <c r="AM709" s="1272"/>
      <c r="AN709" s="1272"/>
      <c r="AO709" s="1272"/>
      <c r="AP709" s="1272"/>
      <c r="AQ709" s="1272"/>
      <c r="AR709" s="1272"/>
      <c r="AS709" s="1272"/>
      <c r="AT709" s="1272"/>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72"/>
      <c r="B710" s="1272"/>
      <c r="C710" s="1272"/>
      <c r="D710" s="1272"/>
      <c r="E710" s="1272"/>
      <c r="F710" s="1272"/>
      <c r="G710" s="1272"/>
      <c r="H710" s="1272"/>
      <c r="I710" s="1272"/>
      <c r="J710" s="1272"/>
      <c r="K710" s="1272"/>
      <c r="L710" s="1272"/>
      <c r="M710" s="1272"/>
      <c r="N710" s="1272"/>
      <c r="O710" s="1272"/>
      <c r="P710" s="1272"/>
      <c r="Q710" s="1272"/>
      <c r="R710" s="1272"/>
      <c r="S710" s="1272"/>
      <c r="T710" s="1272"/>
      <c r="U710" s="1272"/>
      <c r="V710" s="1272"/>
      <c r="W710" s="1272"/>
      <c r="X710" s="1272"/>
      <c r="Y710" s="1272"/>
      <c r="Z710" s="1272"/>
      <c r="AA710" s="1272"/>
      <c r="AB710" s="1272"/>
      <c r="AC710" s="1272"/>
      <c r="AD710" s="1272"/>
      <c r="AE710" s="1272"/>
      <c r="AF710" s="1272"/>
      <c r="AG710" s="1272"/>
      <c r="AH710" s="1272"/>
      <c r="AI710" s="1272"/>
      <c r="AJ710" s="1272"/>
      <c r="AK710" s="1272"/>
      <c r="AL710" s="1272"/>
      <c r="AM710" s="1272"/>
      <c r="AN710" s="1272"/>
      <c r="AO710" s="1272"/>
      <c r="AP710" s="1272"/>
      <c r="AQ710" s="1272"/>
      <c r="AR710" s="1272"/>
      <c r="AS710" s="1272"/>
      <c r="AT710" s="1272"/>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72"/>
      <c r="B711" s="1272"/>
      <c r="C711" s="1272"/>
      <c r="D711" s="1272"/>
      <c r="E711" s="1272"/>
      <c r="F711" s="1272"/>
      <c r="G711" s="1272"/>
      <c r="H711" s="1272"/>
      <c r="I711" s="1272"/>
      <c r="J711" s="1272"/>
      <c r="K711" s="1272"/>
      <c r="L711" s="1272"/>
      <c r="M711" s="1272"/>
      <c r="N711" s="1272"/>
      <c r="O711" s="1272"/>
      <c r="P711" s="1272"/>
      <c r="Q711" s="1272"/>
      <c r="R711" s="1272"/>
      <c r="S711" s="1272"/>
      <c r="T711" s="1272"/>
      <c r="U711" s="1272"/>
      <c r="V711" s="1272"/>
      <c r="W711" s="1272"/>
      <c r="X711" s="1272"/>
      <c r="Y711" s="1272"/>
      <c r="Z711" s="1272"/>
      <c r="AA711" s="1272"/>
      <c r="AB711" s="1272"/>
      <c r="AC711" s="1272"/>
      <c r="AD711" s="1272"/>
      <c r="AE711" s="1272"/>
      <c r="AF711" s="1272"/>
      <c r="AG711" s="1272"/>
      <c r="AH711" s="1272"/>
      <c r="AI711" s="1272"/>
      <c r="AJ711" s="1272"/>
      <c r="AK711" s="1272"/>
      <c r="AL711" s="1272"/>
      <c r="AM711" s="1272"/>
      <c r="AN711" s="1272"/>
      <c r="AO711" s="1272"/>
      <c r="AP711" s="1272"/>
      <c r="AQ711" s="1272"/>
      <c r="AR711" s="1272"/>
      <c r="AS711" s="1272"/>
      <c r="AT711" s="1272"/>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3"/>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501" t="s">
        <v>389</v>
      </c>
      <c r="C714" s="1481"/>
      <c r="D714" s="1481"/>
      <c r="E714" s="1481"/>
      <c r="F714" s="1482"/>
      <c r="G714" s="1501" t="s">
        <v>285</v>
      </c>
      <c r="H714" s="1481"/>
      <c r="I714" s="1481"/>
      <c r="J714" s="1482"/>
      <c r="K714" s="1621" t="s">
        <v>1679</v>
      </c>
      <c r="L714" s="1622"/>
      <c r="M714" s="1622"/>
      <c r="N714" s="1623"/>
      <c r="O714" s="1501" t="s">
        <v>447</v>
      </c>
      <c r="P714" s="1481"/>
      <c r="Q714" s="1481"/>
      <c r="R714" s="1481"/>
      <c r="S714" s="1482"/>
      <c r="T714" s="1480" t="s">
        <v>1950</v>
      </c>
      <c r="U714" s="1481"/>
      <c r="V714" s="1481"/>
      <c r="W714" s="1482"/>
      <c r="X714" s="1480" t="s">
        <v>1952</v>
      </c>
      <c r="Y714" s="1481"/>
      <c r="Z714" s="1481"/>
      <c r="AA714" s="1481"/>
      <c r="AB714" s="1482"/>
      <c r="AC714" s="1480" t="s">
        <v>1951</v>
      </c>
      <c r="AD714" s="1481"/>
      <c r="AE714" s="1481"/>
      <c r="AF714" s="1481"/>
      <c r="AG714" s="1482"/>
      <c r="AH714" s="1480" t="s">
        <v>1953</v>
      </c>
      <c r="AI714" s="1481"/>
      <c r="AJ714" s="1482"/>
      <c r="AK714" s="1480" t="s">
        <v>1980</v>
      </c>
      <c r="AL714" s="1481"/>
      <c r="AM714" s="1481"/>
      <c r="AN714" s="1481"/>
      <c r="AO714" s="1482"/>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483"/>
      <c r="C715" s="1484"/>
      <c r="D715" s="1484"/>
      <c r="E715" s="1484"/>
      <c r="F715" s="1485"/>
      <c r="G715" s="1483"/>
      <c r="H715" s="1484"/>
      <c r="I715" s="1484"/>
      <c r="J715" s="1485"/>
      <c r="K715" s="1624"/>
      <c r="L715" s="1625"/>
      <c r="M715" s="1625"/>
      <c r="N715" s="1626"/>
      <c r="O715" s="1483"/>
      <c r="P715" s="1484"/>
      <c r="Q715" s="1484"/>
      <c r="R715" s="1484"/>
      <c r="S715" s="1485"/>
      <c r="T715" s="1483"/>
      <c r="U715" s="1484"/>
      <c r="V715" s="1484"/>
      <c r="W715" s="1485"/>
      <c r="X715" s="1483"/>
      <c r="Y715" s="1484"/>
      <c r="Z715" s="1484"/>
      <c r="AA715" s="1484"/>
      <c r="AB715" s="1485"/>
      <c r="AC715" s="1483"/>
      <c r="AD715" s="1484"/>
      <c r="AE715" s="1484"/>
      <c r="AF715" s="1484"/>
      <c r="AG715" s="1485"/>
      <c r="AH715" s="1483"/>
      <c r="AI715" s="1484"/>
      <c r="AJ715" s="1485"/>
      <c r="AK715" s="1483"/>
      <c r="AL715" s="1484"/>
      <c r="AM715" s="1484"/>
      <c r="AN715" s="1484"/>
      <c r="AO715" s="1485"/>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483"/>
      <c r="C716" s="1484"/>
      <c r="D716" s="1484"/>
      <c r="E716" s="1484"/>
      <c r="F716" s="1485"/>
      <c r="G716" s="1483"/>
      <c r="H716" s="1484"/>
      <c r="I716" s="1484"/>
      <c r="J716" s="1485"/>
      <c r="K716" s="1624"/>
      <c r="L716" s="1625"/>
      <c r="M716" s="1625"/>
      <c r="N716" s="1626"/>
      <c r="O716" s="1483"/>
      <c r="P716" s="1484"/>
      <c r="Q716" s="1484"/>
      <c r="R716" s="1484"/>
      <c r="S716" s="1485"/>
      <c r="T716" s="1483"/>
      <c r="U716" s="1484"/>
      <c r="V716" s="1484"/>
      <c r="W716" s="1485"/>
      <c r="X716" s="1483"/>
      <c r="Y716" s="1484"/>
      <c r="Z716" s="1484"/>
      <c r="AA716" s="1484"/>
      <c r="AB716" s="1485"/>
      <c r="AC716" s="1483"/>
      <c r="AD716" s="1484"/>
      <c r="AE716" s="1484"/>
      <c r="AF716" s="1484"/>
      <c r="AG716" s="1485"/>
      <c r="AH716" s="1483"/>
      <c r="AI716" s="1484"/>
      <c r="AJ716" s="1485"/>
      <c r="AK716" s="1483"/>
      <c r="AL716" s="1484"/>
      <c r="AM716" s="1484"/>
      <c r="AN716" s="1484"/>
      <c r="AO716" s="1485"/>
      <c r="AP716" s="3"/>
      <c r="AQ716" s="3"/>
      <c r="AR716" s="3"/>
      <c r="AS716" s="3"/>
      <c r="BA716" s="3"/>
      <c r="BB716" s="3"/>
      <c r="BC716" s="3"/>
      <c r="BD716" s="3"/>
      <c r="BE716" s="205"/>
      <c r="BF716" s="206" t="s">
        <v>895</v>
      </c>
      <c r="BG716" s="205"/>
      <c r="BH716" s="205"/>
      <c r="BI716" s="3"/>
      <c r="BJ716" s="3"/>
      <c r="BK716" s="3"/>
      <c r="BL716" s="3"/>
      <c r="BM716" s="3"/>
      <c r="BN716" s="3"/>
      <c r="BS716" s="206" t="s">
        <v>1628</v>
      </c>
      <c r="BT716" s="205"/>
      <c r="BU716" s="205"/>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486"/>
      <c r="C717" s="1487"/>
      <c r="D717" s="1487"/>
      <c r="E717" s="1487"/>
      <c r="F717" s="1488"/>
      <c r="G717" s="1486"/>
      <c r="H717" s="1487"/>
      <c r="I717" s="1487"/>
      <c r="J717" s="1488"/>
      <c r="K717" s="1624"/>
      <c r="L717" s="1625"/>
      <c r="M717" s="1625"/>
      <c r="N717" s="1626"/>
      <c r="O717" s="1486"/>
      <c r="P717" s="1487"/>
      <c r="Q717" s="1487"/>
      <c r="R717" s="1487"/>
      <c r="S717" s="1488"/>
      <c r="T717" s="1486"/>
      <c r="U717" s="1487"/>
      <c r="V717" s="1487"/>
      <c r="W717" s="1488"/>
      <c r="X717" s="1486"/>
      <c r="Y717" s="1487"/>
      <c r="Z717" s="1487"/>
      <c r="AA717" s="1487"/>
      <c r="AB717" s="1488"/>
      <c r="AC717" s="1486"/>
      <c r="AD717" s="1487"/>
      <c r="AE717" s="1487"/>
      <c r="AF717" s="1487"/>
      <c r="AG717" s="1488"/>
      <c r="AH717" s="1486"/>
      <c r="AI717" s="1487"/>
      <c r="AJ717" s="1488"/>
      <c r="AK717" s="1486"/>
      <c r="AL717" s="1487"/>
      <c r="AM717" s="1487"/>
      <c r="AN717" s="1487"/>
      <c r="AO717" s="1488"/>
      <c r="AP717" s="3"/>
      <c r="AQ717" s="3"/>
      <c r="AR717" s="3"/>
      <c r="AS717" s="3"/>
      <c r="AZ717" s="166" t="s">
        <v>649</v>
      </c>
      <c r="BA717" s="3"/>
      <c r="BB717" s="3"/>
      <c r="BC717" s="3"/>
      <c r="BD717" s="3"/>
      <c r="BE717" s="205"/>
      <c r="BF717" s="292" t="s">
        <v>896</v>
      </c>
      <c r="BG717" s="297" t="s">
        <v>897</v>
      </c>
      <c r="BH717" s="296" t="s">
        <v>898</v>
      </c>
      <c r="BI717" s="3"/>
      <c r="BJ717" s="3"/>
      <c r="BK717" s="3"/>
      <c r="BL717" s="3"/>
      <c r="BM717" s="3"/>
      <c r="BN717" s="3"/>
      <c r="BS717" s="292" t="s">
        <v>896</v>
      </c>
      <c r="BT717" s="297" t="s">
        <v>897</v>
      </c>
      <c r="BU717" s="296" t="s">
        <v>898</v>
      </c>
      <c r="CC717" s="3"/>
      <c r="CD717" s="3"/>
      <c r="CE717" s="3"/>
      <c r="CF717" s="3"/>
      <c r="CG717" s="121" t="s">
        <v>474</v>
      </c>
      <c r="CH717" s="122"/>
      <c r="CI717" s="1337"/>
      <c r="CJ717" s="1339"/>
      <c r="CK717" s="121" t="s">
        <v>475</v>
      </c>
      <c r="CL717" s="122"/>
      <c r="CM717" s="1337"/>
      <c r="CN717" s="1339"/>
      <c r="CO717" s="3"/>
      <c r="CP717" s="1477" t="s">
        <v>633</v>
      </c>
      <c r="CQ717" s="1478"/>
      <c r="CR717" s="1478"/>
      <c r="CS717" s="1478"/>
      <c r="CT717" s="1479"/>
      <c r="CU717" s="1398" t="s">
        <v>325</v>
      </c>
      <c r="CV717" s="1398"/>
      <c r="CW717" s="1398"/>
      <c r="CX717" s="1398"/>
      <c r="CY717" s="1398"/>
      <c r="CZ717" s="1398" t="s">
        <v>163</v>
      </c>
      <c r="DA717" s="1398"/>
      <c r="DB717" s="1398"/>
      <c r="DC717" s="1398"/>
      <c r="DD717" s="1398"/>
      <c r="DE717" s="1398" t="s">
        <v>164</v>
      </c>
      <c r="DF717" s="1398"/>
      <c r="DG717" s="1398"/>
      <c r="DH717" s="1398"/>
      <c r="DI717" s="1398"/>
      <c r="DJ717" s="1398" t="s">
        <v>460</v>
      </c>
      <c r="DK717" s="1398"/>
      <c r="DL717" s="1398"/>
      <c r="DM717" s="1398"/>
      <c r="DN717" s="1398"/>
      <c r="DO717" s="1398" t="s">
        <v>30</v>
      </c>
      <c r="DP717" s="1398"/>
      <c r="DQ717" s="1398"/>
      <c r="DR717" s="1398"/>
      <c r="DS717" s="1398"/>
      <c r="DT717" s="89"/>
      <c r="DU717" s="1398" t="s">
        <v>633</v>
      </c>
      <c r="DV717" s="1398"/>
      <c r="DW717" s="1398"/>
      <c r="DX717" s="1398"/>
      <c r="DY717" s="1398"/>
      <c r="DZ717" s="1398" t="s">
        <v>325</v>
      </c>
      <c r="EA717" s="1398"/>
      <c r="EB717" s="1398"/>
      <c r="EC717" s="1398"/>
      <c r="ED717" s="1398"/>
      <c r="EE717" s="1398" t="s">
        <v>163</v>
      </c>
      <c r="EF717" s="1398"/>
      <c r="EG717" s="1398"/>
      <c r="EH717" s="1398"/>
      <c r="EI717" s="1398"/>
      <c r="EJ717" s="1398" t="s">
        <v>164</v>
      </c>
      <c r="EK717" s="1398"/>
      <c r="EL717" s="1398"/>
      <c r="EM717" s="1398"/>
      <c r="EN717" s="1398"/>
      <c r="EO717" s="1398" t="s">
        <v>460</v>
      </c>
      <c r="EP717" s="1398"/>
      <c r="EQ717" s="1398"/>
      <c r="ER717" s="1398"/>
      <c r="ES717" s="1398"/>
      <c r="ET717" s="1398" t="s">
        <v>30</v>
      </c>
      <c r="EU717" s="1398"/>
      <c r="EV717" s="1398"/>
      <c r="EW717" s="1398"/>
      <c r="EX717" s="1398"/>
      <c r="EY717" s="4"/>
      <c r="EZ717" s="1398" t="s">
        <v>633</v>
      </c>
      <c r="FA717" s="1398"/>
      <c r="FB717" s="1398"/>
      <c r="FC717" s="1398"/>
      <c r="FD717" s="1398"/>
      <c r="FE717" s="1398" t="s">
        <v>325</v>
      </c>
      <c r="FF717" s="1398"/>
      <c r="FG717" s="1398"/>
      <c r="FH717" s="1398"/>
      <c r="FI717" s="1398"/>
      <c r="FJ717" s="1398" t="s">
        <v>163</v>
      </c>
      <c r="FK717" s="1398"/>
      <c r="FL717" s="1398"/>
      <c r="FM717" s="1398"/>
      <c r="FN717" s="1398"/>
      <c r="FO717" s="1398" t="s">
        <v>164</v>
      </c>
      <c r="FP717" s="1398"/>
      <c r="FQ717" s="1398"/>
      <c r="FR717" s="1398"/>
      <c r="FS717" s="1398"/>
      <c r="FT717" s="1398" t="s">
        <v>460</v>
      </c>
      <c r="FU717" s="1398"/>
      <c r="FV717" s="1398"/>
      <c r="FW717" s="1398"/>
      <c r="FX717" s="1398"/>
      <c r="FY717" s="1398" t="s">
        <v>30</v>
      </c>
      <c r="FZ717" s="1398"/>
      <c r="GA717" s="1398"/>
      <c r="GB717" s="1398"/>
      <c r="GC717" s="1398"/>
    </row>
    <row r="718" spans="1:185" ht="12.95" customHeight="1">
      <c r="A718" s="4"/>
      <c r="B718" s="1357" t="s">
        <v>324</v>
      </c>
      <c r="C718" s="1358"/>
      <c r="D718" s="1358"/>
      <c r="E718" s="1358"/>
      <c r="F718" s="1359"/>
      <c r="G718" s="1366">
        <v>1</v>
      </c>
      <c r="H718" s="1367"/>
      <c r="I718" s="1367"/>
      <c r="J718" s="1368"/>
      <c r="K718" s="1370">
        <v>411</v>
      </c>
      <c r="L718" s="1371"/>
      <c r="M718" s="1371"/>
      <c r="N718" s="1372"/>
      <c r="O718" s="1490">
        <v>672</v>
      </c>
      <c r="P718" s="1491"/>
      <c r="Q718" s="1491"/>
      <c r="R718" s="1491"/>
      <c r="S718" s="1492"/>
      <c r="T718" s="1490">
        <v>54</v>
      </c>
      <c r="U718" s="1491"/>
      <c r="V718" s="1491"/>
      <c r="W718" s="1492"/>
      <c r="X718" s="1360">
        <f t="shared" ref="X718:X741" si="8">O718+T718</f>
        <v>726</v>
      </c>
      <c r="Y718" s="1361"/>
      <c r="Z718" s="1361"/>
      <c r="AA718" s="1361"/>
      <c r="AB718" s="1362"/>
      <c r="AC718" s="1630">
        <v>0.25</v>
      </c>
      <c r="AD718" s="1631"/>
      <c r="AE718" s="1631"/>
      <c r="AF718" s="1631"/>
      <c r="AG718" s="1632"/>
      <c r="AH718" s="1363">
        <f>IF($AC718&gt;0,($X718/$AZ718), "")</f>
        <v>0.2250464972101674</v>
      </c>
      <c r="AI718" s="1364"/>
      <c r="AJ718" s="1365"/>
      <c r="AK718" s="1357" t="s">
        <v>591</v>
      </c>
      <c r="AL718" s="1358"/>
      <c r="AM718" s="1358"/>
      <c r="AN718" s="1358"/>
      <c r="AO718" s="1359"/>
      <c r="AP718" s="3"/>
      <c r="AQ718" s="3"/>
      <c r="AR718" s="3"/>
      <c r="AS718" s="3"/>
      <c r="AZ718" s="118">
        <f>IF($G718=0,"N/A",VLOOKUP($T$189,TC_Rent,(MATCH($B718,bedrooms,FALSE)),FALSE))</f>
        <v>3226</v>
      </c>
      <c r="BA718" s="3"/>
      <c r="BB718" s="3"/>
      <c r="BC718" s="3"/>
      <c r="BD718" s="3"/>
      <c r="BE718" s="205"/>
      <c r="BF718" s="294">
        <f t="shared" ref="BF718:BF752" si="9">G718</f>
        <v>1</v>
      </c>
      <c r="BG718" s="298">
        <f t="shared" ref="BG718:BG752" si="10">IF($BF$753=0,0,BF718/$BF$753)</f>
        <v>1.1904761904761904E-2</v>
      </c>
      <c r="BH718" s="299">
        <f t="shared" ref="BH718:BH752" si="11">IF(BG718=0,"",BG718*AC718)</f>
        <v>2.976190476190476E-3</v>
      </c>
      <c r="BI718" s="3"/>
      <c r="BJ718" s="3"/>
      <c r="BK718" s="3"/>
      <c r="BL718" s="3"/>
      <c r="BM718" s="3"/>
      <c r="BN718" s="3"/>
      <c r="BS718" s="294">
        <f t="shared" ref="BS718:BS752" si="12">G718</f>
        <v>1</v>
      </c>
      <c r="BT718" s="298">
        <f t="shared" ref="BT718:BT752" si="13">IF($BS$753=0,0,BS718/$BS$753)</f>
        <v>1.1904761904761904E-2</v>
      </c>
      <c r="BU718" s="299">
        <f t="shared" ref="BU718:BU752" si="14">IF(BT718=0,"",BT718*AH718)</f>
        <v>2.6791249667877069E-3</v>
      </c>
      <c r="CC718" s="3"/>
      <c r="CD718" s="3"/>
      <c r="CE718" s="3"/>
      <c r="CF718" s="3"/>
      <c r="CG718" s="1353">
        <f>IF(AND(AC718&lt;=0.5,AC718&gt;=0.36),1,0)</f>
        <v>0</v>
      </c>
      <c r="CH718" s="1355"/>
      <c r="CI718" s="1337">
        <f>IF(CG718=1,G718,0)</f>
        <v>0</v>
      </c>
      <c r="CJ718" s="1339"/>
      <c r="CK718" s="1353">
        <f t="shared" ref="CK718:CK752" si="15">IF(AND(AC718&lt;=0.35,AC718&gt;0),1,0)</f>
        <v>1</v>
      </c>
      <c r="CL718" s="1355"/>
      <c r="CM718" s="1337">
        <f t="shared" ref="CM718:CM752" si="16">IF(CK718=1,G718,0)</f>
        <v>1</v>
      </c>
      <c r="CN718" s="1339"/>
      <c r="CO718" s="3"/>
      <c r="CP718" s="1334">
        <f t="shared" ref="CP718:CP752" si="17">IF(B718="SRO/Studio",G718,0)</f>
        <v>1</v>
      </c>
      <c r="CQ718" s="1335"/>
      <c r="CR718" s="1335"/>
      <c r="CS718" s="1335"/>
      <c r="CT718" s="1336"/>
      <c r="CU718" s="1356">
        <f t="shared" ref="CU718:CU752" si="18">IF(B718="1 Bedroom",G718,0)</f>
        <v>0</v>
      </c>
      <c r="CV718" s="1356"/>
      <c r="CW718" s="1356"/>
      <c r="CX718" s="1356"/>
      <c r="CY718" s="1356"/>
      <c r="CZ718" s="1356">
        <f t="shared" ref="CZ718:CZ752" si="19">IF(B718="2 Bedrooms",G718,0)</f>
        <v>0</v>
      </c>
      <c r="DA718" s="1356"/>
      <c r="DB718" s="1356"/>
      <c r="DC718" s="1356"/>
      <c r="DD718" s="1356"/>
      <c r="DE718" s="1356">
        <f t="shared" ref="DE718:DE752" si="20">IF(B718="3 Bedrooms",G718,0)</f>
        <v>0</v>
      </c>
      <c r="DF718" s="1356"/>
      <c r="DG718" s="1356"/>
      <c r="DH718" s="1356"/>
      <c r="DI718" s="1356"/>
      <c r="DJ718" s="1356">
        <f t="shared" ref="DJ718:DJ752" si="21">IF(B718="4 Bedrooms",G718,0)</f>
        <v>0</v>
      </c>
      <c r="DK718" s="1356"/>
      <c r="DL718" s="1356"/>
      <c r="DM718" s="1356"/>
      <c r="DN718" s="1356"/>
      <c r="DO718" s="1356">
        <f t="shared" ref="DO718:DO752" si="22">IF(B718="5 Bedrooms",G718,0)</f>
        <v>0</v>
      </c>
      <c r="DP718" s="1356"/>
      <c r="DQ718" s="1356"/>
      <c r="DR718" s="1356"/>
      <c r="DS718" s="1356"/>
      <c r="DT718" s="6"/>
      <c r="DU718" s="1373">
        <f t="shared" ref="DU718:DU752" si="23">IF(AND(B718="SRO/Studio",AC718&lt;=0.3),G718,0)</f>
        <v>1</v>
      </c>
      <c r="DV718" s="1373"/>
      <c r="DW718" s="1373"/>
      <c r="DX718" s="1373"/>
      <c r="DY718" s="1373"/>
      <c r="DZ718" s="1373">
        <f t="shared" ref="DZ718:DZ752" si="24">IF(AND(B718="1 Bedroom",AC718&lt;=0.3),G718,0)</f>
        <v>0</v>
      </c>
      <c r="EA718" s="1373"/>
      <c r="EB718" s="1373"/>
      <c r="EC718" s="1373"/>
      <c r="ED718" s="1373"/>
      <c r="EE718" s="1373">
        <f t="shared" ref="EE718:EE752" si="25">IF(AND(B718="2 Bedrooms",AC718&lt;=0.3),G718,0)</f>
        <v>0</v>
      </c>
      <c r="EF718" s="1373"/>
      <c r="EG718" s="1373"/>
      <c r="EH718" s="1373"/>
      <c r="EI718" s="1373"/>
      <c r="EJ718" s="1373">
        <f t="shared" ref="EJ718:EJ752" si="26">IF(AND(B718="3 Bedrooms",AC718&lt;=0.3),G718,0)</f>
        <v>0</v>
      </c>
      <c r="EK718" s="1373"/>
      <c r="EL718" s="1373"/>
      <c r="EM718" s="1373"/>
      <c r="EN718" s="1373"/>
      <c r="EO718" s="1373">
        <f t="shared" ref="EO718:EO752" si="27">IF(AND(B718="4 Bedrooms",AC718&lt;=0.3),G718,0)</f>
        <v>0</v>
      </c>
      <c r="EP718" s="1373"/>
      <c r="EQ718" s="1373"/>
      <c r="ER718" s="1373"/>
      <c r="ES718" s="1373"/>
      <c r="ET718" s="1373">
        <f t="shared" ref="ET718:ET752" si="28">IF(AND(B718="5 Bedrooms",AC718&lt;=0.3),G718,0)</f>
        <v>0</v>
      </c>
      <c r="EU718" s="1373"/>
      <c r="EV718" s="1373"/>
      <c r="EW718" s="1373"/>
      <c r="EX718" s="1373"/>
      <c r="EY718" s="4"/>
      <c r="EZ718" s="1353">
        <f t="shared" ref="EZ718:EZ752" si="29">IF(CP718&gt;0,O718,"")</f>
        <v>672</v>
      </c>
      <c r="FA718" s="1354"/>
      <c r="FB718" s="1354"/>
      <c r="FC718" s="1354"/>
      <c r="FD718" s="1355"/>
      <c r="FE718" s="1353" t="str">
        <f t="shared" ref="FE718:FE752" si="30">IF(CU718&gt;0,O718,"")</f>
        <v/>
      </c>
      <c r="FF718" s="1354"/>
      <c r="FG718" s="1354"/>
      <c r="FH718" s="1354"/>
      <c r="FI718" s="1355"/>
      <c r="FJ718" s="1353" t="str">
        <f t="shared" ref="FJ718:FJ752" si="31">IF(CZ718&gt;0,O718,"")</f>
        <v/>
      </c>
      <c r="FK718" s="1354"/>
      <c r="FL718" s="1354"/>
      <c r="FM718" s="1354"/>
      <c r="FN718" s="1355"/>
      <c r="FO718" s="1353" t="str">
        <f t="shared" ref="FO718:FO752" si="32">IF(DE718&gt;0,O718,"")</f>
        <v/>
      </c>
      <c r="FP718" s="1354"/>
      <c r="FQ718" s="1354"/>
      <c r="FR718" s="1354"/>
      <c r="FS718" s="1355"/>
      <c r="FT718" s="1353" t="str">
        <f t="shared" ref="FT718:FT752" si="33">IF(DJ718&gt;0,O718,"")</f>
        <v/>
      </c>
      <c r="FU718" s="1354"/>
      <c r="FV718" s="1354"/>
      <c r="FW718" s="1354"/>
      <c r="FX718" s="1355"/>
      <c r="FY718" s="1353" t="str">
        <f t="shared" ref="FY718:FY752" si="34">IF(DO718&gt;0,O718,"")</f>
        <v/>
      </c>
      <c r="FZ718" s="1354"/>
      <c r="GA718" s="1354"/>
      <c r="GB718" s="1354"/>
      <c r="GC718" s="1355"/>
    </row>
    <row r="719" spans="1:185" ht="12.95" customHeight="1">
      <c r="A719" s="4"/>
      <c r="B719" s="1357" t="s">
        <v>324</v>
      </c>
      <c r="C719" s="1358"/>
      <c r="D719" s="1358"/>
      <c r="E719" s="1358"/>
      <c r="F719" s="1359"/>
      <c r="G719" s="1366">
        <v>5</v>
      </c>
      <c r="H719" s="1367"/>
      <c r="I719" s="1367"/>
      <c r="J719" s="1368"/>
      <c r="K719" s="1370">
        <v>411</v>
      </c>
      <c r="L719" s="1371"/>
      <c r="M719" s="1371"/>
      <c r="N719" s="1372"/>
      <c r="O719" s="1490">
        <v>828</v>
      </c>
      <c r="P719" s="1491"/>
      <c r="Q719" s="1491"/>
      <c r="R719" s="1491"/>
      <c r="S719" s="1492"/>
      <c r="T719" s="1490">
        <v>54</v>
      </c>
      <c r="U719" s="1491"/>
      <c r="V719" s="1491"/>
      <c r="W719" s="1492"/>
      <c r="X719" s="1360">
        <f t="shared" si="8"/>
        <v>882</v>
      </c>
      <c r="Y719" s="1361"/>
      <c r="Z719" s="1361"/>
      <c r="AA719" s="1361"/>
      <c r="AB719" s="1362"/>
      <c r="AC719" s="1630">
        <v>0.3</v>
      </c>
      <c r="AD719" s="1631"/>
      <c r="AE719" s="1631"/>
      <c r="AF719" s="1631"/>
      <c r="AG719" s="1632"/>
      <c r="AH719" s="1363">
        <f t="shared" ref="AH719:AH752" si="35">IF($AC719&gt;0,($X719/$AZ719), "")</f>
        <v>0.27340359578425294</v>
      </c>
      <c r="AI719" s="1364"/>
      <c r="AJ719" s="1365"/>
      <c r="AK719" s="1357" t="s">
        <v>591</v>
      </c>
      <c r="AL719" s="1358"/>
      <c r="AM719" s="1358"/>
      <c r="AN719" s="1358"/>
      <c r="AO719" s="1359"/>
      <c r="AP719" s="3"/>
      <c r="AQ719" s="3"/>
      <c r="AR719" s="3"/>
      <c r="AS719" s="3"/>
      <c r="AZ719" s="118">
        <f>IF($G719=0,"N/A",VLOOKUP($T$189,TC_Rent,(MATCH($B719,bedrooms,FALSE)),FALSE))</f>
        <v>3226</v>
      </c>
      <c r="BA719" s="3"/>
      <c r="BB719" s="3"/>
      <c r="BC719" s="3"/>
      <c r="BD719" s="3"/>
      <c r="BE719" s="205"/>
      <c r="BF719" s="295">
        <f t="shared" si="9"/>
        <v>5</v>
      </c>
      <c r="BG719" s="298">
        <f t="shared" si="10"/>
        <v>5.9523809523809521E-2</v>
      </c>
      <c r="BH719" s="299">
        <f t="shared" si="11"/>
        <v>1.7857142857142856E-2</v>
      </c>
      <c r="BI719" s="3"/>
      <c r="BJ719" s="3"/>
      <c r="BK719" s="3"/>
      <c r="BL719" s="3"/>
      <c r="BM719" s="3"/>
      <c r="BN719" s="3"/>
      <c r="BS719" s="295">
        <f t="shared" si="12"/>
        <v>5</v>
      </c>
      <c r="BT719" s="298">
        <f t="shared" si="13"/>
        <v>5.9523809523809521E-2</v>
      </c>
      <c r="BU719" s="299">
        <f t="shared" si="14"/>
        <v>1.6274023558586485E-2</v>
      </c>
      <c r="CC719" s="3"/>
      <c r="CD719" s="3"/>
      <c r="CE719" s="3"/>
      <c r="CF719" s="3"/>
      <c r="CG719" s="1353">
        <f t="shared" ref="CG719:CG752" si="36">IF(AND(AC719&lt;=0.5,AC719&gt;=0.36),1,0)</f>
        <v>0</v>
      </c>
      <c r="CH719" s="1355"/>
      <c r="CI719" s="1337">
        <f t="shared" ref="CI719:CI752" si="37">IF(CG719=1,G719,0)</f>
        <v>0</v>
      </c>
      <c r="CJ719" s="1339"/>
      <c r="CK719" s="1353">
        <f t="shared" si="15"/>
        <v>1</v>
      </c>
      <c r="CL719" s="1355"/>
      <c r="CM719" s="1337">
        <f t="shared" si="16"/>
        <v>5</v>
      </c>
      <c r="CN719" s="1339"/>
      <c r="CO719" s="3"/>
      <c r="CP719" s="1334">
        <f t="shared" si="17"/>
        <v>5</v>
      </c>
      <c r="CQ719" s="1335"/>
      <c r="CR719" s="1335"/>
      <c r="CS719" s="1335"/>
      <c r="CT719" s="1336"/>
      <c r="CU719" s="1356">
        <f t="shared" si="18"/>
        <v>0</v>
      </c>
      <c r="CV719" s="1356"/>
      <c r="CW719" s="1356"/>
      <c r="CX719" s="1356"/>
      <c r="CY719" s="1356"/>
      <c r="CZ719" s="1356">
        <f t="shared" si="19"/>
        <v>0</v>
      </c>
      <c r="DA719" s="1356"/>
      <c r="DB719" s="1356"/>
      <c r="DC719" s="1356"/>
      <c r="DD719" s="1356"/>
      <c r="DE719" s="1356">
        <f t="shared" si="20"/>
        <v>0</v>
      </c>
      <c r="DF719" s="1356"/>
      <c r="DG719" s="1356"/>
      <c r="DH719" s="1356"/>
      <c r="DI719" s="1356"/>
      <c r="DJ719" s="1356">
        <f t="shared" si="21"/>
        <v>0</v>
      </c>
      <c r="DK719" s="1356"/>
      <c r="DL719" s="1356"/>
      <c r="DM719" s="1356"/>
      <c r="DN719" s="1356"/>
      <c r="DO719" s="1356">
        <f t="shared" si="22"/>
        <v>0</v>
      </c>
      <c r="DP719" s="1356"/>
      <c r="DQ719" s="1356"/>
      <c r="DR719" s="1356"/>
      <c r="DS719" s="1356"/>
      <c r="DT719" s="6"/>
      <c r="DU719" s="1373">
        <f t="shared" si="23"/>
        <v>5</v>
      </c>
      <c r="DV719" s="1373"/>
      <c r="DW719" s="1373"/>
      <c r="DX719" s="1373"/>
      <c r="DY719" s="1373"/>
      <c r="DZ719" s="1373">
        <f t="shared" si="24"/>
        <v>0</v>
      </c>
      <c r="EA719" s="1373"/>
      <c r="EB719" s="1373"/>
      <c r="EC719" s="1373"/>
      <c r="ED719" s="1373"/>
      <c r="EE719" s="1373">
        <f t="shared" si="25"/>
        <v>0</v>
      </c>
      <c r="EF719" s="1373"/>
      <c r="EG719" s="1373"/>
      <c r="EH719" s="1373"/>
      <c r="EI719" s="1373"/>
      <c r="EJ719" s="1373">
        <f t="shared" si="26"/>
        <v>0</v>
      </c>
      <c r="EK719" s="1373"/>
      <c r="EL719" s="1373"/>
      <c r="EM719" s="1373"/>
      <c r="EN719" s="1373"/>
      <c r="EO719" s="1373">
        <f t="shared" si="27"/>
        <v>0</v>
      </c>
      <c r="EP719" s="1373"/>
      <c r="EQ719" s="1373"/>
      <c r="ER719" s="1373"/>
      <c r="ES719" s="1373"/>
      <c r="ET719" s="1373">
        <f t="shared" si="28"/>
        <v>0</v>
      </c>
      <c r="EU719" s="1373"/>
      <c r="EV719" s="1373"/>
      <c r="EW719" s="1373"/>
      <c r="EX719" s="1373"/>
      <c r="EY719" s="4"/>
      <c r="EZ719" s="1353">
        <f t="shared" si="29"/>
        <v>828</v>
      </c>
      <c r="FA719" s="1354"/>
      <c r="FB719" s="1354"/>
      <c r="FC719" s="1354"/>
      <c r="FD719" s="1355"/>
      <c r="FE719" s="1353" t="str">
        <f t="shared" si="30"/>
        <v/>
      </c>
      <c r="FF719" s="1354"/>
      <c r="FG719" s="1354"/>
      <c r="FH719" s="1354"/>
      <c r="FI719" s="1355"/>
      <c r="FJ719" s="1353" t="str">
        <f t="shared" si="31"/>
        <v/>
      </c>
      <c r="FK719" s="1354"/>
      <c r="FL719" s="1354"/>
      <c r="FM719" s="1354"/>
      <c r="FN719" s="1355"/>
      <c r="FO719" s="1353" t="str">
        <f t="shared" si="32"/>
        <v/>
      </c>
      <c r="FP719" s="1354"/>
      <c r="FQ719" s="1354"/>
      <c r="FR719" s="1354"/>
      <c r="FS719" s="1355"/>
      <c r="FT719" s="1353" t="str">
        <f t="shared" si="33"/>
        <v/>
      </c>
      <c r="FU719" s="1354"/>
      <c r="FV719" s="1354"/>
      <c r="FW719" s="1354"/>
      <c r="FX719" s="1355"/>
      <c r="FY719" s="1353" t="str">
        <f t="shared" si="34"/>
        <v/>
      </c>
      <c r="FZ719" s="1354"/>
      <c r="GA719" s="1354"/>
      <c r="GB719" s="1354"/>
      <c r="GC719" s="1355"/>
    </row>
    <row r="720" spans="1:185" ht="12.95" customHeight="1">
      <c r="A720" s="4"/>
      <c r="B720" s="1357" t="s">
        <v>324</v>
      </c>
      <c r="C720" s="1358"/>
      <c r="D720" s="1358"/>
      <c r="E720" s="1358"/>
      <c r="F720" s="1359"/>
      <c r="G720" s="1366">
        <v>7</v>
      </c>
      <c r="H720" s="1367"/>
      <c r="I720" s="1367"/>
      <c r="J720" s="1368"/>
      <c r="K720" s="1370">
        <v>411</v>
      </c>
      <c r="L720" s="1371"/>
      <c r="M720" s="1371"/>
      <c r="N720" s="1372"/>
      <c r="O720" s="1490">
        <v>1297</v>
      </c>
      <c r="P720" s="1491"/>
      <c r="Q720" s="1491"/>
      <c r="R720" s="1491"/>
      <c r="S720" s="1492"/>
      <c r="T720" s="1490">
        <v>54</v>
      </c>
      <c r="U720" s="1491"/>
      <c r="V720" s="1491"/>
      <c r="W720" s="1492"/>
      <c r="X720" s="1360">
        <f t="shared" si="8"/>
        <v>1351</v>
      </c>
      <c r="Y720" s="1361"/>
      <c r="Z720" s="1361"/>
      <c r="AA720" s="1361"/>
      <c r="AB720" s="1362"/>
      <c r="AC720" s="1630">
        <v>0.45</v>
      </c>
      <c r="AD720" s="1631"/>
      <c r="AE720" s="1631"/>
      <c r="AF720" s="1631"/>
      <c r="AG720" s="1632"/>
      <c r="AH720" s="1363">
        <f t="shared" si="35"/>
        <v>0.41878487290762556</v>
      </c>
      <c r="AI720" s="1364"/>
      <c r="AJ720" s="1365"/>
      <c r="AK720" s="1357" t="s">
        <v>591</v>
      </c>
      <c r="AL720" s="1358"/>
      <c r="AM720" s="1358"/>
      <c r="AN720" s="1358"/>
      <c r="AO720" s="1359"/>
      <c r="AP720" s="3"/>
      <c r="AQ720" s="3"/>
      <c r="AR720" s="3"/>
      <c r="AS720" s="3"/>
      <c r="AZ720" s="118">
        <f>IF($G720=0,"N/A",VLOOKUP($T$189,TC_Rent,(MATCH($B720,bedrooms,FALSE)),FALSE))</f>
        <v>3226</v>
      </c>
      <c r="BA720" s="3"/>
      <c r="BB720" s="3"/>
      <c r="BC720" s="3"/>
      <c r="BD720" s="3"/>
      <c r="BE720" s="205"/>
      <c r="BF720" s="295">
        <f t="shared" si="9"/>
        <v>7</v>
      </c>
      <c r="BG720" s="298">
        <f t="shared" si="10"/>
        <v>8.3333333333333329E-2</v>
      </c>
      <c r="BH720" s="299">
        <f t="shared" si="11"/>
        <v>3.7499999999999999E-2</v>
      </c>
      <c r="BI720" s="3"/>
      <c r="BJ720" s="3"/>
      <c r="BK720" s="3"/>
      <c r="BL720" s="3"/>
      <c r="BM720" s="3"/>
      <c r="BN720" s="3"/>
      <c r="BS720" s="295">
        <f t="shared" si="12"/>
        <v>7</v>
      </c>
      <c r="BT720" s="298">
        <f t="shared" si="13"/>
        <v>8.3333333333333329E-2</v>
      </c>
      <c r="BU720" s="299">
        <f t="shared" si="14"/>
        <v>3.4898739408968794E-2</v>
      </c>
      <c r="CC720" s="3"/>
      <c r="CD720" s="3"/>
      <c r="CE720" s="3"/>
      <c r="CF720" s="3"/>
      <c r="CG720" s="1353">
        <f t="shared" si="36"/>
        <v>1</v>
      </c>
      <c r="CH720" s="1355"/>
      <c r="CI720" s="1337">
        <f t="shared" si="37"/>
        <v>7</v>
      </c>
      <c r="CJ720" s="1339"/>
      <c r="CK720" s="1353">
        <f t="shared" si="15"/>
        <v>0</v>
      </c>
      <c r="CL720" s="1355"/>
      <c r="CM720" s="1337">
        <f t="shared" si="16"/>
        <v>0</v>
      </c>
      <c r="CN720" s="1339"/>
      <c r="CO720" s="3"/>
      <c r="CP720" s="1334">
        <f t="shared" si="17"/>
        <v>7</v>
      </c>
      <c r="CQ720" s="1335"/>
      <c r="CR720" s="1335"/>
      <c r="CS720" s="1335"/>
      <c r="CT720" s="1336"/>
      <c r="CU720" s="1356">
        <f t="shared" si="18"/>
        <v>0</v>
      </c>
      <c r="CV720" s="1356"/>
      <c r="CW720" s="1356"/>
      <c r="CX720" s="1356"/>
      <c r="CY720" s="1356"/>
      <c r="CZ720" s="1356">
        <f t="shared" si="19"/>
        <v>0</v>
      </c>
      <c r="DA720" s="1356"/>
      <c r="DB720" s="1356"/>
      <c r="DC720" s="1356"/>
      <c r="DD720" s="1356"/>
      <c r="DE720" s="1356">
        <f t="shared" si="20"/>
        <v>0</v>
      </c>
      <c r="DF720" s="1356"/>
      <c r="DG720" s="1356"/>
      <c r="DH720" s="1356"/>
      <c r="DI720" s="1356"/>
      <c r="DJ720" s="1356">
        <f t="shared" si="21"/>
        <v>0</v>
      </c>
      <c r="DK720" s="1356"/>
      <c r="DL720" s="1356"/>
      <c r="DM720" s="1356"/>
      <c r="DN720" s="1356"/>
      <c r="DO720" s="1356">
        <f t="shared" si="22"/>
        <v>0</v>
      </c>
      <c r="DP720" s="1356"/>
      <c r="DQ720" s="1356"/>
      <c r="DR720" s="1356"/>
      <c r="DS720" s="1356"/>
      <c r="DT720" s="6"/>
      <c r="DU720" s="1373">
        <f t="shared" si="23"/>
        <v>0</v>
      </c>
      <c r="DV720" s="1373"/>
      <c r="DW720" s="1373"/>
      <c r="DX720" s="1373"/>
      <c r="DY720" s="1373"/>
      <c r="DZ720" s="1373">
        <f t="shared" si="24"/>
        <v>0</v>
      </c>
      <c r="EA720" s="1373"/>
      <c r="EB720" s="1373"/>
      <c r="EC720" s="1373"/>
      <c r="ED720" s="1373"/>
      <c r="EE720" s="1373">
        <f t="shared" si="25"/>
        <v>0</v>
      </c>
      <c r="EF720" s="1373"/>
      <c r="EG720" s="1373"/>
      <c r="EH720" s="1373"/>
      <c r="EI720" s="1373"/>
      <c r="EJ720" s="1373">
        <f t="shared" si="26"/>
        <v>0</v>
      </c>
      <c r="EK720" s="1373"/>
      <c r="EL720" s="1373"/>
      <c r="EM720" s="1373"/>
      <c r="EN720" s="1373"/>
      <c r="EO720" s="1373">
        <f t="shared" si="27"/>
        <v>0</v>
      </c>
      <c r="EP720" s="1373"/>
      <c r="EQ720" s="1373"/>
      <c r="ER720" s="1373"/>
      <c r="ES720" s="1373"/>
      <c r="ET720" s="1373">
        <f t="shared" si="28"/>
        <v>0</v>
      </c>
      <c r="EU720" s="1373"/>
      <c r="EV720" s="1373"/>
      <c r="EW720" s="1373"/>
      <c r="EX720" s="1373"/>
      <c r="EZ720" s="1353">
        <f t="shared" si="29"/>
        <v>1297</v>
      </c>
      <c r="FA720" s="1354"/>
      <c r="FB720" s="1354"/>
      <c r="FC720" s="1354"/>
      <c r="FD720" s="1355"/>
      <c r="FE720" s="1353" t="str">
        <f t="shared" si="30"/>
        <v/>
      </c>
      <c r="FF720" s="1354"/>
      <c r="FG720" s="1354"/>
      <c r="FH720" s="1354"/>
      <c r="FI720" s="1355"/>
      <c r="FJ720" s="1353" t="str">
        <f t="shared" si="31"/>
        <v/>
      </c>
      <c r="FK720" s="1354"/>
      <c r="FL720" s="1354"/>
      <c r="FM720" s="1354"/>
      <c r="FN720" s="1355"/>
      <c r="FO720" s="1353" t="str">
        <f t="shared" si="32"/>
        <v/>
      </c>
      <c r="FP720" s="1354"/>
      <c r="FQ720" s="1354"/>
      <c r="FR720" s="1354"/>
      <c r="FS720" s="1355"/>
      <c r="FT720" s="1353" t="str">
        <f t="shared" si="33"/>
        <v/>
      </c>
      <c r="FU720" s="1354"/>
      <c r="FV720" s="1354"/>
      <c r="FW720" s="1354"/>
      <c r="FX720" s="1355"/>
      <c r="FY720" s="1353" t="str">
        <f t="shared" si="34"/>
        <v/>
      </c>
      <c r="FZ720" s="1354"/>
      <c r="GA720" s="1354"/>
      <c r="GB720" s="1354"/>
      <c r="GC720" s="1355"/>
    </row>
    <row r="721" spans="1:185" ht="12.95" customHeight="1">
      <c r="B721" s="1357" t="s">
        <v>325</v>
      </c>
      <c r="C721" s="1358"/>
      <c r="D721" s="1358"/>
      <c r="E721" s="1358"/>
      <c r="F721" s="1359"/>
      <c r="G721" s="1366">
        <v>1</v>
      </c>
      <c r="H721" s="1367"/>
      <c r="I721" s="1367"/>
      <c r="J721" s="1368"/>
      <c r="K721" s="1370">
        <v>520</v>
      </c>
      <c r="L721" s="1371"/>
      <c r="M721" s="1371"/>
      <c r="N721" s="1372"/>
      <c r="O721" s="1490">
        <v>712</v>
      </c>
      <c r="P721" s="1491"/>
      <c r="Q721" s="1491"/>
      <c r="R721" s="1491"/>
      <c r="S721" s="1492"/>
      <c r="T721" s="1490">
        <v>62</v>
      </c>
      <c r="U721" s="1491"/>
      <c r="V721" s="1491"/>
      <c r="W721" s="1492"/>
      <c r="X721" s="1360">
        <f t="shared" si="8"/>
        <v>774</v>
      </c>
      <c r="Y721" s="1361"/>
      <c r="Z721" s="1361"/>
      <c r="AA721" s="1361"/>
      <c r="AB721" s="1362"/>
      <c r="AC721" s="1630">
        <v>0.25</v>
      </c>
      <c r="AD721" s="1631"/>
      <c r="AE721" s="1631"/>
      <c r="AF721" s="1631"/>
      <c r="AG721" s="1632"/>
      <c r="AH721" s="1363">
        <f t="shared" si="35"/>
        <v>0.22395833333333334</v>
      </c>
      <c r="AI721" s="1364"/>
      <c r="AJ721" s="1365"/>
      <c r="AK721" s="1357" t="s">
        <v>591</v>
      </c>
      <c r="AL721" s="1358"/>
      <c r="AM721" s="1358"/>
      <c r="AN721" s="1358"/>
      <c r="AO721" s="1359"/>
      <c r="AP721" s="3"/>
      <c r="AQ721" s="3"/>
      <c r="AR721" s="3"/>
      <c r="AS721" s="3"/>
      <c r="AY721" s="116"/>
      <c r="AZ721" s="118">
        <f>IF($G721=0,"N/A",VLOOKUP($T$189,TC_Rent,(MATCH($B721,bedrooms,FALSE)),FALSE))</f>
        <v>3456</v>
      </c>
      <c r="BA721" s="3"/>
      <c r="BB721" s="3"/>
      <c r="BC721" s="3"/>
      <c r="BD721" s="3"/>
      <c r="BE721" s="205"/>
      <c r="BF721" s="295">
        <f t="shared" si="9"/>
        <v>1</v>
      </c>
      <c r="BG721" s="298">
        <f t="shared" si="10"/>
        <v>1.1904761904761904E-2</v>
      </c>
      <c r="BH721" s="299">
        <f t="shared" si="11"/>
        <v>2.976190476190476E-3</v>
      </c>
      <c r="BI721" s="3"/>
      <c r="BJ721" s="3"/>
      <c r="BK721" s="3"/>
      <c r="BL721" s="3"/>
      <c r="BM721" s="3"/>
      <c r="BN721" s="3"/>
      <c r="BS721" s="295">
        <f t="shared" si="12"/>
        <v>1</v>
      </c>
      <c r="BT721" s="298">
        <f t="shared" si="13"/>
        <v>1.1904761904761904E-2</v>
      </c>
      <c r="BU721" s="299">
        <f t="shared" si="14"/>
        <v>2.666170634920635E-3</v>
      </c>
      <c r="CC721" s="3"/>
      <c r="CD721" s="3"/>
      <c r="CE721" s="3"/>
      <c r="CF721" s="3"/>
      <c r="CG721" s="1353">
        <f t="shared" si="36"/>
        <v>0</v>
      </c>
      <c r="CH721" s="1355"/>
      <c r="CI721" s="1337">
        <f t="shared" si="37"/>
        <v>0</v>
      </c>
      <c r="CJ721" s="1339"/>
      <c r="CK721" s="1353">
        <f t="shared" si="15"/>
        <v>1</v>
      </c>
      <c r="CL721" s="1355"/>
      <c r="CM721" s="1337">
        <f t="shared" si="16"/>
        <v>1</v>
      </c>
      <c r="CN721" s="1339"/>
      <c r="CO721" s="3"/>
      <c r="CP721" s="1334">
        <f t="shared" si="17"/>
        <v>0</v>
      </c>
      <c r="CQ721" s="1335"/>
      <c r="CR721" s="1335"/>
      <c r="CS721" s="1335"/>
      <c r="CT721" s="1336"/>
      <c r="CU721" s="1356">
        <f t="shared" si="18"/>
        <v>1</v>
      </c>
      <c r="CV721" s="1356"/>
      <c r="CW721" s="1356"/>
      <c r="CX721" s="1356"/>
      <c r="CY721" s="1356"/>
      <c r="CZ721" s="1356">
        <f t="shared" si="19"/>
        <v>0</v>
      </c>
      <c r="DA721" s="1356"/>
      <c r="DB721" s="1356"/>
      <c r="DC721" s="1356"/>
      <c r="DD721" s="1356"/>
      <c r="DE721" s="1356">
        <f t="shared" si="20"/>
        <v>0</v>
      </c>
      <c r="DF721" s="1356"/>
      <c r="DG721" s="1356"/>
      <c r="DH721" s="1356"/>
      <c r="DI721" s="1356"/>
      <c r="DJ721" s="1356">
        <f t="shared" si="21"/>
        <v>0</v>
      </c>
      <c r="DK721" s="1356"/>
      <c r="DL721" s="1356"/>
      <c r="DM721" s="1356"/>
      <c r="DN721" s="1356"/>
      <c r="DO721" s="1356">
        <f t="shared" si="22"/>
        <v>0</v>
      </c>
      <c r="DP721" s="1356"/>
      <c r="DQ721" s="1356"/>
      <c r="DR721" s="1356"/>
      <c r="DS721" s="1356"/>
      <c r="DT721" s="6"/>
      <c r="DU721" s="1373">
        <f t="shared" si="23"/>
        <v>0</v>
      </c>
      <c r="DV721" s="1373"/>
      <c r="DW721" s="1373"/>
      <c r="DX721" s="1373"/>
      <c r="DY721" s="1373"/>
      <c r="DZ721" s="1373">
        <f t="shared" si="24"/>
        <v>1</v>
      </c>
      <c r="EA721" s="1373"/>
      <c r="EB721" s="1373"/>
      <c r="EC721" s="1373"/>
      <c r="ED721" s="1373"/>
      <c r="EE721" s="1373">
        <f t="shared" si="25"/>
        <v>0</v>
      </c>
      <c r="EF721" s="1373"/>
      <c r="EG721" s="1373"/>
      <c r="EH721" s="1373"/>
      <c r="EI721" s="1373"/>
      <c r="EJ721" s="1373">
        <f t="shared" si="26"/>
        <v>0</v>
      </c>
      <c r="EK721" s="1373"/>
      <c r="EL721" s="1373"/>
      <c r="EM721" s="1373"/>
      <c r="EN721" s="1373"/>
      <c r="EO721" s="1373">
        <f t="shared" si="27"/>
        <v>0</v>
      </c>
      <c r="EP721" s="1373"/>
      <c r="EQ721" s="1373"/>
      <c r="ER721" s="1373"/>
      <c r="ES721" s="1373"/>
      <c r="ET721" s="1373">
        <f t="shared" si="28"/>
        <v>0</v>
      </c>
      <c r="EU721" s="1373"/>
      <c r="EV721" s="1373"/>
      <c r="EW721" s="1373"/>
      <c r="EX721" s="1373"/>
      <c r="EZ721" s="1353" t="str">
        <f t="shared" si="29"/>
        <v/>
      </c>
      <c r="FA721" s="1354"/>
      <c r="FB721" s="1354"/>
      <c r="FC721" s="1354"/>
      <c r="FD721" s="1355"/>
      <c r="FE721" s="1353">
        <f t="shared" si="30"/>
        <v>712</v>
      </c>
      <c r="FF721" s="1354"/>
      <c r="FG721" s="1354"/>
      <c r="FH721" s="1354"/>
      <c r="FI721" s="1355"/>
      <c r="FJ721" s="1353" t="str">
        <f t="shared" si="31"/>
        <v/>
      </c>
      <c r="FK721" s="1354"/>
      <c r="FL721" s="1354"/>
      <c r="FM721" s="1354"/>
      <c r="FN721" s="1355"/>
      <c r="FO721" s="1353" t="str">
        <f t="shared" si="32"/>
        <v/>
      </c>
      <c r="FP721" s="1354"/>
      <c r="FQ721" s="1354"/>
      <c r="FR721" s="1354"/>
      <c r="FS721" s="1355"/>
      <c r="FT721" s="1353" t="str">
        <f t="shared" si="33"/>
        <v/>
      </c>
      <c r="FU721" s="1354"/>
      <c r="FV721" s="1354"/>
      <c r="FW721" s="1354"/>
      <c r="FX721" s="1355"/>
      <c r="FY721" s="1353" t="str">
        <f t="shared" si="34"/>
        <v/>
      </c>
      <c r="FZ721" s="1354"/>
      <c r="GA721" s="1354"/>
      <c r="GB721" s="1354"/>
      <c r="GC721" s="1355"/>
    </row>
    <row r="722" spans="1:185" ht="12.95" customHeight="1">
      <c r="B722" s="1357" t="s">
        <v>325</v>
      </c>
      <c r="C722" s="1358"/>
      <c r="D722" s="1358"/>
      <c r="E722" s="1358"/>
      <c r="F722" s="1359"/>
      <c r="G722" s="1366">
        <v>5</v>
      </c>
      <c r="H722" s="1367"/>
      <c r="I722" s="1367"/>
      <c r="J722" s="1368"/>
      <c r="K722" s="1370">
        <v>520</v>
      </c>
      <c r="L722" s="1371"/>
      <c r="M722" s="1371"/>
      <c r="N722" s="1372"/>
      <c r="O722" s="1490">
        <v>879</v>
      </c>
      <c r="P722" s="1491"/>
      <c r="Q722" s="1491"/>
      <c r="R722" s="1491"/>
      <c r="S722" s="1492"/>
      <c r="T722" s="1490">
        <v>62</v>
      </c>
      <c r="U722" s="1491"/>
      <c r="V722" s="1491"/>
      <c r="W722" s="1492"/>
      <c r="X722" s="1360">
        <f t="shared" si="8"/>
        <v>941</v>
      </c>
      <c r="Y722" s="1361"/>
      <c r="Z722" s="1361"/>
      <c r="AA722" s="1361"/>
      <c r="AB722" s="1362"/>
      <c r="AC722" s="1630">
        <v>0.3</v>
      </c>
      <c r="AD722" s="1631"/>
      <c r="AE722" s="1631"/>
      <c r="AF722" s="1631"/>
      <c r="AG722" s="1632"/>
      <c r="AH722" s="1363">
        <f t="shared" si="35"/>
        <v>0.27228009259259262</v>
      </c>
      <c r="AI722" s="1364"/>
      <c r="AJ722" s="1365"/>
      <c r="AK722" s="1357" t="s">
        <v>591</v>
      </c>
      <c r="AL722" s="1358"/>
      <c r="AM722" s="1358"/>
      <c r="AN722" s="1358"/>
      <c r="AO722" s="1359"/>
      <c r="AP722" s="3"/>
      <c r="AQ722" s="3"/>
      <c r="AR722" s="3"/>
      <c r="AS722" s="3"/>
      <c r="AY722" s="116"/>
      <c r="AZ722" s="118">
        <f>IF($G722=0,"N/A",VLOOKUP($T$189,TC_Rent,(MATCH($B722,bedrooms,FALSE)),FALSE))</f>
        <v>3456</v>
      </c>
      <c r="BA722" s="3"/>
      <c r="BB722" s="3"/>
      <c r="BC722" s="3"/>
      <c r="BD722" s="3"/>
      <c r="BE722" s="205"/>
      <c r="BF722" s="295">
        <f t="shared" si="9"/>
        <v>5</v>
      </c>
      <c r="BG722" s="298">
        <f t="shared" si="10"/>
        <v>5.9523809523809521E-2</v>
      </c>
      <c r="BH722" s="299">
        <f t="shared" si="11"/>
        <v>1.7857142857142856E-2</v>
      </c>
      <c r="BI722" s="3"/>
      <c r="BJ722" s="3"/>
      <c r="BK722" s="3"/>
      <c r="BL722" s="3"/>
      <c r="BM722" s="3"/>
      <c r="BN722" s="3"/>
      <c r="BS722" s="295">
        <f t="shared" si="12"/>
        <v>5</v>
      </c>
      <c r="BT722" s="298">
        <f t="shared" si="13"/>
        <v>5.9523809523809521E-2</v>
      </c>
      <c r="BU722" s="299">
        <f t="shared" si="14"/>
        <v>1.6207148368606702E-2</v>
      </c>
      <c r="CC722" s="3"/>
      <c r="CD722" s="3"/>
      <c r="CE722" s="3"/>
      <c r="CF722" s="3"/>
      <c r="CG722" s="1353">
        <f t="shared" si="36"/>
        <v>0</v>
      </c>
      <c r="CH722" s="1355"/>
      <c r="CI722" s="1337">
        <f t="shared" si="37"/>
        <v>0</v>
      </c>
      <c r="CJ722" s="1339"/>
      <c r="CK722" s="1353">
        <f t="shared" si="15"/>
        <v>1</v>
      </c>
      <c r="CL722" s="1355"/>
      <c r="CM722" s="1337">
        <f t="shared" si="16"/>
        <v>5</v>
      </c>
      <c r="CN722" s="1339"/>
      <c r="CO722" s="3"/>
      <c r="CP722" s="1334">
        <f t="shared" si="17"/>
        <v>0</v>
      </c>
      <c r="CQ722" s="1335"/>
      <c r="CR722" s="1335"/>
      <c r="CS722" s="1335"/>
      <c r="CT722" s="1336"/>
      <c r="CU722" s="1356">
        <f t="shared" si="18"/>
        <v>5</v>
      </c>
      <c r="CV722" s="1356"/>
      <c r="CW722" s="1356"/>
      <c r="CX722" s="1356"/>
      <c r="CY722" s="1356"/>
      <c r="CZ722" s="1356">
        <f t="shared" si="19"/>
        <v>0</v>
      </c>
      <c r="DA722" s="1356"/>
      <c r="DB722" s="1356"/>
      <c r="DC722" s="1356"/>
      <c r="DD722" s="1356"/>
      <c r="DE722" s="1356">
        <f t="shared" si="20"/>
        <v>0</v>
      </c>
      <c r="DF722" s="1356"/>
      <c r="DG722" s="1356"/>
      <c r="DH722" s="1356"/>
      <c r="DI722" s="1356"/>
      <c r="DJ722" s="1356">
        <f t="shared" si="21"/>
        <v>0</v>
      </c>
      <c r="DK722" s="1356"/>
      <c r="DL722" s="1356"/>
      <c r="DM722" s="1356"/>
      <c r="DN722" s="1356"/>
      <c r="DO722" s="1356">
        <f t="shared" si="22"/>
        <v>0</v>
      </c>
      <c r="DP722" s="1356"/>
      <c r="DQ722" s="1356"/>
      <c r="DR722" s="1356"/>
      <c r="DS722" s="1356"/>
      <c r="DT722" s="6"/>
      <c r="DU722" s="1373">
        <f t="shared" si="23"/>
        <v>0</v>
      </c>
      <c r="DV722" s="1373"/>
      <c r="DW722" s="1373"/>
      <c r="DX722" s="1373"/>
      <c r="DY722" s="1373"/>
      <c r="DZ722" s="1373">
        <f t="shared" si="24"/>
        <v>5</v>
      </c>
      <c r="EA722" s="1373"/>
      <c r="EB722" s="1373"/>
      <c r="EC722" s="1373"/>
      <c r="ED722" s="1373"/>
      <c r="EE722" s="1373">
        <f t="shared" si="25"/>
        <v>0</v>
      </c>
      <c r="EF722" s="1373"/>
      <c r="EG722" s="1373"/>
      <c r="EH722" s="1373"/>
      <c r="EI722" s="1373"/>
      <c r="EJ722" s="1373">
        <f t="shared" si="26"/>
        <v>0</v>
      </c>
      <c r="EK722" s="1373"/>
      <c r="EL722" s="1373"/>
      <c r="EM722" s="1373"/>
      <c r="EN722" s="1373"/>
      <c r="EO722" s="1373">
        <f t="shared" si="27"/>
        <v>0</v>
      </c>
      <c r="EP722" s="1373"/>
      <c r="EQ722" s="1373"/>
      <c r="ER722" s="1373"/>
      <c r="ES722" s="1373"/>
      <c r="ET722" s="1373">
        <f t="shared" si="28"/>
        <v>0</v>
      </c>
      <c r="EU722" s="1373"/>
      <c r="EV722" s="1373"/>
      <c r="EW722" s="1373"/>
      <c r="EX722" s="1373"/>
      <c r="EZ722" s="1353" t="str">
        <f t="shared" si="29"/>
        <v/>
      </c>
      <c r="FA722" s="1354"/>
      <c r="FB722" s="1354"/>
      <c r="FC722" s="1354"/>
      <c r="FD722" s="1355"/>
      <c r="FE722" s="1353">
        <f t="shared" si="30"/>
        <v>879</v>
      </c>
      <c r="FF722" s="1354"/>
      <c r="FG722" s="1354"/>
      <c r="FH722" s="1354"/>
      <c r="FI722" s="1355"/>
      <c r="FJ722" s="1353" t="str">
        <f t="shared" si="31"/>
        <v/>
      </c>
      <c r="FK722" s="1354"/>
      <c r="FL722" s="1354"/>
      <c r="FM722" s="1354"/>
      <c r="FN722" s="1355"/>
      <c r="FO722" s="1353" t="str">
        <f t="shared" si="32"/>
        <v/>
      </c>
      <c r="FP722" s="1354"/>
      <c r="FQ722" s="1354"/>
      <c r="FR722" s="1354"/>
      <c r="FS722" s="1355"/>
      <c r="FT722" s="1353" t="str">
        <f t="shared" si="33"/>
        <v/>
      </c>
      <c r="FU722" s="1354"/>
      <c r="FV722" s="1354"/>
      <c r="FW722" s="1354"/>
      <c r="FX722" s="1355"/>
      <c r="FY722" s="1353" t="str">
        <f t="shared" si="34"/>
        <v/>
      </c>
      <c r="FZ722" s="1354"/>
      <c r="GA722" s="1354"/>
      <c r="GB722" s="1354"/>
      <c r="GC722" s="1355"/>
    </row>
    <row r="723" spans="1:185" ht="12.95" customHeight="1">
      <c r="B723" s="1357" t="s">
        <v>325</v>
      </c>
      <c r="C723" s="1358"/>
      <c r="D723" s="1358"/>
      <c r="E723" s="1358"/>
      <c r="F723" s="1359"/>
      <c r="G723" s="1366">
        <v>15</v>
      </c>
      <c r="H723" s="1367"/>
      <c r="I723" s="1367"/>
      <c r="J723" s="1368"/>
      <c r="K723" s="1370">
        <v>520</v>
      </c>
      <c r="L723" s="1371"/>
      <c r="M723" s="1371"/>
      <c r="N723" s="1372"/>
      <c r="O723" s="1490">
        <v>1381</v>
      </c>
      <c r="P723" s="1491"/>
      <c r="Q723" s="1491"/>
      <c r="R723" s="1491"/>
      <c r="S723" s="1492"/>
      <c r="T723" s="1490">
        <v>62</v>
      </c>
      <c r="U723" s="1491"/>
      <c r="V723" s="1491"/>
      <c r="W723" s="1492"/>
      <c r="X723" s="1360">
        <f t="shared" si="8"/>
        <v>1443</v>
      </c>
      <c r="Y723" s="1361"/>
      <c r="Z723" s="1361"/>
      <c r="AA723" s="1361"/>
      <c r="AB723" s="1362"/>
      <c r="AC723" s="1630">
        <v>0.45</v>
      </c>
      <c r="AD723" s="1631"/>
      <c r="AE723" s="1631"/>
      <c r="AF723" s="1631"/>
      <c r="AG723" s="1632"/>
      <c r="AH723" s="1363">
        <f t="shared" si="35"/>
        <v>0.41753472222222221</v>
      </c>
      <c r="AI723" s="1364"/>
      <c r="AJ723" s="1365"/>
      <c r="AK723" s="1357" t="s">
        <v>591</v>
      </c>
      <c r="AL723" s="1358"/>
      <c r="AM723" s="1358"/>
      <c r="AN723" s="1358"/>
      <c r="AO723" s="1359"/>
      <c r="AP723" s="3"/>
      <c r="AQ723" s="3"/>
      <c r="AR723" s="3"/>
      <c r="AS723" s="3"/>
      <c r="AY723" s="116"/>
      <c r="AZ723" s="118">
        <f>IF($G723=0,"N/A",VLOOKUP($T$189,TC_Rent,(MATCH($B723,bedrooms,FALSE)),FALSE))</f>
        <v>3456</v>
      </c>
      <c r="BA723" s="3"/>
      <c r="BB723" s="3"/>
      <c r="BC723" s="3"/>
      <c r="BD723" s="3"/>
      <c r="BE723" s="205"/>
      <c r="BF723" s="295">
        <f t="shared" si="9"/>
        <v>15</v>
      </c>
      <c r="BG723" s="298">
        <f t="shared" si="10"/>
        <v>0.17857142857142858</v>
      </c>
      <c r="BH723" s="299">
        <f t="shared" si="11"/>
        <v>8.0357142857142863E-2</v>
      </c>
      <c r="BI723" s="3"/>
      <c r="BJ723" s="3"/>
      <c r="BK723" s="3"/>
      <c r="BL723" s="3"/>
      <c r="BM723" s="3"/>
      <c r="BN723" s="3"/>
      <c r="BS723" s="295">
        <f t="shared" si="12"/>
        <v>15</v>
      </c>
      <c r="BT723" s="298">
        <f t="shared" si="13"/>
        <v>0.17857142857142858</v>
      </c>
      <c r="BU723" s="299">
        <f t="shared" si="14"/>
        <v>7.4559771825396831E-2</v>
      </c>
      <c r="CC723" s="3"/>
      <c r="CD723" s="3"/>
      <c r="CE723" s="3"/>
      <c r="CF723" s="3"/>
      <c r="CG723" s="1353">
        <f t="shared" si="36"/>
        <v>1</v>
      </c>
      <c r="CH723" s="1355"/>
      <c r="CI723" s="1337">
        <f t="shared" si="37"/>
        <v>15</v>
      </c>
      <c r="CJ723" s="1339"/>
      <c r="CK723" s="1353">
        <f t="shared" si="15"/>
        <v>0</v>
      </c>
      <c r="CL723" s="1355"/>
      <c r="CM723" s="1337">
        <f t="shared" si="16"/>
        <v>0</v>
      </c>
      <c r="CN723" s="1339"/>
      <c r="CO723" s="3"/>
      <c r="CP723" s="1334">
        <f t="shared" si="17"/>
        <v>0</v>
      </c>
      <c r="CQ723" s="1335"/>
      <c r="CR723" s="1335"/>
      <c r="CS723" s="1335"/>
      <c r="CT723" s="1336"/>
      <c r="CU723" s="1356">
        <f t="shared" si="18"/>
        <v>15</v>
      </c>
      <c r="CV723" s="1356"/>
      <c r="CW723" s="1356"/>
      <c r="CX723" s="1356"/>
      <c r="CY723" s="1356"/>
      <c r="CZ723" s="1356">
        <f t="shared" si="19"/>
        <v>0</v>
      </c>
      <c r="DA723" s="1356"/>
      <c r="DB723" s="1356"/>
      <c r="DC723" s="1356"/>
      <c r="DD723" s="1356"/>
      <c r="DE723" s="1356">
        <f t="shared" si="20"/>
        <v>0</v>
      </c>
      <c r="DF723" s="1356"/>
      <c r="DG723" s="1356"/>
      <c r="DH723" s="1356"/>
      <c r="DI723" s="1356"/>
      <c r="DJ723" s="1356">
        <f t="shared" si="21"/>
        <v>0</v>
      </c>
      <c r="DK723" s="1356"/>
      <c r="DL723" s="1356"/>
      <c r="DM723" s="1356"/>
      <c r="DN723" s="1356"/>
      <c r="DO723" s="1356">
        <f t="shared" si="22"/>
        <v>0</v>
      </c>
      <c r="DP723" s="1356"/>
      <c r="DQ723" s="1356"/>
      <c r="DR723" s="1356"/>
      <c r="DS723" s="1356"/>
      <c r="DT723" s="6"/>
      <c r="DU723" s="1373">
        <f t="shared" si="23"/>
        <v>0</v>
      </c>
      <c r="DV723" s="1373"/>
      <c r="DW723" s="1373"/>
      <c r="DX723" s="1373"/>
      <c r="DY723" s="1373"/>
      <c r="DZ723" s="1373">
        <f t="shared" si="24"/>
        <v>0</v>
      </c>
      <c r="EA723" s="1373"/>
      <c r="EB723" s="1373"/>
      <c r="EC723" s="1373"/>
      <c r="ED723" s="1373"/>
      <c r="EE723" s="1373">
        <f t="shared" si="25"/>
        <v>0</v>
      </c>
      <c r="EF723" s="1373"/>
      <c r="EG723" s="1373"/>
      <c r="EH723" s="1373"/>
      <c r="EI723" s="1373"/>
      <c r="EJ723" s="1373">
        <f t="shared" si="26"/>
        <v>0</v>
      </c>
      <c r="EK723" s="1373"/>
      <c r="EL723" s="1373"/>
      <c r="EM723" s="1373"/>
      <c r="EN723" s="1373"/>
      <c r="EO723" s="1373">
        <f t="shared" si="27"/>
        <v>0</v>
      </c>
      <c r="EP723" s="1373"/>
      <c r="EQ723" s="1373"/>
      <c r="ER723" s="1373"/>
      <c r="ES723" s="1373"/>
      <c r="ET723" s="1373">
        <f t="shared" si="28"/>
        <v>0</v>
      </c>
      <c r="EU723" s="1373"/>
      <c r="EV723" s="1373"/>
      <c r="EW723" s="1373"/>
      <c r="EX723" s="1373"/>
      <c r="EZ723" s="1353" t="str">
        <f t="shared" si="29"/>
        <v/>
      </c>
      <c r="FA723" s="1354"/>
      <c r="FB723" s="1354"/>
      <c r="FC723" s="1354"/>
      <c r="FD723" s="1355"/>
      <c r="FE723" s="1353">
        <f t="shared" si="30"/>
        <v>1381</v>
      </c>
      <c r="FF723" s="1354"/>
      <c r="FG723" s="1354"/>
      <c r="FH723" s="1354"/>
      <c r="FI723" s="1355"/>
      <c r="FJ723" s="1353" t="str">
        <f t="shared" si="31"/>
        <v/>
      </c>
      <c r="FK723" s="1354"/>
      <c r="FL723" s="1354"/>
      <c r="FM723" s="1354"/>
      <c r="FN723" s="1355"/>
      <c r="FO723" s="1353" t="str">
        <f t="shared" si="32"/>
        <v/>
      </c>
      <c r="FP723" s="1354"/>
      <c r="FQ723" s="1354"/>
      <c r="FR723" s="1354"/>
      <c r="FS723" s="1355"/>
      <c r="FT723" s="1353" t="str">
        <f t="shared" si="33"/>
        <v/>
      </c>
      <c r="FU723" s="1354"/>
      <c r="FV723" s="1354"/>
      <c r="FW723" s="1354"/>
      <c r="FX723" s="1355"/>
      <c r="FY723" s="1353" t="str">
        <f t="shared" si="34"/>
        <v/>
      </c>
      <c r="FZ723" s="1354"/>
      <c r="GA723" s="1354"/>
      <c r="GB723" s="1354"/>
      <c r="GC723" s="1355"/>
    </row>
    <row r="724" spans="1:185" ht="12.95" customHeight="1">
      <c r="B724" s="1357" t="s">
        <v>325</v>
      </c>
      <c r="C724" s="1358"/>
      <c r="D724" s="1358"/>
      <c r="E724" s="1358"/>
      <c r="F724" s="1359"/>
      <c r="G724" s="1366">
        <v>6</v>
      </c>
      <c r="H724" s="1367"/>
      <c r="I724" s="1367"/>
      <c r="J724" s="1368"/>
      <c r="K724" s="1370">
        <v>520</v>
      </c>
      <c r="L724" s="1371"/>
      <c r="M724" s="1371"/>
      <c r="N724" s="1372"/>
      <c r="O724" s="1490">
        <v>1549</v>
      </c>
      <c r="P724" s="1491"/>
      <c r="Q724" s="1491"/>
      <c r="R724" s="1491"/>
      <c r="S724" s="1492"/>
      <c r="T724" s="1490">
        <v>62</v>
      </c>
      <c r="U724" s="1491"/>
      <c r="V724" s="1491"/>
      <c r="W724" s="1492"/>
      <c r="X724" s="1360">
        <f t="shared" si="8"/>
        <v>1611</v>
      </c>
      <c r="Y724" s="1361"/>
      <c r="Z724" s="1361"/>
      <c r="AA724" s="1361"/>
      <c r="AB724" s="1362"/>
      <c r="AC724" s="1630">
        <v>0.5</v>
      </c>
      <c r="AD724" s="1631"/>
      <c r="AE724" s="1631"/>
      <c r="AF724" s="1631"/>
      <c r="AG724" s="1632"/>
      <c r="AH724" s="1363">
        <f t="shared" si="35"/>
        <v>0.46614583333333331</v>
      </c>
      <c r="AI724" s="1364"/>
      <c r="AJ724" s="1365"/>
      <c r="AK724" s="1357" t="s">
        <v>591</v>
      </c>
      <c r="AL724" s="1358"/>
      <c r="AM724" s="1358"/>
      <c r="AN724" s="1358"/>
      <c r="AO724" s="1359"/>
      <c r="AP724" s="3"/>
      <c r="AQ724" s="3"/>
      <c r="AR724" s="3"/>
      <c r="AS724" s="3"/>
      <c r="AY724" s="116"/>
      <c r="AZ724" s="118">
        <f>IF($G724=0,"N/A",VLOOKUP($T$189,TC_Rent,(MATCH($B724,bedrooms,FALSE)),FALSE))</f>
        <v>3456</v>
      </c>
      <c r="BA724" s="3"/>
      <c r="BB724" s="3"/>
      <c r="BC724" s="3"/>
      <c r="BD724" s="3"/>
      <c r="BE724" s="205"/>
      <c r="BF724" s="295">
        <f t="shared" si="9"/>
        <v>6</v>
      </c>
      <c r="BG724" s="298">
        <f t="shared" si="10"/>
        <v>7.1428571428571425E-2</v>
      </c>
      <c r="BH724" s="299">
        <f t="shared" si="11"/>
        <v>3.5714285714285712E-2</v>
      </c>
      <c r="BI724" s="3"/>
      <c r="BJ724" s="3"/>
      <c r="BK724" s="3"/>
      <c r="BL724" s="3"/>
      <c r="BM724" s="3"/>
      <c r="BN724" s="3"/>
      <c r="BS724" s="295">
        <f t="shared" si="12"/>
        <v>6</v>
      </c>
      <c r="BT724" s="298">
        <f t="shared" si="13"/>
        <v>7.1428571428571425E-2</v>
      </c>
      <c r="BU724" s="299">
        <f t="shared" si="14"/>
        <v>3.3296130952380952E-2</v>
      </c>
      <c r="CC724" s="3"/>
      <c r="CE724" s="3"/>
      <c r="CF724" s="3"/>
      <c r="CG724" s="1353">
        <f t="shared" si="36"/>
        <v>1</v>
      </c>
      <c r="CH724" s="1355"/>
      <c r="CI724" s="1337">
        <f t="shared" si="37"/>
        <v>6</v>
      </c>
      <c r="CJ724" s="1339"/>
      <c r="CK724" s="1353">
        <f t="shared" si="15"/>
        <v>0</v>
      </c>
      <c r="CL724" s="1355"/>
      <c r="CM724" s="1337">
        <f t="shared" si="16"/>
        <v>0</v>
      </c>
      <c r="CN724" s="1339"/>
      <c r="CO724" s="3"/>
      <c r="CP724" s="1334">
        <f t="shared" si="17"/>
        <v>0</v>
      </c>
      <c r="CQ724" s="1335"/>
      <c r="CR724" s="1335"/>
      <c r="CS724" s="1335"/>
      <c r="CT724" s="1336"/>
      <c r="CU724" s="1356">
        <f t="shared" si="18"/>
        <v>6</v>
      </c>
      <c r="CV724" s="1356"/>
      <c r="CW724" s="1356"/>
      <c r="CX724" s="1356"/>
      <c r="CY724" s="1356"/>
      <c r="CZ724" s="1356">
        <f t="shared" si="19"/>
        <v>0</v>
      </c>
      <c r="DA724" s="1356"/>
      <c r="DB724" s="1356"/>
      <c r="DC724" s="1356"/>
      <c r="DD724" s="1356"/>
      <c r="DE724" s="1356">
        <f t="shared" si="20"/>
        <v>0</v>
      </c>
      <c r="DF724" s="1356"/>
      <c r="DG724" s="1356"/>
      <c r="DH724" s="1356"/>
      <c r="DI724" s="1356"/>
      <c r="DJ724" s="1356">
        <f t="shared" si="21"/>
        <v>0</v>
      </c>
      <c r="DK724" s="1356"/>
      <c r="DL724" s="1356"/>
      <c r="DM724" s="1356"/>
      <c r="DN724" s="1356"/>
      <c r="DO724" s="1356">
        <f t="shared" si="22"/>
        <v>0</v>
      </c>
      <c r="DP724" s="1356"/>
      <c r="DQ724" s="1356"/>
      <c r="DR724" s="1356"/>
      <c r="DS724" s="1356"/>
      <c r="DT724" s="6"/>
      <c r="DU724" s="1373">
        <f t="shared" si="23"/>
        <v>0</v>
      </c>
      <c r="DV724" s="1373"/>
      <c r="DW724" s="1373"/>
      <c r="DX724" s="1373"/>
      <c r="DY724" s="1373"/>
      <c r="DZ724" s="1373">
        <f t="shared" si="24"/>
        <v>0</v>
      </c>
      <c r="EA724" s="1373"/>
      <c r="EB724" s="1373"/>
      <c r="EC724" s="1373"/>
      <c r="ED724" s="1373"/>
      <c r="EE724" s="1373">
        <f t="shared" si="25"/>
        <v>0</v>
      </c>
      <c r="EF724" s="1373"/>
      <c r="EG724" s="1373"/>
      <c r="EH724" s="1373"/>
      <c r="EI724" s="1373"/>
      <c r="EJ724" s="1373">
        <f t="shared" si="26"/>
        <v>0</v>
      </c>
      <c r="EK724" s="1373"/>
      <c r="EL724" s="1373"/>
      <c r="EM724" s="1373"/>
      <c r="EN724" s="1373"/>
      <c r="EO724" s="1373">
        <f t="shared" si="27"/>
        <v>0</v>
      </c>
      <c r="EP724" s="1373"/>
      <c r="EQ724" s="1373"/>
      <c r="ER724" s="1373"/>
      <c r="ES724" s="1373"/>
      <c r="ET724" s="1373">
        <f t="shared" si="28"/>
        <v>0</v>
      </c>
      <c r="EU724" s="1373"/>
      <c r="EV724" s="1373"/>
      <c r="EW724" s="1373"/>
      <c r="EX724" s="1373"/>
      <c r="EZ724" s="1353" t="str">
        <f t="shared" si="29"/>
        <v/>
      </c>
      <c r="FA724" s="1354"/>
      <c r="FB724" s="1354"/>
      <c r="FC724" s="1354"/>
      <c r="FD724" s="1355"/>
      <c r="FE724" s="1353">
        <f t="shared" si="30"/>
        <v>1549</v>
      </c>
      <c r="FF724" s="1354"/>
      <c r="FG724" s="1354"/>
      <c r="FH724" s="1354"/>
      <c r="FI724" s="1355"/>
      <c r="FJ724" s="1353" t="str">
        <f t="shared" si="31"/>
        <v/>
      </c>
      <c r="FK724" s="1354"/>
      <c r="FL724" s="1354"/>
      <c r="FM724" s="1354"/>
      <c r="FN724" s="1355"/>
      <c r="FO724" s="1353" t="str">
        <f t="shared" si="32"/>
        <v/>
      </c>
      <c r="FP724" s="1354"/>
      <c r="FQ724" s="1354"/>
      <c r="FR724" s="1354"/>
      <c r="FS724" s="1355"/>
      <c r="FT724" s="1353" t="str">
        <f t="shared" si="33"/>
        <v/>
      </c>
      <c r="FU724" s="1354"/>
      <c r="FV724" s="1354"/>
      <c r="FW724" s="1354"/>
      <c r="FX724" s="1355"/>
      <c r="FY724" s="1353" t="str">
        <f t="shared" si="34"/>
        <v/>
      </c>
      <c r="FZ724" s="1354"/>
      <c r="GA724" s="1354"/>
      <c r="GB724" s="1354"/>
      <c r="GC724" s="1355"/>
    </row>
    <row r="725" spans="1:185" ht="12.95" customHeight="1">
      <c r="B725" s="1357" t="s">
        <v>163</v>
      </c>
      <c r="C725" s="1358"/>
      <c r="D725" s="1358"/>
      <c r="E725" s="1358"/>
      <c r="F725" s="1359"/>
      <c r="G725" s="1366">
        <v>1</v>
      </c>
      <c r="H725" s="1367"/>
      <c r="I725" s="1367"/>
      <c r="J725" s="1368"/>
      <c r="K725" s="1370">
        <v>850</v>
      </c>
      <c r="L725" s="1371"/>
      <c r="M725" s="1371"/>
      <c r="N725" s="1372"/>
      <c r="O725" s="1490">
        <v>831</v>
      </c>
      <c r="P725" s="1491"/>
      <c r="Q725" s="1491"/>
      <c r="R725" s="1491"/>
      <c r="S725" s="1492"/>
      <c r="T725" s="1490">
        <v>86</v>
      </c>
      <c r="U725" s="1491"/>
      <c r="V725" s="1491"/>
      <c r="W725" s="1492"/>
      <c r="X725" s="1360">
        <f t="shared" si="8"/>
        <v>917</v>
      </c>
      <c r="Y725" s="1361"/>
      <c r="Z725" s="1361"/>
      <c r="AA725" s="1361"/>
      <c r="AB725" s="1362"/>
      <c r="AC725" s="1630">
        <v>0.3</v>
      </c>
      <c r="AD725" s="1631"/>
      <c r="AE725" s="1631"/>
      <c r="AF725" s="1631"/>
      <c r="AG725" s="1632"/>
      <c r="AH725" s="1363">
        <f t="shared" si="35"/>
        <v>0.22117703810902073</v>
      </c>
      <c r="AI725" s="1364"/>
      <c r="AJ725" s="1365"/>
      <c r="AK725" s="1357" t="s">
        <v>591</v>
      </c>
      <c r="AL725" s="1358"/>
      <c r="AM725" s="1358"/>
      <c r="AN725" s="1358"/>
      <c r="AO725" s="1359"/>
      <c r="AP725" s="3"/>
      <c r="AQ725" s="3"/>
      <c r="AR725" s="3"/>
      <c r="AS725" s="3"/>
      <c r="AY725" s="1087"/>
      <c r="AZ725" s="118">
        <f>IF($G725=0,"N/A",VLOOKUP($T$189,TC_Rent,(MATCH($B725,bedrooms,FALSE)),FALSE))</f>
        <v>4146</v>
      </c>
      <c r="BA725" s="3"/>
      <c r="BB725" s="3"/>
      <c r="BC725" s="3"/>
      <c r="BD725" s="3"/>
      <c r="BE725" s="205"/>
      <c r="BF725" s="295">
        <f t="shared" si="9"/>
        <v>1</v>
      </c>
      <c r="BG725" s="298">
        <f t="shared" si="10"/>
        <v>1.1904761904761904E-2</v>
      </c>
      <c r="BH725" s="299">
        <f t="shared" si="11"/>
        <v>3.5714285714285709E-3</v>
      </c>
      <c r="BI725" s="3"/>
      <c r="BJ725" s="3"/>
      <c r="BK725" s="3"/>
      <c r="BL725" s="3"/>
      <c r="BM725" s="3"/>
      <c r="BN725" s="3"/>
      <c r="BS725" s="295">
        <f t="shared" si="12"/>
        <v>1</v>
      </c>
      <c r="BT725" s="298">
        <f t="shared" si="13"/>
        <v>1.1904761904761904E-2</v>
      </c>
      <c r="BU725" s="299">
        <f t="shared" si="14"/>
        <v>2.6330599774883417E-3</v>
      </c>
      <c r="BV725" s="293"/>
      <c r="BW725" s="3"/>
      <c r="BX725" s="3"/>
      <c r="BY725" s="3"/>
      <c r="BZ725" s="3"/>
      <c r="CA725" s="3"/>
      <c r="CB725" s="3"/>
      <c r="CC725" s="3"/>
      <c r="CE725" s="3"/>
      <c r="CF725" s="3"/>
      <c r="CG725" s="1353">
        <f t="shared" si="36"/>
        <v>0</v>
      </c>
      <c r="CH725" s="1355"/>
      <c r="CI725" s="1337">
        <f t="shared" si="37"/>
        <v>0</v>
      </c>
      <c r="CJ725" s="1339"/>
      <c r="CK725" s="1353">
        <f t="shared" si="15"/>
        <v>1</v>
      </c>
      <c r="CL725" s="1355"/>
      <c r="CM725" s="1337">
        <f t="shared" si="16"/>
        <v>1</v>
      </c>
      <c r="CN725" s="1339"/>
      <c r="CO725" s="3"/>
      <c r="CP725" s="1334">
        <f t="shared" ref="CP725:CP731" si="38">IF(B725="SRO/Studio",G725,0)</f>
        <v>0</v>
      </c>
      <c r="CQ725" s="1335"/>
      <c r="CR725" s="1335"/>
      <c r="CS725" s="1335"/>
      <c r="CT725" s="1336"/>
      <c r="CU725" s="1356">
        <f t="shared" ref="CU725:CU731" si="39">IF(B725="1 Bedroom",G725,0)</f>
        <v>0</v>
      </c>
      <c r="CV725" s="1356"/>
      <c r="CW725" s="1356"/>
      <c r="CX725" s="1356"/>
      <c r="CY725" s="1356"/>
      <c r="CZ725" s="1356">
        <f t="shared" ref="CZ725:CZ731" si="40">IF(B725="2 Bedrooms",G725,0)</f>
        <v>1</v>
      </c>
      <c r="DA725" s="1356"/>
      <c r="DB725" s="1356"/>
      <c r="DC725" s="1356"/>
      <c r="DD725" s="1356"/>
      <c r="DE725" s="1356">
        <f t="shared" ref="DE725:DE731" si="41">IF(B725="3 Bedrooms",G725,0)</f>
        <v>0</v>
      </c>
      <c r="DF725" s="1356"/>
      <c r="DG725" s="1356"/>
      <c r="DH725" s="1356"/>
      <c r="DI725" s="1356"/>
      <c r="DJ725" s="1356">
        <f t="shared" ref="DJ725:DJ731" si="42">IF(B725="4 Bedrooms",G725,0)</f>
        <v>0</v>
      </c>
      <c r="DK725" s="1356"/>
      <c r="DL725" s="1356"/>
      <c r="DM725" s="1356"/>
      <c r="DN725" s="1356"/>
      <c r="DO725" s="1356">
        <f t="shared" ref="DO725:DO731" si="43">IF(B725="5 Bedrooms",G725,0)</f>
        <v>0</v>
      </c>
      <c r="DP725" s="1356"/>
      <c r="DQ725" s="1356"/>
      <c r="DR725" s="1356"/>
      <c r="DS725" s="1356"/>
      <c r="DT725" s="6"/>
      <c r="DU725" s="1373">
        <f t="shared" ref="DU725:DU731" si="44">IF(AND(B725="SRO/Studio",AC725&lt;=0.3),G725,0)</f>
        <v>0</v>
      </c>
      <c r="DV725" s="1373"/>
      <c r="DW725" s="1373"/>
      <c r="DX725" s="1373"/>
      <c r="DY725" s="1373"/>
      <c r="DZ725" s="1373">
        <f t="shared" ref="DZ725:DZ731" si="45">IF(AND(B725="1 Bedroom",AC725&lt;=0.3),G725,0)</f>
        <v>0</v>
      </c>
      <c r="EA725" s="1373"/>
      <c r="EB725" s="1373"/>
      <c r="EC725" s="1373"/>
      <c r="ED725" s="1373"/>
      <c r="EE725" s="1373">
        <f t="shared" ref="EE725:EE731" si="46">IF(AND(B725="2 Bedrooms",AC725&lt;=0.3),G725,0)</f>
        <v>1</v>
      </c>
      <c r="EF725" s="1373"/>
      <c r="EG725" s="1373"/>
      <c r="EH725" s="1373"/>
      <c r="EI725" s="1373"/>
      <c r="EJ725" s="1373">
        <f t="shared" ref="EJ725:EJ731" si="47">IF(AND(B725="3 Bedrooms",AC725&lt;=0.3),G725,0)</f>
        <v>0</v>
      </c>
      <c r="EK725" s="1373"/>
      <c r="EL725" s="1373"/>
      <c r="EM725" s="1373"/>
      <c r="EN725" s="1373"/>
      <c r="EO725" s="1373">
        <f t="shared" ref="EO725:EO731" si="48">IF(AND(B725="4 Bedrooms",AC725&lt;=0.3),G725,0)</f>
        <v>0</v>
      </c>
      <c r="EP725" s="1373"/>
      <c r="EQ725" s="1373"/>
      <c r="ER725" s="1373"/>
      <c r="ES725" s="1373"/>
      <c r="ET725" s="1373">
        <f t="shared" ref="ET725:ET731" si="49">IF(AND(B725="5 Bedrooms",AC725&lt;=0.3),G725,0)</f>
        <v>0</v>
      </c>
      <c r="EU725" s="1373"/>
      <c r="EV725" s="1373"/>
      <c r="EW725" s="1373"/>
      <c r="EX725" s="1373"/>
      <c r="EZ725" s="1353" t="str">
        <f t="shared" si="29"/>
        <v/>
      </c>
      <c r="FA725" s="1354"/>
      <c r="FB725" s="1354"/>
      <c r="FC725" s="1354"/>
      <c r="FD725" s="1355"/>
      <c r="FE725" s="1353" t="str">
        <f t="shared" si="30"/>
        <v/>
      </c>
      <c r="FF725" s="1354"/>
      <c r="FG725" s="1354"/>
      <c r="FH725" s="1354"/>
      <c r="FI725" s="1355"/>
      <c r="FJ725" s="1353">
        <f t="shared" si="31"/>
        <v>831</v>
      </c>
      <c r="FK725" s="1354"/>
      <c r="FL725" s="1354"/>
      <c r="FM725" s="1354"/>
      <c r="FN725" s="1355"/>
      <c r="FO725" s="1353" t="str">
        <f t="shared" si="32"/>
        <v/>
      </c>
      <c r="FP725" s="1354"/>
      <c r="FQ725" s="1354"/>
      <c r="FR725" s="1354"/>
      <c r="FS725" s="1355"/>
      <c r="FT725" s="1353" t="str">
        <f t="shared" si="33"/>
        <v/>
      </c>
      <c r="FU725" s="1354"/>
      <c r="FV725" s="1354"/>
      <c r="FW725" s="1354"/>
      <c r="FX725" s="1355"/>
      <c r="FY725" s="1353" t="str">
        <f t="shared" si="34"/>
        <v/>
      </c>
      <c r="FZ725" s="1354"/>
      <c r="GA725" s="1354"/>
      <c r="GB725" s="1354"/>
      <c r="GC725" s="1355"/>
    </row>
    <row r="726" spans="1:185" ht="12.95" customHeight="1">
      <c r="B726" s="1357" t="s">
        <v>163</v>
      </c>
      <c r="C726" s="1358"/>
      <c r="D726" s="1358"/>
      <c r="E726" s="1358"/>
      <c r="F726" s="1359"/>
      <c r="G726" s="1366">
        <v>6</v>
      </c>
      <c r="H726" s="1367"/>
      <c r="I726" s="1367"/>
      <c r="J726" s="1368"/>
      <c r="K726" s="1370">
        <v>850</v>
      </c>
      <c r="L726" s="1371"/>
      <c r="M726" s="1371"/>
      <c r="N726" s="1372"/>
      <c r="O726" s="1490">
        <v>1032</v>
      </c>
      <c r="P726" s="1491"/>
      <c r="Q726" s="1491"/>
      <c r="R726" s="1491"/>
      <c r="S726" s="1492"/>
      <c r="T726" s="1490">
        <v>86</v>
      </c>
      <c r="U726" s="1491"/>
      <c r="V726" s="1491"/>
      <c r="W726" s="1492"/>
      <c r="X726" s="1360">
        <f t="shared" si="8"/>
        <v>1118</v>
      </c>
      <c r="Y726" s="1361"/>
      <c r="Z726" s="1361"/>
      <c r="AA726" s="1361"/>
      <c r="AB726" s="1362"/>
      <c r="AC726" s="1630">
        <v>0.3</v>
      </c>
      <c r="AD726" s="1631"/>
      <c r="AE726" s="1631"/>
      <c r="AF726" s="1631"/>
      <c r="AG726" s="1632"/>
      <c r="AH726" s="1363">
        <f t="shared" si="35"/>
        <v>0.26965750120598164</v>
      </c>
      <c r="AI726" s="1364"/>
      <c r="AJ726" s="1365"/>
      <c r="AK726" s="1357" t="s">
        <v>591</v>
      </c>
      <c r="AL726" s="1358"/>
      <c r="AM726" s="1358"/>
      <c r="AN726" s="1358"/>
      <c r="AO726" s="1359"/>
      <c r="AP726" s="3"/>
      <c r="AQ726" s="3"/>
      <c r="AR726" s="3"/>
      <c r="AS726" s="3"/>
      <c r="AY726" s="1087"/>
      <c r="AZ726" s="118">
        <f>IF($G726=0,"N/A",VLOOKUP($T$189,TC_Rent,(MATCH($B726,bedrooms,FALSE)),FALSE))</f>
        <v>4146</v>
      </c>
      <c r="BA726" s="3"/>
      <c r="BB726" s="3"/>
      <c r="BC726" s="3"/>
      <c r="BD726" s="3"/>
      <c r="BE726" s="205"/>
      <c r="BF726" s="295">
        <f t="shared" si="9"/>
        <v>6</v>
      </c>
      <c r="BG726" s="298">
        <f t="shared" si="10"/>
        <v>7.1428571428571425E-2</v>
      </c>
      <c r="BH726" s="299">
        <f t="shared" si="11"/>
        <v>2.1428571428571425E-2</v>
      </c>
      <c r="BI726" s="3"/>
      <c r="BJ726" s="3"/>
      <c r="BK726" s="3"/>
      <c r="BL726" s="3"/>
      <c r="BM726" s="3"/>
      <c r="BN726" s="3"/>
      <c r="BS726" s="295">
        <f t="shared" si="12"/>
        <v>6</v>
      </c>
      <c r="BT726" s="298">
        <f t="shared" si="13"/>
        <v>7.1428571428571425E-2</v>
      </c>
      <c r="BU726" s="299">
        <f t="shared" si="14"/>
        <v>1.9261250086141546E-2</v>
      </c>
      <c r="BV726" s="3"/>
      <c r="BW726" s="3"/>
      <c r="BX726" s="3"/>
      <c r="BY726" s="3"/>
      <c r="BZ726" s="3"/>
      <c r="CA726" s="3"/>
      <c r="CB726" s="3"/>
      <c r="CC726" s="3"/>
      <c r="CE726" s="3"/>
      <c r="CF726" s="3"/>
      <c r="CG726" s="1353">
        <f t="shared" si="36"/>
        <v>0</v>
      </c>
      <c r="CH726" s="1355"/>
      <c r="CI726" s="1337">
        <f t="shared" si="37"/>
        <v>0</v>
      </c>
      <c r="CJ726" s="1339"/>
      <c r="CK726" s="1353">
        <f t="shared" si="15"/>
        <v>1</v>
      </c>
      <c r="CL726" s="1355"/>
      <c r="CM726" s="1337">
        <f t="shared" si="16"/>
        <v>6</v>
      </c>
      <c r="CN726" s="1339"/>
      <c r="CO726" s="3"/>
      <c r="CP726" s="1334">
        <f t="shared" si="38"/>
        <v>0</v>
      </c>
      <c r="CQ726" s="1335"/>
      <c r="CR726" s="1335"/>
      <c r="CS726" s="1335"/>
      <c r="CT726" s="1336"/>
      <c r="CU726" s="1356">
        <f t="shared" si="39"/>
        <v>0</v>
      </c>
      <c r="CV726" s="1356"/>
      <c r="CW726" s="1356"/>
      <c r="CX726" s="1356"/>
      <c r="CY726" s="1356"/>
      <c r="CZ726" s="1356">
        <f t="shared" si="40"/>
        <v>6</v>
      </c>
      <c r="DA726" s="1356"/>
      <c r="DB726" s="1356"/>
      <c r="DC726" s="1356"/>
      <c r="DD726" s="1356"/>
      <c r="DE726" s="1356">
        <f t="shared" si="41"/>
        <v>0</v>
      </c>
      <c r="DF726" s="1356"/>
      <c r="DG726" s="1356"/>
      <c r="DH726" s="1356"/>
      <c r="DI726" s="1356"/>
      <c r="DJ726" s="1356">
        <f t="shared" si="42"/>
        <v>0</v>
      </c>
      <c r="DK726" s="1356"/>
      <c r="DL726" s="1356"/>
      <c r="DM726" s="1356"/>
      <c r="DN726" s="1356"/>
      <c r="DO726" s="1356">
        <f t="shared" si="43"/>
        <v>0</v>
      </c>
      <c r="DP726" s="1356"/>
      <c r="DQ726" s="1356"/>
      <c r="DR726" s="1356"/>
      <c r="DS726" s="1356"/>
      <c r="DT726" s="6"/>
      <c r="DU726" s="1373">
        <f t="shared" si="44"/>
        <v>0</v>
      </c>
      <c r="DV726" s="1373"/>
      <c r="DW726" s="1373"/>
      <c r="DX726" s="1373"/>
      <c r="DY726" s="1373"/>
      <c r="DZ726" s="1373">
        <f t="shared" si="45"/>
        <v>0</v>
      </c>
      <c r="EA726" s="1373"/>
      <c r="EB726" s="1373"/>
      <c r="EC726" s="1373"/>
      <c r="ED726" s="1373"/>
      <c r="EE726" s="1373">
        <f t="shared" si="46"/>
        <v>6</v>
      </c>
      <c r="EF726" s="1373"/>
      <c r="EG726" s="1373"/>
      <c r="EH726" s="1373"/>
      <c r="EI726" s="1373"/>
      <c r="EJ726" s="1373">
        <f t="shared" si="47"/>
        <v>0</v>
      </c>
      <c r="EK726" s="1373"/>
      <c r="EL726" s="1373"/>
      <c r="EM726" s="1373"/>
      <c r="EN726" s="1373"/>
      <c r="EO726" s="1373">
        <f t="shared" si="48"/>
        <v>0</v>
      </c>
      <c r="EP726" s="1373"/>
      <c r="EQ726" s="1373"/>
      <c r="ER726" s="1373"/>
      <c r="ES726" s="1373"/>
      <c r="ET726" s="1373">
        <f t="shared" si="49"/>
        <v>0</v>
      </c>
      <c r="EU726" s="1373"/>
      <c r="EV726" s="1373"/>
      <c r="EW726" s="1373"/>
      <c r="EX726" s="1373"/>
      <c r="EY726" s="4"/>
      <c r="EZ726" s="1353" t="str">
        <f t="shared" si="29"/>
        <v/>
      </c>
      <c r="FA726" s="1354"/>
      <c r="FB726" s="1354"/>
      <c r="FC726" s="1354"/>
      <c r="FD726" s="1355"/>
      <c r="FE726" s="1353" t="str">
        <f t="shared" si="30"/>
        <v/>
      </c>
      <c r="FF726" s="1354"/>
      <c r="FG726" s="1354"/>
      <c r="FH726" s="1354"/>
      <c r="FI726" s="1355"/>
      <c r="FJ726" s="1353">
        <f t="shared" si="31"/>
        <v>1032</v>
      </c>
      <c r="FK726" s="1354"/>
      <c r="FL726" s="1354"/>
      <c r="FM726" s="1354"/>
      <c r="FN726" s="1355"/>
      <c r="FO726" s="1353" t="str">
        <f t="shared" si="32"/>
        <v/>
      </c>
      <c r="FP726" s="1354"/>
      <c r="FQ726" s="1354"/>
      <c r="FR726" s="1354"/>
      <c r="FS726" s="1355"/>
      <c r="FT726" s="1353" t="str">
        <f t="shared" si="33"/>
        <v/>
      </c>
      <c r="FU726" s="1354"/>
      <c r="FV726" s="1354"/>
      <c r="FW726" s="1354"/>
      <c r="FX726" s="1355"/>
      <c r="FY726" s="1353" t="str">
        <f t="shared" si="34"/>
        <v/>
      </c>
      <c r="FZ726" s="1354"/>
      <c r="GA726" s="1354"/>
      <c r="GB726" s="1354"/>
      <c r="GC726" s="1355"/>
    </row>
    <row r="727" spans="1:185" ht="12.95" customHeight="1">
      <c r="A727" s="4"/>
      <c r="B727" s="1357" t="s">
        <v>163</v>
      </c>
      <c r="C727" s="1358"/>
      <c r="D727" s="1358"/>
      <c r="E727" s="1358"/>
      <c r="F727" s="1359"/>
      <c r="G727" s="1366">
        <v>8</v>
      </c>
      <c r="H727" s="1367"/>
      <c r="I727" s="1367"/>
      <c r="J727" s="1368"/>
      <c r="K727" s="1370">
        <v>850</v>
      </c>
      <c r="L727" s="1371"/>
      <c r="M727" s="1371"/>
      <c r="N727" s="1372"/>
      <c r="O727" s="1490">
        <v>1835</v>
      </c>
      <c r="P727" s="1491"/>
      <c r="Q727" s="1491"/>
      <c r="R727" s="1491"/>
      <c r="S727" s="1492"/>
      <c r="T727" s="1490">
        <v>86</v>
      </c>
      <c r="U727" s="1491"/>
      <c r="V727" s="1491"/>
      <c r="W727" s="1492"/>
      <c r="X727" s="1360">
        <f t="shared" si="8"/>
        <v>1921</v>
      </c>
      <c r="Y727" s="1361"/>
      <c r="Z727" s="1361"/>
      <c r="AA727" s="1361"/>
      <c r="AB727" s="1362"/>
      <c r="AC727" s="1630">
        <v>0.5</v>
      </c>
      <c r="AD727" s="1631"/>
      <c r="AE727" s="1631"/>
      <c r="AF727" s="1631"/>
      <c r="AG727" s="1632"/>
      <c r="AH727" s="1363">
        <f t="shared" si="35"/>
        <v>0.46333815726000965</v>
      </c>
      <c r="AI727" s="1364"/>
      <c r="AJ727" s="1365"/>
      <c r="AK727" s="1357" t="s">
        <v>591</v>
      </c>
      <c r="AL727" s="1358"/>
      <c r="AM727" s="1358"/>
      <c r="AN727" s="1358"/>
      <c r="AO727" s="1359"/>
      <c r="AP727" s="3"/>
      <c r="AQ727" s="3"/>
      <c r="AR727" s="3"/>
      <c r="AS727" s="3"/>
      <c r="AY727" s="1087"/>
      <c r="AZ727" s="118">
        <f>IF($G727=0,"N/A",VLOOKUP($T$189,TC_Rent,(MATCH($B727,bedrooms,FALSE)),FALSE))</f>
        <v>4146</v>
      </c>
      <c r="BA727" s="3"/>
      <c r="BB727" s="3"/>
      <c r="BC727" s="3"/>
      <c r="BD727" s="3"/>
      <c r="BE727" s="205"/>
      <c r="BF727" s="295">
        <f t="shared" si="9"/>
        <v>8</v>
      </c>
      <c r="BG727" s="298">
        <f t="shared" si="10"/>
        <v>9.5238095238095233E-2</v>
      </c>
      <c r="BH727" s="299">
        <f t="shared" si="11"/>
        <v>4.7619047619047616E-2</v>
      </c>
      <c r="BI727" s="3"/>
      <c r="BJ727" s="3"/>
      <c r="BK727" s="3"/>
      <c r="BL727" s="3"/>
      <c r="BM727" s="3"/>
      <c r="BN727" s="3"/>
      <c r="BS727" s="295">
        <f t="shared" si="12"/>
        <v>8</v>
      </c>
      <c r="BT727" s="298">
        <f t="shared" si="13"/>
        <v>9.5238095238095233E-2</v>
      </c>
      <c r="BU727" s="299">
        <f t="shared" si="14"/>
        <v>4.4127443548572343E-2</v>
      </c>
      <c r="BV727" s="3"/>
      <c r="BW727" s="3"/>
      <c r="BX727" s="3"/>
      <c r="BY727" s="3"/>
      <c r="BZ727" s="3"/>
      <c r="CA727" s="3"/>
      <c r="CB727" s="3"/>
      <c r="CC727" s="3"/>
      <c r="CE727" s="3"/>
      <c r="CF727" s="3"/>
      <c r="CG727" s="1353">
        <f t="shared" si="36"/>
        <v>1</v>
      </c>
      <c r="CH727" s="1355"/>
      <c r="CI727" s="1337">
        <f t="shared" si="37"/>
        <v>8</v>
      </c>
      <c r="CJ727" s="1339"/>
      <c r="CK727" s="1353">
        <f t="shared" si="15"/>
        <v>0</v>
      </c>
      <c r="CL727" s="1355"/>
      <c r="CM727" s="1337">
        <f t="shared" si="16"/>
        <v>0</v>
      </c>
      <c r="CN727" s="1339"/>
      <c r="CO727" s="3"/>
      <c r="CP727" s="1334">
        <f t="shared" si="38"/>
        <v>0</v>
      </c>
      <c r="CQ727" s="1335"/>
      <c r="CR727" s="1335"/>
      <c r="CS727" s="1335"/>
      <c r="CT727" s="1336"/>
      <c r="CU727" s="1356">
        <f t="shared" si="39"/>
        <v>0</v>
      </c>
      <c r="CV727" s="1356"/>
      <c r="CW727" s="1356"/>
      <c r="CX727" s="1356"/>
      <c r="CY727" s="1356"/>
      <c r="CZ727" s="1356">
        <f t="shared" si="40"/>
        <v>8</v>
      </c>
      <c r="DA727" s="1356"/>
      <c r="DB727" s="1356"/>
      <c r="DC727" s="1356"/>
      <c r="DD727" s="1356"/>
      <c r="DE727" s="1356">
        <f t="shared" si="41"/>
        <v>0</v>
      </c>
      <c r="DF727" s="1356"/>
      <c r="DG727" s="1356"/>
      <c r="DH727" s="1356"/>
      <c r="DI727" s="1356"/>
      <c r="DJ727" s="1356">
        <f t="shared" si="42"/>
        <v>0</v>
      </c>
      <c r="DK727" s="1356"/>
      <c r="DL727" s="1356"/>
      <c r="DM727" s="1356"/>
      <c r="DN727" s="1356"/>
      <c r="DO727" s="1356">
        <f t="shared" si="43"/>
        <v>0</v>
      </c>
      <c r="DP727" s="1356"/>
      <c r="DQ727" s="1356"/>
      <c r="DR727" s="1356"/>
      <c r="DS727" s="1356"/>
      <c r="DT727" s="6"/>
      <c r="DU727" s="1373">
        <f t="shared" si="44"/>
        <v>0</v>
      </c>
      <c r="DV727" s="1373"/>
      <c r="DW727" s="1373"/>
      <c r="DX727" s="1373"/>
      <c r="DY727" s="1373"/>
      <c r="DZ727" s="1373">
        <f t="shared" si="45"/>
        <v>0</v>
      </c>
      <c r="EA727" s="1373"/>
      <c r="EB727" s="1373"/>
      <c r="EC727" s="1373"/>
      <c r="ED727" s="1373"/>
      <c r="EE727" s="1373">
        <f t="shared" si="46"/>
        <v>0</v>
      </c>
      <c r="EF727" s="1373"/>
      <c r="EG727" s="1373"/>
      <c r="EH727" s="1373"/>
      <c r="EI727" s="1373"/>
      <c r="EJ727" s="1373">
        <f t="shared" si="47"/>
        <v>0</v>
      </c>
      <c r="EK727" s="1373"/>
      <c r="EL727" s="1373"/>
      <c r="EM727" s="1373"/>
      <c r="EN727" s="1373"/>
      <c r="EO727" s="1373">
        <f t="shared" si="48"/>
        <v>0</v>
      </c>
      <c r="EP727" s="1373"/>
      <c r="EQ727" s="1373"/>
      <c r="ER727" s="1373"/>
      <c r="ES727" s="1373"/>
      <c r="ET727" s="1373">
        <f t="shared" si="49"/>
        <v>0</v>
      </c>
      <c r="EU727" s="1373"/>
      <c r="EV727" s="1373"/>
      <c r="EW727" s="1373"/>
      <c r="EX727" s="1373"/>
      <c r="EY727" s="4"/>
      <c r="EZ727" s="1353" t="str">
        <f t="shared" si="29"/>
        <v/>
      </c>
      <c r="FA727" s="1354"/>
      <c r="FB727" s="1354"/>
      <c r="FC727" s="1354"/>
      <c r="FD727" s="1355"/>
      <c r="FE727" s="1353" t="str">
        <f t="shared" si="30"/>
        <v/>
      </c>
      <c r="FF727" s="1354"/>
      <c r="FG727" s="1354"/>
      <c r="FH727" s="1354"/>
      <c r="FI727" s="1355"/>
      <c r="FJ727" s="1353">
        <f t="shared" si="31"/>
        <v>1835</v>
      </c>
      <c r="FK727" s="1354"/>
      <c r="FL727" s="1354"/>
      <c r="FM727" s="1354"/>
      <c r="FN727" s="1355"/>
      <c r="FO727" s="1353" t="str">
        <f t="shared" si="32"/>
        <v/>
      </c>
      <c r="FP727" s="1354"/>
      <c r="FQ727" s="1354"/>
      <c r="FR727" s="1354"/>
      <c r="FS727" s="1355"/>
      <c r="FT727" s="1353" t="str">
        <f t="shared" si="33"/>
        <v/>
      </c>
      <c r="FU727" s="1354"/>
      <c r="FV727" s="1354"/>
      <c r="FW727" s="1354"/>
      <c r="FX727" s="1355"/>
      <c r="FY727" s="1353" t="str">
        <f t="shared" si="34"/>
        <v/>
      </c>
      <c r="FZ727" s="1354"/>
      <c r="GA727" s="1354"/>
      <c r="GB727" s="1354"/>
      <c r="GC727" s="1355"/>
    </row>
    <row r="728" spans="1:185" ht="12.95" customHeight="1">
      <c r="A728" s="4"/>
      <c r="B728" s="1357" t="s">
        <v>164</v>
      </c>
      <c r="C728" s="1358"/>
      <c r="D728" s="1358"/>
      <c r="E728" s="1358"/>
      <c r="F728" s="1359"/>
      <c r="G728" s="1366">
        <v>1</v>
      </c>
      <c r="H728" s="1367"/>
      <c r="I728" s="1367"/>
      <c r="J728" s="1368"/>
      <c r="K728" s="1370">
        <v>1018</v>
      </c>
      <c r="L728" s="1371"/>
      <c r="M728" s="1371"/>
      <c r="N728" s="1372"/>
      <c r="O728" s="1490">
        <v>915</v>
      </c>
      <c r="P728" s="1491"/>
      <c r="Q728" s="1491"/>
      <c r="R728" s="1491"/>
      <c r="S728" s="1492"/>
      <c r="T728" s="1490">
        <v>109</v>
      </c>
      <c r="U728" s="1491"/>
      <c r="V728" s="1491"/>
      <c r="W728" s="1492"/>
      <c r="X728" s="1360">
        <f t="shared" si="8"/>
        <v>1024</v>
      </c>
      <c r="Y728" s="1361"/>
      <c r="Z728" s="1361"/>
      <c r="AA728" s="1361"/>
      <c r="AB728" s="1362"/>
      <c r="AC728" s="1630">
        <v>0.25</v>
      </c>
      <c r="AD728" s="1631"/>
      <c r="AE728" s="1631"/>
      <c r="AF728" s="1631"/>
      <c r="AG728" s="1632"/>
      <c r="AH728" s="1363">
        <f t="shared" si="35"/>
        <v>0.21368948247078465</v>
      </c>
      <c r="AI728" s="1364"/>
      <c r="AJ728" s="1365"/>
      <c r="AK728" s="1357" t="s">
        <v>591</v>
      </c>
      <c r="AL728" s="1358"/>
      <c r="AM728" s="1358"/>
      <c r="AN728" s="1358"/>
      <c r="AO728" s="1359"/>
      <c r="AP728" s="3"/>
      <c r="AQ728" s="3"/>
      <c r="AR728" s="3"/>
      <c r="AS728" s="3"/>
      <c r="AY728" s="1087"/>
      <c r="AZ728" s="118">
        <f>IF($G728=0,"N/A",VLOOKUP($T$189,TC_Rent,(MATCH($B728,bedrooms,FALSE)),FALSE))</f>
        <v>4792</v>
      </c>
      <c r="BA728" s="3"/>
      <c r="BB728" s="3"/>
      <c r="BC728" s="3"/>
      <c r="BD728" s="3"/>
      <c r="BE728" s="205"/>
      <c r="BF728" s="295">
        <f t="shared" si="9"/>
        <v>1</v>
      </c>
      <c r="BG728" s="298">
        <f t="shared" si="10"/>
        <v>1.1904761904761904E-2</v>
      </c>
      <c r="BH728" s="299">
        <f t="shared" si="11"/>
        <v>2.976190476190476E-3</v>
      </c>
      <c r="BI728" s="3"/>
      <c r="BJ728" s="3"/>
      <c r="BK728" s="3"/>
      <c r="BL728" s="3"/>
      <c r="BM728" s="3"/>
      <c r="BN728" s="3"/>
      <c r="BS728" s="295">
        <f t="shared" si="12"/>
        <v>1</v>
      </c>
      <c r="BT728" s="298">
        <f t="shared" si="13"/>
        <v>1.1904761904761904E-2</v>
      </c>
      <c r="BU728" s="299">
        <f t="shared" si="14"/>
        <v>2.543922410366484E-3</v>
      </c>
      <c r="BV728" s="3"/>
      <c r="BW728" s="3"/>
      <c r="BX728" s="3"/>
      <c r="BY728" s="3"/>
      <c r="BZ728" s="3"/>
      <c r="CA728" s="3"/>
      <c r="CB728" s="3"/>
      <c r="CC728" s="3"/>
      <c r="CE728" s="3"/>
      <c r="CF728" s="3"/>
      <c r="CG728" s="1353">
        <f t="shared" si="36"/>
        <v>0</v>
      </c>
      <c r="CH728" s="1355"/>
      <c r="CI728" s="1337">
        <f t="shared" si="37"/>
        <v>0</v>
      </c>
      <c r="CJ728" s="1339"/>
      <c r="CK728" s="1353">
        <f t="shared" si="15"/>
        <v>1</v>
      </c>
      <c r="CL728" s="1355"/>
      <c r="CM728" s="1337">
        <f t="shared" si="16"/>
        <v>1</v>
      </c>
      <c r="CN728" s="1339"/>
      <c r="CO728" s="3"/>
      <c r="CP728" s="1334">
        <f t="shared" si="38"/>
        <v>0</v>
      </c>
      <c r="CQ728" s="1335"/>
      <c r="CR728" s="1335"/>
      <c r="CS728" s="1335"/>
      <c r="CT728" s="1336"/>
      <c r="CU728" s="1356">
        <f t="shared" si="39"/>
        <v>0</v>
      </c>
      <c r="CV728" s="1356"/>
      <c r="CW728" s="1356"/>
      <c r="CX728" s="1356"/>
      <c r="CY728" s="1356"/>
      <c r="CZ728" s="1356">
        <f t="shared" si="40"/>
        <v>0</v>
      </c>
      <c r="DA728" s="1356"/>
      <c r="DB728" s="1356"/>
      <c r="DC728" s="1356"/>
      <c r="DD728" s="1356"/>
      <c r="DE728" s="1356">
        <f t="shared" si="41"/>
        <v>1</v>
      </c>
      <c r="DF728" s="1356"/>
      <c r="DG728" s="1356"/>
      <c r="DH728" s="1356"/>
      <c r="DI728" s="1356"/>
      <c r="DJ728" s="1356">
        <f t="shared" si="42"/>
        <v>0</v>
      </c>
      <c r="DK728" s="1356"/>
      <c r="DL728" s="1356"/>
      <c r="DM728" s="1356"/>
      <c r="DN728" s="1356"/>
      <c r="DO728" s="1356">
        <f t="shared" si="43"/>
        <v>0</v>
      </c>
      <c r="DP728" s="1356"/>
      <c r="DQ728" s="1356"/>
      <c r="DR728" s="1356"/>
      <c r="DS728" s="1356"/>
      <c r="DT728" s="6"/>
      <c r="DU728" s="1373">
        <f t="shared" si="44"/>
        <v>0</v>
      </c>
      <c r="DV728" s="1373"/>
      <c r="DW728" s="1373"/>
      <c r="DX728" s="1373"/>
      <c r="DY728" s="1373"/>
      <c r="DZ728" s="1373">
        <f t="shared" si="45"/>
        <v>0</v>
      </c>
      <c r="EA728" s="1373"/>
      <c r="EB728" s="1373"/>
      <c r="EC728" s="1373"/>
      <c r="ED728" s="1373"/>
      <c r="EE728" s="1373">
        <f t="shared" si="46"/>
        <v>0</v>
      </c>
      <c r="EF728" s="1373"/>
      <c r="EG728" s="1373"/>
      <c r="EH728" s="1373"/>
      <c r="EI728" s="1373"/>
      <c r="EJ728" s="1373">
        <f t="shared" si="47"/>
        <v>1</v>
      </c>
      <c r="EK728" s="1373"/>
      <c r="EL728" s="1373"/>
      <c r="EM728" s="1373"/>
      <c r="EN728" s="1373"/>
      <c r="EO728" s="1373">
        <f t="shared" si="48"/>
        <v>0</v>
      </c>
      <c r="EP728" s="1373"/>
      <c r="EQ728" s="1373"/>
      <c r="ER728" s="1373"/>
      <c r="ES728" s="1373"/>
      <c r="ET728" s="1373">
        <f t="shared" si="49"/>
        <v>0</v>
      </c>
      <c r="EU728" s="1373"/>
      <c r="EV728" s="1373"/>
      <c r="EW728" s="1373"/>
      <c r="EX728" s="1373"/>
      <c r="EY728" s="4"/>
      <c r="EZ728" s="1353" t="str">
        <f t="shared" si="29"/>
        <v/>
      </c>
      <c r="FA728" s="1354"/>
      <c r="FB728" s="1354"/>
      <c r="FC728" s="1354"/>
      <c r="FD728" s="1355"/>
      <c r="FE728" s="1353" t="str">
        <f t="shared" si="30"/>
        <v/>
      </c>
      <c r="FF728" s="1354"/>
      <c r="FG728" s="1354"/>
      <c r="FH728" s="1354"/>
      <c r="FI728" s="1355"/>
      <c r="FJ728" s="1353" t="str">
        <f t="shared" si="31"/>
        <v/>
      </c>
      <c r="FK728" s="1354"/>
      <c r="FL728" s="1354"/>
      <c r="FM728" s="1354"/>
      <c r="FN728" s="1355"/>
      <c r="FO728" s="1353">
        <f t="shared" si="32"/>
        <v>915</v>
      </c>
      <c r="FP728" s="1354"/>
      <c r="FQ728" s="1354"/>
      <c r="FR728" s="1354"/>
      <c r="FS728" s="1355"/>
      <c r="FT728" s="1353" t="str">
        <f t="shared" si="33"/>
        <v/>
      </c>
      <c r="FU728" s="1354"/>
      <c r="FV728" s="1354"/>
      <c r="FW728" s="1354"/>
      <c r="FX728" s="1355"/>
      <c r="FY728" s="1353" t="str">
        <f t="shared" si="34"/>
        <v/>
      </c>
      <c r="FZ728" s="1354"/>
      <c r="GA728" s="1354"/>
      <c r="GB728" s="1354"/>
      <c r="GC728" s="1355"/>
    </row>
    <row r="729" spans="1:185" ht="12.95" customHeight="1">
      <c r="A729" s="4"/>
      <c r="B729" s="1357" t="s">
        <v>164</v>
      </c>
      <c r="C729" s="1358"/>
      <c r="D729" s="1358"/>
      <c r="E729" s="1358"/>
      <c r="F729" s="1359"/>
      <c r="G729" s="1366">
        <v>6</v>
      </c>
      <c r="H729" s="1367"/>
      <c r="I729" s="1367"/>
      <c r="J729" s="1368"/>
      <c r="K729" s="1370">
        <v>1018</v>
      </c>
      <c r="L729" s="1371"/>
      <c r="M729" s="1371"/>
      <c r="N729" s="1372"/>
      <c r="O729" s="1490">
        <v>1141</v>
      </c>
      <c r="P729" s="1491"/>
      <c r="Q729" s="1491"/>
      <c r="R729" s="1491"/>
      <c r="S729" s="1492"/>
      <c r="T729" s="1490">
        <v>109</v>
      </c>
      <c r="U729" s="1491"/>
      <c r="V729" s="1491"/>
      <c r="W729" s="1492"/>
      <c r="X729" s="1360">
        <f t="shared" si="8"/>
        <v>1250</v>
      </c>
      <c r="Y729" s="1361"/>
      <c r="Z729" s="1361"/>
      <c r="AA729" s="1361"/>
      <c r="AB729" s="1362"/>
      <c r="AC729" s="1630">
        <v>0.3</v>
      </c>
      <c r="AD729" s="1631"/>
      <c r="AE729" s="1631"/>
      <c r="AF729" s="1631"/>
      <c r="AG729" s="1632"/>
      <c r="AH729" s="1363">
        <f t="shared" si="35"/>
        <v>0.26085141903171954</v>
      </c>
      <c r="AI729" s="1364"/>
      <c r="AJ729" s="1365"/>
      <c r="AK729" s="1357" t="s">
        <v>591</v>
      </c>
      <c r="AL729" s="1358"/>
      <c r="AM729" s="1358"/>
      <c r="AN729" s="1358"/>
      <c r="AO729" s="1359"/>
      <c r="AP729" s="3"/>
      <c r="AQ729" s="3"/>
      <c r="AR729" s="3"/>
      <c r="AS729" s="3"/>
      <c r="AY729" s="1087"/>
      <c r="AZ729" s="118">
        <f>IF($G729=0,"N/A",VLOOKUP($T$189,TC_Rent,(MATCH($B729,bedrooms,FALSE)),FALSE))</f>
        <v>4792</v>
      </c>
      <c r="BA729" s="3"/>
      <c r="BB729" s="3"/>
      <c r="BC729" s="3"/>
      <c r="BD729" s="3"/>
      <c r="BE729" s="205"/>
      <c r="BF729" s="295">
        <f t="shared" si="9"/>
        <v>6</v>
      </c>
      <c r="BG729" s="298">
        <f t="shared" si="10"/>
        <v>7.1428571428571425E-2</v>
      </c>
      <c r="BH729" s="299">
        <f t="shared" si="11"/>
        <v>2.1428571428571425E-2</v>
      </c>
      <c r="BI729" s="3"/>
      <c r="BJ729" s="3"/>
      <c r="BK729" s="3"/>
      <c r="BL729" s="3"/>
      <c r="BM729" s="3"/>
      <c r="BN729" s="3"/>
      <c r="BS729" s="295">
        <f t="shared" si="12"/>
        <v>6</v>
      </c>
      <c r="BT729" s="298">
        <f t="shared" si="13"/>
        <v>7.1428571428571425E-2</v>
      </c>
      <c r="BU729" s="299">
        <f t="shared" si="14"/>
        <v>1.8632244216551394E-2</v>
      </c>
      <c r="BV729" s="3"/>
      <c r="BW729" s="3"/>
      <c r="BX729" s="3"/>
      <c r="BY729" s="3"/>
      <c r="BZ729" s="3"/>
      <c r="CA729" s="3"/>
      <c r="CB729" s="3"/>
      <c r="CC729" s="3"/>
      <c r="CE729" s="3"/>
      <c r="CF729" s="3"/>
      <c r="CG729" s="1353">
        <f t="shared" si="36"/>
        <v>0</v>
      </c>
      <c r="CH729" s="1355"/>
      <c r="CI729" s="1337">
        <f t="shared" si="37"/>
        <v>0</v>
      </c>
      <c r="CJ729" s="1339"/>
      <c r="CK729" s="1353">
        <f t="shared" si="15"/>
        <v>1</v>
      </c>
      <c r="CL729" s="1355"/>
      <c r="CM729" s="1337">
        <f t="shared" si="16"/>
        <v>6</v>
      </c>
      <c r="CN729" s="1339"/>
      <c r="CO729" s="3"/>
      <c r="CP729" s="1334">
        <f t="shared" si="38"/>
        <v>0</v>
      </c>
      <c r="CQ729" s="1335"/>
      <c r="CR729" s="1335"/>
      <c r="CS729" s="1335"/>
      <c r="CT729" s="1336"/>
      <c r="CU729" s="1356">
        <f t="shared" si="39"/>
        <v>0</v>
      </c>
      <c r="CV729" s="1356"/>
      <c r="CW729" s="1356"/>
      <c r="CX729" s="1356"/>
      <c r="CY729" s="1356"/>
      <c r="CZ729" s="1356">
        <f t="shared" si="40"/>
        <v>0</v>
      </c>
      <c r="DA729" s="1356"/>
      <c r="DB729" s="1356"/>
      <c r="DC729" s="1356"/>
      <c r="DD729" s="1356"/>
      <c r="DE729" s="1356">
        <f t="shared" si="41"/>
        <v>6</v>
      </c>
      <c r="DF729" s="1356"/>
      <c r="DG729" s="1356"/>
      <c r="DH729" s="1356"/>
      <c r="DI729" s="1356"/>
      <c r="DJ729" s="1356">
        <f t="shared" si="42"/>
        <v>0</v>
      </c>
      <c r="DK729" s="1356"/>
      <c r="DL729" s="1356"/>
      <c r="DM729" s="1356"/>
      <c r="DN729" s="1356"/>
      <c r="DO729" s="1356">
        <f t="shared" si="43"/>
        <v>0</v>
      </c>
      <c r="DP729" s="1356"/>
      <c r="DQ729" s="1356"/>
      <c r="DR729" s="1356"/>
      <c r="DS729" s="1356"/>
      <c r="DT729" s="6"/>
      <c r="DU729" s="1373">
        <f t="shared" si="44"/>
        <v>0</v>
      </c>
      <c r="DV729" s="1373"/>
      <c r="DW729" s="1373"/>
      <c r="DX729" s="1373"/>
      <c r="DY729" s="1373"/>
      <c r="DZ729" s="1373">
        <f t="shared" si="45"/>
        <v>0</v>
      </c>
      <c r="EA729" s="1373"/>
      <c r="EB729" s="1373"/>
      <c r="EC729" s="1373"/>
      <c r="ED729" s="1373"/>
      <c r="EE729" s="1373">
        <f t="shared" si="46"/>
        <v>0</v>
      </c>
      <c r="EF729" s="1373"/>
      <c r="EG729" s="1373"/>
      <c r="EH729" s="1373"/>
      <c r="EI729" s="1373"/>
      <c r="EJ729" s="1373">
        <f t="shared" si="47"/>
        <v>6</v>
      </c>
      <c r="EK729" s="1373"/>
      <c r="EL729" s="1373"/>
      <c r="EM729" s="1373"/>
      <c r="EN729" s="1373"/>
      <c r="EO729" s="1373">
        <f t="shared" si="48"/>
        <v>0</v>
      </c>
      <c r="EP729" s="1373"/>
      <c r="EQ729" s="1373"/>
      <c r="ER729" s="1373"/>
      <c r="ES729" s="1373"/>
      <c r="ET729" s="1373">
        <f t="shared" si="49"/>
        <v>0</v>
      </c>
      <c r="EU729" s="1373"/>
      <c r="EV729" s="1373"/>
      <c r="EW729" s="1373"/>
      <c r="EX729" s="1373"/>
      <c r="EZ729" s="1353" t="str">
        <f t="shared" si="29"/>
        <v/>
      </c>
      <c r="FA729" s="1354"/>
      <c r="FB729" s="1354"/>
      <c r="FC729" s="1354"/>
      <c r="FD729" s="1355"/>
      <c r="FE729" s="1353" t="str">
        <f t="shared" si="30"/>
        <v/>
      </c>
      <c r="FF729" s="1354"/>
      <c r="FG729" s="1354"/>
      <c r="FH729" s="1354"/>
      <c r="FI729" s="1355"/>
      <c r="FJ729" s="1353" t="str">
        <f t="shared" si="31"/>
        <v/>
      </c>
      <c r="FK729" s="1354"/>
      <c r="FL729" s="1354"/>
      <c r="FM729" s="1354"/>
      <c r="FN729" s="1355"/>
      <c r="FO729" s="1353">
        <f t="shared" si="32"/>
        <v>1141</v>
      </c>
      <c r="FP729" s="1354"/>
      <c r="FQ729" s="1354"/>
      <c r="FR729" s="1354"/>
      <c r="FS729" s="1355"/>
      <c r="FT729" s="1353" t="str">
        <f t="shared" si="33"/>
        <v/>
      </c>
      <c r="FU729" s="1354"/>
      <c r="FV729" s="1354"/>
      <c r="FW729" s="1354"/>
      <c r="FX729" s="1355"/>
      <c r="FY729" s="1353" t="str">
        <f t="shared" si="34"/>
        <v/>
      </c>
      <c r="FZ729" s="1354"/>
      <c r="GA729" s="1354"/>
      <c r="GB729" s="1354"/>
      <c r="GC729" s="1355"/>
    </row>
    <row r="730" spans="1:185" ht="12.95" customHeight="1">
      <c r="B730" s="1357" t="s">
        <v>164</v>
      </c>
      <c r="C730" s="1358"/>
      <c r="D730" s="1358"/>
      <c r="E730" s="1358"/>
      <c r="F730" s="1359"/>
      <c r="G730" s="1366">
        <v>22</v>
      </c>
      <c r="H730" s="1367"/>
      <c r="I730" s="1367"/>
      <c r="J730" s="1368"/>
      <c r="K730" s="1370">
        <v>1018</v>
      </c>
      <c r="L730" s="1371"/>
      <c r="M730" s="1371"/>
      <c r="N730" s="1372"/>
      <c r="O730" s="1490">
        <v>2048</v>
      </c>
      <c r="P730" s="1491"/>
      <c r="Q730" s="1491"/>
      <c r="R730" s="1491"/>
      <c r="S730" s="1492"/>
      <c r="T730" s="1490">
        <v>109</v>
      </c>
      <c r="U730" s="1491"/>
      <c r="V730" s="1491"/>
      <c r="W730" s="1492"/>
      <c r="X730" s="1360">
        <f t="shared" si="8"/>
        <v>2157</v>
      </c>
      <c r="Y730" s="1361"/>
      <c r="Z730" s="1361"/>
      <c r="AA730" s="1361"/>
      <c r="AB730" s="1362"/>
      <c r="AC730" s="1630">
        <v>0.5</v>
      </c>
      <c r="AD730" s="1631"/>
      <c r="AE730" s="1631"/>
      <c r="AF730" s="1631"/>
      <c r="AG730" s="1632"/>
      <c r="AH730" s="1363">
        <f t="shared" si="35"/>
        <v>0.4501252086811352</v>
      </c>
      <c r="AI730" s="1364"/>
      <c r="AJ730" s="1365"/>
      <c r="AK730" s="1357" t="s">
        <v>591</v>
      </c>
      <c r="AL730" s="1358"/>
      <c r="AM730" s="1358"/>
      <c r="AN730" s="1358"/>
      <c r="AO730" s="1359"/>
      <c r="AP730" s="3"/>
      <c r="AQ730" s="3"/>
      <c r="AR730" s="3"/>
      <c r="AS730" s="3"/>
      <c r="AY730" s="1087"/>
      <c r="AZ730" s="118">
        <f>IF($G730=0,"N/A",VLOOKUP($T$189,TC_Rent,(MATCH($B730,bedrooms,FALSE)),FALSE))</f>
        <v>4792</v>
      </c>
      <c r="BA730" s="3"/>
      <c r="BB730" s="3"/>
      <c r="BC730" s="3"/>
      <c r="BD730" s="3"/>
      <c r="BE730" s="205"/>
      <c r="BF730" s="295">
        <f t="shared" si="9"/>
        <v>22</v>
      </c>
      <c r="BG730" s="298">
        <f t="shared" si="10"/>
        <v>0.26190476190476192</v>
      </c>
      <c r="BH730" s="299">
        <f t="shared" si="11"/>
        <v>0.13095238095238096</v>
      </c>
      <c r="BI730" s="3"/>
      <c r="BJ730" s="3"/>
      <c r="BK730" s="3"/>
      <c r="BL730" s="3"/>
      <c r="BM730" s="3"/>
      <c r="BN730" s="3"/>
      <c r="BS730" s="295">
        <f t="shared" si="12"/>
        <v>22</v>
      </c>
      <c r="BT730" s="298">
        <f t="shared" si="13"/>
        <v>0.26190476190476192</v>
      </c>
      <c r="BU730" s="299">
        <f t="shared" si="14"/>
        <v>0.11788993560696399</v>
      </c>
      <c r="BV730" s="3"/>
      <c r="BW730" s="3"/>
      <c r="BX730" s="3"/>
      <c r="BY730" s="3"/>
      <c r="BZ730" s="3"/>
      <c r="CA730" s="3"/>
      <c r="CB730" s="3"/>
      <c r="CC730" s="3"/>
      <c r="CE730" s="3"/>
      <c r="CF730" s="3"/>
      <c r="CG730" s="1353">
        <f t="shared" si="36"/>
        <v>1</v>
      </c>
      <c r="CH730" s="1355"/>
      <c r="CI730" s="1337">
        <f t="shared" si="37"/>
        <v>22</v>
      </c>
      <c r="CJ730" s="1339"/>
      <c r="CK730" s="1353">
        <f t="shared" si="15"/>
        <v>0</v>
      </c>
      <c r="CL730" s="1355"/>
      <c r="CM730" s="1337">
        <f t="shared" si="16"/>
        <v>0</v>
      </c>
      <c r="CN730" s="1339"/>
      <c r="CO730" s="3"/>
      <c r="CP730" s="1334">
        <f t="shared" si="38"/>
        <v>0</v>
      </c>
      <c r="CQ730" s="1335"/>
      <c r="CR730" s="1335"/>
      <c r="CS730" s="1335"/>
      <c r="CT730" s="1336"/>
      <c r="CU730" s="1356">
        <f t="shared" si="39"/>
        <v>0</v>
      </c>
      <c r="CV730" s="1356"/>
      <c r="CW730" s="1356"/>
      <c r="CX730" s="1356"/>
      <c r="CY730" s="1356"/>
      <c r="CZ730" s="1356">
        <f t="shared" si="40"/>
        <v>0</v>
      </c>
      <c r="DA730" s="1356"/>
      <c r="DB730" s="1356"/>
      <c r="DC730" s="1356"/>
      <c r="DD730" s="1356"/>
      <c r="DE730" s="1356">
        <f t="shared" si="41"/>
        <v>22</v>
      </c>
      <c r="DF730" s="1356"/>
      <c r="DG730" s="1356"/>
      <c r="DH730" s="1356"/>
      <c r="DI730" s="1356"/>
      <c r="DJ730" s="1356">
        <f t="shared" si="42"/>
        <v>0</v>
      </c>
      <c r="DK730" s="1356"/>
      <c r="DL730" s="1356"/>
      <c r="DM730" s="1356"/>
      <c r="DN730" s="1356"/>
      <c r="DO730" s="1356">
        <f t="shared" si="43"/>
        <v>0</v>
      </c>
      <c r="DP730" s="1356"/>
      <c r="DQ730" s="1356"/>
      <c r="DR730" s="1356"/>
      <c r="DS730" s="1356"/>
      <c r="DT730" s="6"/>
      <c r="DU730" s="1373">
        <f t="shared" si="44"/>
        <v>0</v>
      </c>
      <c r="DV730" s="1373"/>
      <c r="DW730" s="1373"/>
      <c r="DX730" s="1373"/>
      <c r="DY730" s="1373"/>
      <c r="DZ730" s="1373">
        <f t="shared" si="45"/>
        <v>0</v>
      </c>
      <c r="EA730" s="1373"/>
      <c r="EB730" s="1373"/>
      <c r="EC730" s="1373"/>
      <c r="ED730" s="1373"/>
      <c r="EE730" s="1373">
        <f t="shared" si="46"/>
        <v>0</v>
      </c>
      <c r="EF730" s="1373"/>
      <c r="EG730" s="1373"/>
      <c r="EH730" s="1373"/>
      <c r="EI730" s="1373"/>
      <c r="EJ730" s="1373">
        <f t="shared" si="47"/>
        <v>0</v>
      </c>
      <c r="EK730" s="1373"/>
      <c r="EL730" s="1373"/>
      <c r="EM730" s="1373"/>
      <c r="EN730" s="1373"/>
      <c r="EO730" s="1373">
        <f t="shared" si="48"/>
        <v>0</v>
      </c>
      <c r="EP730" s="1373"/>
      <c r="EQ730" s="1373"/>
      <c r="ER730" s="1373"/>
      <c r="ES730" s="1373"/>
      <c r="ET730" s="1373">
        <f t="shared" si="49"/>
        <v>0</v>
      </c>
      <c r="EU730" s="1373"/>
      <c r="EV730" s="1373"/>
      <c r="EW730" s="1373"/>
      <c r="EX730" s="1373"/>
      <c r="EZ730" s="1353" t="str">
        <f t="shared" si="29"/>
        <v/>
      </c>
      <c r="FA730" s="1354"/>
      <c r="FB730" s="1354"/>
      <c r="FC730" s="1354"/>
      <c r="FD730" s="1355"/>
      <c r="FE730" s="1353" t="str">
        <f t="shared" si="30"/>
        <v/>
      </c>
      <c r="FF730" s="1354"/>
      <c r="FG730" s="1354"/>
      <c r="FH730" s="1354"/>
      <c r="FI730" s="1355"/>
      <c r="FJ730" s="1353" t="str">
        <f t="shared" si="31"/>
        <v/>
      </c>
      <c r="FK730" s="1354"/>
      <c r="FL730" s="1354"/>
      <c r="FM730" s="1354"/>
      <c r="FN730" s="1355"/>
      <c r="FO730" s="1353">
        <f t="shared" si="32"/>
        <v>2048</v>
      </c>
      <c r="FP730" s="1354"/>
      <c r="FQ730" s="1354"/>
      <c r="FR730" s="1354"/>
      <c r="FS730" s="1355"/>
      <c r="FT730" s="1353" t="str">
        <f t="shared" si="33"/>
        <v/>
      </c>
      <c r="FU730" s="1354"/>
      <c r="FV730" s="1354"/>
      <c r="FW730" s="1354"/>
      <c r="FX730" s="1355"/>
      <c r="FY730" s="1353" t="str">
        <f t="shared" si="34"/>
        <v/>
      </c>
      <c r="FZ730" s="1354"/>
      <c r="GA730" s="1354"/>
      <c r="GB730" s="1354"/>
      <c r="GC730" s="1355"/>
    </row>
    <row r="731" spans="1:185" ht="12.95" customHeight="1">
      <c r="B731" s="1357"/>
      <c r="C731" s="1358"/>
      <c r="D731" s="1358"/>
      <c r="E731" s="1358"/>
      <c r="F731" s="1359"/>
      <c r="G731" s="1366"/>
      <c r="H731" s="1367"/>
      <c r="I731" s="1367"/>
      <c r="J731" s="1368"/>
      <c r="K731" s="1370"/>
      <c r="L731" s="1371"/>
      <c r="M731" s="1371"/>
      <c r="N731" s="1372"/>
      <c r="O731" s="1490"/>
      <c r="P731" s="1491"/>
      <c r="Q731" s="1491"/>
      <c r="R731" s="1491"/>
      <c r="S731" s="1492"/>
      <c r="T731" s="1490"/>
      <c r="U731" s="1491"/>
      <c r="V731" s="1491"/>
      <c r="W731" s="1492"/>
      <c r="X731" s="1360">
        <f t="shared" si="8"/>
        <v>0</v>
      </c>
      <c r="Y731" s="1361"/>
      <c r="Z731" s="1361"/>
      <c r="AA731" s="1361"/>
      <c r="AB731" s="1362"/>
      <c r="AC731" s="1630"/>
      <c r="AD731" s="1631"/>
      <c r="AE731" s="1631"/>
      <c r="AF731" s="1631"/>
      <c r="AG731" s="1632"/>
      <c r="AH731" s="1363" t="str">
        <f t="shared" si="35"/>
        <v/>
      </c>
      <c r="AI731" s="1364"/>
      <c r="AJ731" s="1365"/>
      <c r="AK731" s="1357" t="s">
        <v>591</v>
      </c>
      <c r="AL731" s="1358"/>
      <c r="AM731" s="1358"/>
      <c r="AN731" s="1358"/>
      <c r="AO731" s="1359"/>
      <c r="AP731" s="3"/>
      <c r="AQ731" s="3"/>
      <c r="AR731" s="3"/>
      <c r="AS731" s="3"/>
      <c r="AY731" s="1087"/>
      <c r="AZ731" s="118" t="str">
        <f>IF($G731=0,"N/A",VLOOKUP($T$189,TC_Rent,(MATCH($B731,bedrooms,FALSE)),FALSE))</f>
        <v>N/A</v>
      </c>
      <c r="BA731" s="3"/>
      <c r="BB731" s="3"/>
      <c r="BC731" s="3"/>
      <c r="BD731" s="3"/>
      <c r="BE731" s="205"/>
      <c r="BF731" s="295">
        <f t="shared" si="9"/>
        <v>0</v>
      </c>
      <c r="BG731" s="298">
        <f t="shared" si="10"/>
        <v>0</v>
      </c>
      <c r="BH731" s="299" t="str">
        <f t="shared" si="11"/>
        <v/>
      </c>
      <c r="BI731" s="3"/>
      <c r="BJ731" s="3"/>
      <c r="BK731" s="3"/>
      <c r="BL731" s="3"/>
      <c r="BM731" s="3"/>
      <c r="BN731" s="3"/>
      <c r="BS731" s="295">
        <f t="shared" si="12"/>
        <v>0</v>
      </c>
      <c r="BT731" s="298">
        <f t="shared" si="13"/>
        <v>0</v>
      </c>
      <c r="BU731" s="299" t="str">
        <f t="shared" si="14"/>
        <v/>
      </c>
      <c r="BV731" s="3"/>
      <c r="BW731" s="3"/>
      <c r="BX731" s="3"/>
      <c r="BY731" s="3"/>
      <c r="BZ731" s="3"/>
      <c r="CA731" s="3"/>
      <c r="CB731" s="3"/>
      <c r="CC731" s="3"/>
      <c r="CE731" s="3"/>
      <c r="CF731" s="3"/>
      <c r="CG731" s="1353">
        <f t="shared" si="36"/>
        <v>0</v>
      </c>
      <c r="CH731" s="1355"/>
      <c r="CI731" s="1337">
        <f t="shared" si="37"/>
        <v>0</v>
      </c>
      <c r="CJ731" s="1339"/>
      <c r="CK731" s="1353">
        <f t="shared" si="15"/>
        <v>0</v>
      </c>
      <c r="CL731" s="1355"/>
      <c r="CM731" s="1337">
        <f t="shared" si="16"/>
        <v>0</v>
      </c>
      <c r="CN731" s="1339"/>
      <c r="CO731" s="3"/>
      <c r="CP731" s="1334">
        <f t="shared" si="38"/>
        <v>0</v>
      </c>
      <c r="CQ731" s="1335"/>
      <c r="CR731" s="1335"/>
      <c r="CS731" s="1335"/>
      <c r="CT731" s="1336"/>
      <c r="CU731" s="1356">
        <f t="shared" si="39"/>
        <v>0</v>
      </c>
      <c r="CV731" s="1356"/>
      <c r="CW731" s="1356"/>
      <c r="CX731" s="1356"/>
      <c r="CY731" s="1356"/>
      <c r="CZ731" s="1356">
        <f t="shared" si="40"/>
        <v>0</v>
      </c>
      <c r="DA731" s="1356"/>
      <c r="DB731" s="1356"/>
      <c r="DC731" s="1356"/>
      <c r="DD731" s="1356"/>
      <c r="DE731" s="1356">
        <f t="shared" si="41"/>
        <v>0</v>
      </c>
      <c r="DF731" s="1356"/>
      <c r="DG731" s="1356"/>
      <c r="DH731" s="1356"/>
      <c r="DI731" s="1356"/>
      <c r="DJ731" s="1356">
        <f t="shared" si="42"/>
        <v>0</v>
      </c>
      <c r="DK731" s="1356"/>
      <c r="DL731" s="1356"/>
      <c r="DM731" s="1356"/>
      <c r="DN731" s="1356"/>
      <c r="DO731" s="1356">
        <f t="shared" si="43"/>
        <v>0</v>
      </c>
      <c r="DP731" s="1356"/>
      <c r="DQ731" s="1356"/>
      <c r="DR731" s="1356"/>
      <c r="DS731" s="1356"/>
      <c r="DT731" s="6"/>
      <c r="DU731" s="1373">
        <f t="shared" si="44"/>
        <v>0</v>
      </c>
      <c r="DV731" s="1373"/>
      <c r="DW731" s="1373"/>
      <c r="DX731" s="1373"/>
      <c r="DY731" s="1373"/>
      <c r="DZ731" s="1373">
        <f t="shared" si="45"/>
        <v>0</v>
      </c>
      <c r="EA731" s="1373"/>
      <c r="EB731" s="1373"/>
      <c r="EC731" s="1373"/>
      <c r="ED731" s="1373"/>
      <c r="EE731" s="1373">
        <f t="shared" si="46"/>
        <v>0</v>
      </c>
      <c r="EF731" s="1373"/>
      <c r="EG731" s="1373"/>
      <c r="EH731" s="1373"/>
      <c r="EI731" s="1373"/>
      <c r="EJ731" s="1373">
        <f t="shared" si="47"/>
        <v>0</v>
      </c>
      <c r="EK731" s="1373"/>
      <c r="EL731" s="1373"/>
      <c r="EM731" s="1373"/>
      <c r="EN731" s="1373"/>
      <c r="EO731" s="1373">
        <f t="shared" si="48"/>
        <v>0</v>
      </c>
      <c r="EP731" s="1373"/>
      <c r="EQ731" s="1373"/>
      <c r="ER731" s="1373"/>
      <c r="ES731" s="1373"/>
      <c r="ET731" s="1373">
        <f t="shared" si="49"/>
        <v>0</v>
      </c>
      <c r="EU731" s="1373"/>
      <c r="EV731" s="1373"/>
      <c r="EW731" s="1373"/>
      <c r="EX731" s="1373"/>
      <c r="EZ731" s="1353" t="str">
        <f t="shared" si="29"/>
        <v/>
      </c>
      <c r="FA731" s="1354"/>
      <c r="FB731" s="1354"/>
      <c r="FC731" s="1354"/>
      <c r="FD731" s="1355"/>
      <c r="FE731" s="1353" t="str">
        <f t="shared" si="30"/>
        <v/>
      </c>
      <c r="FF731" s="1354"/>
      <c r="FG731" s="1354"/>
      <c r="FH731" s="1354"/>
      <c r="FI731" s="1355"/>
      <c r="FJ731" s="1353" t="str">
        <f t="shared" si="31"/>
        <v/>
      </c>
      <c r="FK731" s="1354"/>
      <c r="FL731" s="1354"/>
      <c r="FM731" s="1354"/>
      <c r="FN731" s="1355"/>
      <c r="FO731" s="1353" t="str">
        <f t="shared" si="32"/>
        <v/>
      </c>
      <c r="FP731" s="1354"/>
      <c r="FQ731" s="1354"/>
      <c r="FR731" s="1354"/>
      <c r="FS731" s="1355"/>
      <c r="FT731" s="1353" t="str">
        <f t="shared" si="33"/>
        <v/>
      </c>
      <c r="FU731" s="1354"/>
      <c r="FV731" s="1354"/>
      <c r="FW731" s="1354"/>
      <c r="FX731" s="1355"/>
      <c r="FY731" s="1353" t="str">
        <f t="shared" si="34"/>
        <v/>
      </c>
      <c r="FZ731" s="1354"/>
      <c r="GA731" s="1354"/>
      <c r="GB731" s="1354"/>
      <c r="GC731" s="1355"/>
    </row>
    <row r="732" spans="1:185" ht="12.95" customHeight="1">
      <c r="B732" s="1357"/>
      <c r="C732" s="1358"/>
      <c r="D732" s="1358"/>
      <c r="E732" s="1358"/>
      <c r="F732" s="1359"/>
      <c r="G732" s="1366"/>
      <c r="H732" s="1367"/>
      <c r="I732" s="1367"/>
      <c r="J732" s="1368"/>
      <c r="K732" s="1370"/>
      <c r="L732" s="1371"/>
      <c r="M732" s="1371"/>
      <c r="N732" s="1372"/>
      <c r="O732" s="1490"/>
      <c r="P732" s="1491"/>
      <c r="Q732" s="1491"/>
      <c r="R732" s="1491"/>
      <c r="S732" s="1492"/>
      <c r="T732" s="1490"/>
      <c r="U732" s="1491"/>
      <c r="V732" s="1491"/>
      <c r="W732" s="1492"/>
      <c r="X732" s="1360">
        <f t="shared" si="8"/>
        <v>0</v>
      </c>
      <c r="Y732" s="1361"/>
      <c r="Z732" s="1361"/>
      <c r="AA732" s="1361"/>
      <c r="AB732" s="1362"/>
      <c r="AC732" s="1630"/>
      <c r="AD732" s="1631"/>
      <c r="AE732" s="1631"/>
      <c r="AF732" s="1631"/>
      <c r="AG732" s="1632"/>
      <c r="AH732" s="1363" t="str">
        <f t="shared" si="35"/>
        <v/>
      </c>
      <c r="AI732" s="1364"/>
      <c r="AJ732" s="1365"/>
      <c r="AK732" s="1357" t="s">
        <v>591</v>
      </c>
      <c r="AL732" s="1358"/>
      <c r="AM732" s="1358"/>
      <c r="AN732" s="1358"/>
      <c r="AO732" s="1359"/>
      <c r="AP732" s="3"/>
      <c r="AQ732" s="3"/>
      <c r="AR732" s="3"/>
      <c r="AS732" s="3"/>
      <c r="AY732" s="1087"/>
      <c r="AZ732" s="118" t="str">
        <f>IF($G732=0,"N/A",VLOOKUP($T$189,TC_Rent,(MATCH($B732,bedrooms,FALSE)),FALSE))</f>
        <v>N/A</v>
      </c>
      <c r="BA732" s="3"/>
      <c r="BB732" s="3"/>
      <c r="BC732" s="3"/>
      <c r="BD732" s="3"/>
      <c r="BE732" s="205"/>
      <c r="BF732" s="295">
        <f t="shared" si="9"/>
        <v>0</v>
      </c>
      <c r="BG732" s="298">
        <f t="shared" si="10"/>
        <v>0</v>
      </c>
      <c r="BH732" s="299" t="str">
        <f t="shared" si="11"/>
        <v/>
      </c>
      <c r="BI732" s="3"/>
      <c r="BJ732" s="3"/>
      <c r="BK732" s="3"/>
      <c r="BL732" s="3"/>
      <c r="BM732" s="3"/>
      <c r="BN732" s="3"/>
      <c r="BS732" s="295">
        <f t="shared" si="12"/>
        <v>0</v>
      </c>
      <c r="BT732" s="298">
        <f t="shared" si="13"/>
        <v>0</v>
      </c>
      <c r="BU732" s="299" t="str">
        <f t="shared" si="14"/>
        <v/>
      </c>
      <c r="BV732" s="3"/>
      <c r="BW732" s="3"/>
      <c r="BX732" s="3"/>
      <c r="BY732" s="3"/>
      <c r="BZ732" s="3"/>
      <c r="CA732" s="3"/>
      <c r="CB732" s="3"/>
      <c r="CC732" s="3"/>
      <c r="CE732" s="3"/>
      <c r="CF732" s="3"/>
      <c r="CG732" s="1353">
        <f t="shared" si="36"/>
        <v>0</v>
      </c>
      <c r="CH732" s="1355"/>
      <c r="CI732" s="1337">
        <f t="shared" si="37"/>
        <v>0</v>
      </c>
      <c r="CJ732" s="1339"/>
      <c r="CK732" s="1353">
        <f t="shared" si="15"/>
        <v>0</v>
      </c>
      <c r="CL732" s="1355"/>
      <c r="CM732" s="1337">
        <f t="shared" si="16"/>
        <v>0</v>
      </c>
      <c r="CN732" s="1339"/>
      <c r="CO732" s="3"/>
      <c r="CP732" s="1334">
        <f t="shared" si="17"/>
        <v>0</v>
      </c>
      <c r="CQ732" s="1335"/>
      <c r="CR732" s="1335"/>
      <c r="CS732" s="1335"/>
      <c r="CT732" s="1336"/>
      <c r="CU732" s="1356">
        <f t="shared" si="18"/>
        <v>0</v>
      </c>
      <c r="CV732" s="1356"/>
      <c r="CW732" s="1356"/>
      <c r="CX732" s="1356"/>
      <c r="CY732" s="1356"/>
      <c r="CZ732" s="1356">
        <f t="shared" si="19"/>
        <v>0</v>
      </c>
      <c r="DA732" s="1356"/>
      <c r="DB732" s="1356"/>
      <c r="DC732" s="1356"/>
      <c r="DD732" s="1356"/>
      <c r="DE732" s="1356">
        <f t="shared" si="20"/>
        <v>0</v>
      </c>
      <c r="DF732" s="1356"/>
      <c r="DG732" s="1356"/>
      <c r="DH732" s="1356"/>
      <c r="DI732" s="1356"/>
      <c r="DJ732" s="1356">
        <f t="shared" si="21"/>
        <v>0</v>
      </c>
      <c r="DK732" s="1356"/>
      <c r="DL732" s="1356"/>
      <c r="DM732" s="1356"/>
      <c r="DN732" s="1356"/>
      <c r="DO732" s="1356">
        <f t="shared" si="22"/>
        <v>0</v>
      </c>
      <c r="DP732" s="1356"/>
      <c r="DQ732" s="1356"/>
      <c r="DR732" s="1356"/>
      <c r="DS732" s="1356"/>
      <c r="DT732" s="6"/>
      <c r="DU732" s="1373">
        <f t="shared" si="23"/>
        <v>0</v>
      </c>
      <c r="DV732" s="1373"/>
      <c r="DW732" s="1373"/>
      <c r="DX732" s="1373"/>
      <c r="DY732" s="1373"/>
      <c r="DZ732" s="1373">
        <f t="shared" si="24"/>
        <v>0</v>
      </c>
      <c r="EA732" s="1373"/>
      <c r="EB732" s="1373"/>
      <c r="EC732" s="1373"/>
      <c r="ED732" s="1373"/>
      <c r="EE732" s="1373">
        <f t="shared" si="25"/>
        <v>0</v>
      </c>
      <c r="EF732" s="1373"/>
      <c r="EG732" s="1373"/>
      <c r="EH732" s="1373"/>
      <c r="EI732" s="1373"/>
      <c r="EJ732" s="1373">
        <f t="shared" si="26"/>
        <v>0</v>
      </c>
      <c r="EK732" s="1373"/>
      <c r="EL732" s="1373"/>
      <c r="EM732" s="1373"/>
      <c r="EN732" s="1373"/>
      <c r="EO732" s="1373">
        <f t="shared" si="27"/>
        <v>0</v>
      </c>
      <c r="EP732" s="1373"/>
      <c r="EQ732" s="1373"/>
      <c r="ER732" s="1373"/>
      <c r="ES732" s="1373"/>
      <c r="ET732" s="1373">
        <f t="shared" si="28"/>
        <v>0</v>
      </c>
      <c r="EU732" s="1373"/>
      <c r="EV732" s="1373"/>
      <c r="EW732" s="1373"/>
      <c r="EX732" s="1373"/>
      <c r="EZ732" s="1353" t="str">
        <f t="shared" si="29"/>
        <v/>
      </c>
      <c r="FA732" s="1354"/>
      <c r="FB732" s="1354"/>
      <c r="FC732" s="1354"/>
      <c r="FD732" s="1355"/>
      <c r="FE732" s="1353" t="str">
        <f t="shared" si="30"/>
        <v/>
      </c>
      <c r="FF732" s="1354"/>
      <c r="FG732" s="1354"/>
      <c r="FH732" s="1354"/>
      <c r="FI732" s="1355"/>
      <c r="FJ732" s="1353" t="str">
        <f t="shared" si="31"/>
        <v/>
      </c>
      <c r="FK732" s="1354"/>
      <c r="FL732" s="1354"/>
      <c r="FM732" s="1354"/>
      <c r="FN732" s="1355"/>
      <c r="FO732" s="1353" t="str">
        <f t="shared" si="32"/>
        <v/>
      </c>
      <c r="FP732" s="1354"/>
      <c r="FQ732" s="1354"/>
      <c r="FR732" s="1354"/>
      <c r="FS732" s="1355"/>
      <c r="FT732" s="1353" t="str">
        <f t="shared" si="33"/>
        <v/>
      </c>
      <c r="FU732" s="1354"/>
      <c r="FV732" s="1354"/>
      <c r="FW732" s="1354"/>
      <c r="FX732" s="1355"/>
      <c r="FY732" s="1353" t="str">
        <f t="shared" si="34"/>
        <v/>
      </c>
      <c r="FZ732" s="1354"/>
      <c r="GA732" s="1354"/>
      <c r="GB732" s="1354"/>
      <c r="GC732" s="1355"/>
    </row>
    <row r="733" spans="1:185" ht="12.95" customHeight="1">
      <c r="B733" s="1357"/>
      <c r="C733" s="1358"/>
      <c r="D733" s="1358"/>
      <c r="E733" s="1358"/>
      <c r="F733" s="1359"/>
      <c r="G733" s="1366"/>
      <c r="H733" s="1367"/>
      <c r="I733" s="1367"/>
      <c r="J733" s="1368"/>
      <c r="K733" s="1370"/>
      <c r="L733" s="1371"/>
      <c r="M733" s="1371"/>
      <c r="N733" s="1372"/>
      <c r="O733" s="1490"/>
      <c r="P733" s="1491"/>
      <c r="Q733" s="1491"/>
      <c r="R733" s="1491"/>
      <c r="S733" s="1492"/>
      <c r="T733" s="1490"/>
      <c r="U733" s="1491"/>
      <c r="V733" s="1491"/>
      <c r="W733" s="1492"/>
      <c r="X733" s="1360">
        <f t="shared" si="8"/>
        <v>0</v>
      </c>
      <c r="Y733" s="1361"/>
      <c r="Z733" s="1361"/>
      <c r="AA733" s="1361"/>
      <c r="AB733" s="1362"/>
      <c r="AC733" s="1630"/>
      <c r="AD733" s="1631"/>
      <c r="AE733" s="1631"/>
      <c r="AF733" s="1631"/>
      <c r="AG733" s="1632"/>
      <c r="AH733" s="1363" t="str">
        <f t="shared" si="35"/>
        <v/>
      </c>
      <c r="AI733" s="1364"/>
      <c r="AJ733" s="1365"/>
      <c r="AK733" s="1357" t="s">
        <v>591</v>
      </c>
      <c r="AL733" s="1358"/>
      <c r="AM733" s="1358"/>
      <c r="AN733" s="1358"/>
      <c r="AO733" s="1359"/>
      <c r="AP733" s="3"/>
      <c r="AQ733" s="3"/>
      <c r="AR733" s="3"/>
      <c r="AS733" s="3"/>
      <c r="AY733" s="1087"/>
      <c r="AZ733" s="118" t="str">
        <f>IF($G733=0,"N/A",VLOOKUP($T$189,TC_Rent,(MATCH($B733,bedrooms,FALSE)),FALSE))</f>
        <v>N/A</v>
      </c>
      <c r="BA733" s="3"/>
      <c r="BB733" s="3"/>
      <c r="BC733" s="3"/>
      <c r="BD733" s="3"/>
      <c r="BE733" s="205"/>
      <c r="BF733" s="295">
        <f t="shared" si="9"/>
        <v>0</v>
      </c>
      <c r="BG733" s="298">
        <f t="shared" si="10"/>
        <v>0</v>
      </c>
      <c r="BH733" s="299" t="str">
        <f t="shared" si="11"/>
        <v/>
      </c>
      <c r="BI733" s="3"/>
      <c r="BJ733" s="3"/>
      <c r="BK733" s="3"/>
      <c r="BL733" s="3"/>
      <c r="BM733" s="3"/>
      <c r="BN733" s="3"/>
      <c r="BS733" s="295">
        <f t="shared" si="12"/>
        <v>0</v>
      </c>
      <c r="BT733" s="298">
        <f t="shared" si="13"/>
        <v>0</v>
      </c>
      <c r="BU733" s="299" t="str">
        <f t="shared" si="14"/>
        <v/>
      </c>
      <c r="BV733" s="3"/>
      <c r="BW733" s="3"/>
      <c r="BX733" s="3"/>
      <c r="BY733" s="3"/>
      <c r="BZ733" s="3"/>
      <c r="CA733" s="3"/>
      <c r="CB733" s="3"/>
      <c r="CC733" s="3"/>
      <c r="CE733" s="3"/>
      <c r="CF733" s="3"/>
      <c r="CG733" s="1353">
        <f t="shared" si="36"/>
        <v>0</v>
      </c>
      <c r="CH733" s="1355"/>
      <c r="CI733" s="1337">
        <f t="shared" si="37"/>
        <v>0</v>
      </c>
      <c r="CJ733" s="1339"/>
      <c r="CK733" s="1353">
        <f t="shared" si="15"/>
        <v>0</v>
      </c>
      <c r="CL733" s="1355"/>
      <c r="CM733" s="1337">
        <f t="shared" si="16"/>
        <v>0</v>
      </c>
      <c r="CN733" s="1339"/>
      <c r="CO733" s="3"/>
      <c r="CP733" s="1334">
        <f t="shared" si="17"/>
        <v>0</v>
      </c>
      <c r="CQ733" s="1335"/>
      <c r="CR733" s="1335"/>
      <c r="CS733" s="1335"/>
      <c r="CT733" s="1336"/>
      <c r="CU733" s="1356">
        <f t="shared" si="18"/>
        <v>0</v>
      </c>
      <c r="CV733" s="1356"/>
      <c r="CW733" s="1356"/>
      <c r="CX733" s="1356"/>
      <c r="CY733" s="1356"/>
      <c r="CZ733" s="1356">
        <f t="shared" si="19"/>
        <v>0</v>
      </c>
      <c r="DA733" s="1356"/>
      <c r="DB733" s="1356"/>
      <c r="DC733" s="1356"/>
      <c r="DD733" s="1356"/>
      <c r="DE733" s="1356">
        <f t="shared" si="20"/>
        <v>0</v>
      </c>
      <c r="DF733" s="1356"/>
      <c r="DG733" s="1356"/>
      <c r="DH733" s="1356"/>
      <c r="DI733" s="1356"/>
      <c r="DJ733" s="1356">
        <f t="shared" si="21"/>
        <v>0</v>
      </c>
      <c r="DK733" s="1356"/>
      <c r="DL733" s="1356"/>
      <c r="DM733" s="1356"/>
      <c r="DN733" s="1356"/>
      <c r="DO733" s="1356">
        <f t="shared" si="22"/>
        <v>0</v>
      </c>
      <c r="DP733" s="1356"/>
      <c r="DQ733" s="1356"/>
      <c r="DR733" s="1356"/>
      <c r="DS733" s="1356"/>
      <c r="DT733" s="6"/>
      <c r="DU733" s="1373">
        <f t="shared" si="23"/>
        <v>0</v>
      </c>
      <c r="DV733" s="1373"/>
      <c r="DW733" s="1373"/>
      <c r="DX733" s="1373"/>
      <c r="DY733" s="1373"/>
      <c r="DZ733" s="1373">
        <f t="shared" si="24"/>
        <v>0</v>
      </c>
      <c r="EA733" s="1373"/>
      <c r="EB733" s="1373"/>
      <c r="EC733" s="1373"/>
      <c r="ED733" s="1373"/>
      <c r="EE733" s="1373">
        <f t="shared" si="25"/>
        <v>0</v>
      </c>
      <c r="EF733" s="1373"/>
      <c r="EG733" s="1373"/>
      <c r="EH733" s="1373"/>
      <c r="EI733" s="1373"/>
      <c r="EJ733" s="1373">
        <f t="shared" si="26"/>
        <v>0</v>
      </c>
      <c r="EK733" s="1373"/>
      <c r="EL733" s="1373"/>
      <c r="EM733" s="1373"/>
      <c r="EN733" s="1373"/>
      <c r="EO733" s="1373">
        <f t="shared" si="27"/>
        <v>0</v>
      </c>
      <c r="EP733" s="1373"/>
      <c r="EQ733" s="1373"/>
      <c r="ER733" s="1373"/>
      <c r="ES733" s="1373"/>
      <c r="ET733" s="1373">
        <f t="shared" si="28"/>
        <v>0</v>
      </c>
      <c r="EU733" s="1373"/>
      <c r="EV733" s="1373"/>
      <c r="EW733" s="1373"/>
      <c r="EX733" s="1373"/>
      <c r="EZ733" s="1353" t="str">
        <f t="shared" si="29"/>
        <v/>
      </c>
      <c r="FA733" s="1354"/>
      <c r="FB733" s="1354"/>
      <c r="FC733" s="1354"/>
      <c r="FD733" s="1355"/>
      <c r="FE733" s="1353" t="str">
        <f t="shared" si="30"/>
        <v/>
      </c>
      <c r="FF733" s="1354"/>
      <c r="FG733" s="1354"/>
      <c r="FH733" s="1354"/>
      <c r="FI733" s="1355"/>
      <c r="FJ733" s="1353" t="str">
        <f t="shared" si="31"/>
        <v/>
      </c>
      <c r="FK733" s="1354"/>
      <c r="FL733" s="1354"/>
      <c r="FM733" s="1354"/>
      <c r="FN733" s="1355"/>
      <c r="FO733" s="1353" t="str">
        <f t="shared" si="32"/>
        <v/>
      </c>
      <c r="FP733" s="1354"/>
      <c r="FQ733" s="1354"/>
      <c r="FR733" s="1354"/>
      <c r="FS733" s="1355"/>
      <c r="FT733" s="1353" t="str">
        <f t="shared" si="33"/>
        <v/>
      </c>
      <c r="FU733" s="1354"/>
      <c r="FV733" s="1354"/>
      <c r="FW733" s="1354"/>
      <c r="FX733" s="1355"/>
      <c r="FY733" s="1353" t="str">
        <f t="shared" si="34"/>
        <v/>
      </c>
      <c r="FZ733" s="1354"/>
      <c r="GA733" s="1354"/>
      <c r="GB733" s="1354"/>
      <c r="GC733" s="1355"/>
    </row>
    <row r="734" spans="1:185" ht="12.95" customHeight="1">
      <c r="B734" s="1357"/>
      <c r="C734" s="1358"/>
      <c r="D734" s="1358"/>
      <c r="E734" s="1358"/>
      <c r="F734" s="1359"/>
      <c r="G734" s="1366"/>
      <c r="H734" s="1367"/>
      <c r="I734" s="1367"/>
      <c r="J734" s="1368"/>
      <c r="K734" s="1370"/>
      <c r="L734" s="1371"/>
      <c r="M734" s="1371"/>
      <c r="N734" s="1372"/>
      <c r="O734" s="1490"/>
      <c r="P734" s="1491"/>
      <c r="Q734" s="1491"/>
      <c r="R734" s="1491"/>
      <c r="S734" s="1492"/>
      <c r="T734" s="1490"/>
      <c r="U734" s="1491"/>
      <c r="V734" s="1491"/>
      <c r="W734" s="1492"/>
      <c r="X734" s="1360">
        <f t="shared" si="8"/>
        <v>0</v>
      </c>
      <c r="Y734" s="1361"/>
      <c r="Z734" s="1361"/>
      <c r="AA734" s="1361"/>
      <c r="AB734" s="1362"/>
      <c r="AC734" s="1630"/>
      <c r="AD734" s="1631"/>
      <c r="AE734" s="1631"/>
      <c r="AF734" s="1631"/>
      <c r="AG734" s="1632"/>
      <c r="AH734" s="1363" t="str">
        <f t="shared" si="35"/>
        <v/>
      </c>
      <c r="AI734" s="1364"/>
      <c r="AJ734" s="1365"/>
      <c r="AK734" s="1357" t="s">
        <v>591</v>
      </c>
      <c r="AL734" s="1358"/>
      <c r="AM734" s="1358"/>
      <c r="AN734" s="1358"/>
      <c r="AO734" s="1359"/>
      <c r="AP734" s="3"/>
      <c r="AQ734" s="3"/>
      <c r="AR734" s="3"/>
      <c r="AS734" s="3"/>
      <c r="AY734" s="1087"/>
      <c r="AZ734" s="118" t="str">
        <f>IF($G734=0,"N/A",VLOOKUP($T$189,TC_Rent,(MATCH($B734,bedrooms,FALSE)),FALSE))</f>
        <v>N/A</v>
      </c>
      <c r="BA734" s="3"/>
      <c r="BB734" s="3"/>
      <c r="BC734" s="3"/>
      <c r="BD734" s="3"/>
      <c r="BE734" s="205"/>
      <c r="BF734" s="295">
        <f t="shared" si="9"/>
        <v>0</v>
      </c>
      <c r="BG734" s="298">
        <f t="shared" si="10"/>
        <v>0</v>
      </c>
      <c r="BH734" s="299" t="str">
        <f t="shared" si="11"/>
        <v/>
      </c>
      <c r="BI734" s="3"/>
      <c r="BJ734" s="3"/>
      <c r="BK734" s="3"/>
      <c r="BL734" s="3"/>
      <c r="BM734" s="3"/>
      <c r="BN734" s="3"/>
      <c r="BS734" s="295">
        <f t="shared" si="12"/>
        <v>0</v>
      </c>
      <c r="BT734" s="298">
        <f t="shared" si="13"/>
        <v>0</v>
      </c>
      <c r="BU734" s="299" t="str">
        <f t="shared" si="14"/>
        <v/>
      </c>
      <c r="BV734" s="3"/>
      <c r="BW734" s="3"/>
      <c r="BX734" s="3"/>
      <c r="BY734" s="3"/>
      <c r="BZ734" s="3"/>
      <c r="CA734" s="3"/>
      <c r="CB734" s="3"/>
      <c r="CC734" s="3"/>
      <c r="CE734" s="3"/>
      <c r="CF734" s="3"/>
      <c r="CG734" s="1353">
        <f t="shared" si="36"/>
        <v>0</v>
      </c>
      <c r="CH734" s="1355"/>
      <c r="CI734" s="1337">
        <f t="shared" si="37"/>
        <v>0</v>
      </c>
      <c r="CJ734" s="1339"/>
      <c r="CK734" s="1353">
        <f t="shared" si="15"/>
        <v>0</v>
      </c>
      <c r="CL734" s="1355"/>
      <c r="CM734" s="1337">
        <f t="shared" si="16"/>
        <v>0</v>
      </c>
      <c r="CN734" s="1339"/>
      <c r="CO734" s="3"/>
      <c r="CP734" s="1334">
        <f t="shared" si="17"/>
        <v>0</v>
      </c>
      <c r="CQ734" s="1335"/>
      <c r="CR734" s="1335"/>
      <c r="CS734" s="1335"/>
      <c r="CT734" s="1336"/>
      <c r="CU734" s="1356">
        <f t="shared" si="18"/>
        <v>0</v>
      </c>
      <c r="CV734" s="1356"/>
      <c r="CW734" s="1356"/>
      <c r="CX734" s="1356"/>
      <c r="CY734" s="1356"/>
      <c r="CZ734" s="1356">
        <f t="shared" si="19"/>
        <v>0</v>
      </c>
      <c r="DA734" s="1356"/>
      <c r="DB734" s="1356"/>
      <c r="DC734" s="1356"/>
      <c r="DD734" s="1356"/>
      <c r="DE734" s="1356">
        <f t="shared" si="20"/>
        <v>0</v>
      </c>
      <c r="DF734" s="1356"/>
      <c r="DG734" s="1356"/>
      <c r="DH734" s="1356"/>
      <c r="DI734" s="1356"/>
      <c r="DJ734" s="1356">
        <f t="shared" si="21"/>
        <v>0</v>
      </c>
      <c r="DK734" s="1356"/>
      <c r="DL734" s="1356"/>
      <c r="DM734" s="1356"/>
      <c r="DN734" s="1356"/>
      <c r="DO734" s="1356">
        <f t="shared" si="22"/>
        <v>0</v>
      </c>
      <c r="DP734" s="1356"/>
      <c r="DQ734" s="1356"/>
      <c r="DR734" s="1356"/>
      <c r="DS734" s="1356"/>
      <c r="DT734" s="6"/>
      <c r="DU734" s="1373">
        <f t="shared" si="23"/>
        <v>0</v>
      </c>
      <c r="DV734" s="1373"/>
      <c r="DW734" s="1373"/>
      <c r="DX734" s="1373"/>
      <c r="DY734" s="1373"/>
      <c r="DZ734" s="1373">
        <f t="shared" si="24"/>
        <v>0</v>
      </c>
      <c r="EA734" s="1373"/>
      <c r="EB734" s="1373"/>
      <c r="EC734" s="1373"/>
      <c r="ED734" s="1373"/>
      <c r="EE734" s="1373">
        <f t="shared" si="25"/>
        <v>0</v>
      </c>
      <c r="EF734" s="1373"/>
      <c r="EG734" s="1373"/>
      <c r="EH734" s="1373"/>
      <c r="EI734" s="1373"/>
      <c r="EJ734" s="1373">
        <f t="shared" si="26"/>
        <v>0</v>
      </c>
      <c r="EK734" s="1373"/>
      <c r="EL734" s="1373"/>
      <c r="EM734" s="1373"/>
      <c r="EN734" s="1373"/>
      <c r="EO734" s="1373">
        <f t="shared" si="27"/>
        <v>0</v>
      </c>
      <c r="EP734" s="1373"/>
      <c r="EQ734" s="1373"/>
      <c r="ER734" s="1373"/>
      <c r="ES734" s="1373"/>
      <c r="ET734" s="1373">
        <f t="shared" si="28"/>
        <v>0</v>
      </c>
      <c r="EU734" s="1373"/>
      <c r="EV734" s="1373"/>
      <c r="EW734" s="1373"/>
      <c r="EX734" s="1373"/>
      <c r="EZ734" s="1353" t="str">
        <f t="shared" si="29"/>
        <v/>
      </c>
      <c r="FA734" s="1354"/>
      <c r="FB734" s="1354"/>
      <c r="FC734" s="1354"/>
      <c r="FD734" s="1355"/>
      <c r="FE734" s="1353" t="str">
        <f t="shared" si="30"/>
        <v/>
      </c>
      <c r="FF734" s="1354"/>
      <c r="FG734" s="1354"/>
      <c r="FH734" s="1354"/>
      <c r="FI734" s="1355"/>
      <c r="FJ734" s="1353" t="str">
        <f t="shared" si="31"/>
        <v/>
      </c>
      <c r="FK734" s="1354"/>
      <c r="FL734" s="1354"/>
      <c r="FM734" s="1354"/>
      <c r="FN734" s="1355"/>
      <c r="FO734" s="1353" t="str">
        <f t="shared" si="32"/>
        <v/>
      </c>
      <c r="FP734" s="1354"/>
      <c r="FQ734" s="1354"/>
      <c r="FR734" s="1354"/>
      <c r="FS734" s="1355"/>
      <c r="FT734" s="1353" t="str">
        <f t="shared" si="33"/>
        <v/>
      </c>
      <c r="FU734" s="1354"/>
      <c r="FV734" s="1354"/>
      <c r="FW734" s="1354"/>
      <c r="FX734" s="1355"/>
      <c r="FY734" s="1353" t="str">
        <f t="shared" si="34"/>
        <v/>
      </c>
      <c r="FZ734" s="1354"/>
      <c r="GA734" s="1354"/>
      <c r="GB734" s="1354"/>
      <c r="GC734" s="1355"/>
    </row>
    <row r="735" spans="1:185" ht="12.95" customHeight="1">
      <c r="B735" s="1357"/>
      <c r="C735" s="1358"/>
      <c r="D735" s="1358"/>
      <c r="E735" s="1358"/>
      <c r="F735" s="1359"/>
      <c r="G735" s="1366"/>
      <c r="H735" s="1367"/>
      <c r="I735" s="1367"/>
      <c r="J735" s="1368"/>
      <c r="K735" s="1370"/>
      <c r="L735" s="1371"/>
      <c r="M735" s="1371"/>
      <c r="N735" s="1372"/>
      <c r="O735" s="1490"/>
      <c r="P735" s="1491"/>
      <c r="Q735" s="1491"/>
      <c r="R735" s="1491"/>
      <c r="S735" s="1492"/>
      <c r="T735" s="1490"/>
      <c r="U735" s="1491"/>
      <c r="V735" s="1491"/>
      <c r="W735" s="1492"/>
      <c r="X735" s="1360">
        <f t="shared" si="8"/>
        <v>0</v>
      </c>
      <c r="Y735" s="1361"/>
      <c r="Z735" s="1361"/>
      <c r="AA735" s="1361"/>
      <c r="AB735" s="1362"/>
      <c r="AC735" s="1630"/>
      <c r="AD735" s="1631"/>
      <c r="AE735" s="1631"/>
      <c r="AF735" s="1631"/>
      <c r="AG735" s="1632"/>
      <c r="AH735" s="1363" t="str">
        <f t="shared" si="35"/>
        <v/>
      </c>
      <c r="AI735" s="1364"/>
      <c r="AJ735" s="1365"/>
      <c r="AK735" s="1357" t="s">
        <v>591</v>
      </c>
      <c r="AL735" s="1358"/>
      <c r="AM735" s="1358"/>
      <c r="AN735" s="1358"/>
      <c r="AO735" s="1359"/>
      <c r="AP735" s="3"/>
      <c r="AQ735" s="3"/>
      <c r="AR735" s="3"/>
      <c r="AS735" s="3"/>
      <c r="AY735" s="1087"/>
      <c r="AZ735" s="118" t="str">
        <f>IF($G735=0,"N/A",VLOOKUP($T$189,TC_Rent,(MATCH($B735,bedrooms,FALSE)),FALSE))</f>
        <v>N/A</v>
      </c>
      <c r="BA735" s="3"/>
      <c r="BB735" s="3"/>
      <c r="BC735" s="3"/>
      <c r="BD735" s="3"/>
      <c r="BE735" s="205"/>
      <c r="BF735" s="295">
        <f t="shared" si="9"/>
        <v>0</v>
      </c>
      <c r="BG735" s="298">
        <f t="shared" si="10"/>
        <v>0</v>
      </c>
      <c r="BH735" s="299" t="str">
        <f t="shared" si="11"/>
        <v/>
      </c>
      <c r="BI735" s="3"/>
      <c r="BJ735" s="3"/>
      <c r="BK735" s="3"/>
      <c r="BL735" s="3"/>
      <c r="BM735" s="3"/>
      <c r="BN735" s="3"/>
      <c r="BS735" s="295">
        <f t="shared" si="12"/>
        <v>0</v>
      </c>
      <c r="BT735" s="298">
        <f t="shared" si="13"/>
        <v>0</v>
      </c>
      <c r="BU735" s="299" t="str">
        <f t="shared" si="14"/>
        <v/>
      </c>
      <c r="BV735" s="3"/>
      <c r="BW735" s="3"/>
      <c r="BX735" s="3"/>
      <c r="BY735" s="3"/>
      <c r="BZ735" s="3"/>
      <c r="CA735" s="3"/>
      <c r="CB735" s="3"/>
      <c r="CC735" s="3"/>
      <c r="CE735" s="3"/>
      <c r="CF735" s="3"/>
      <c r="CG735" s="1353">
        <f t="shared" si="36"/>
        <v>0</v>
      </c>
      <c r="CH735" s="1355"/>
      <c r="CI735" s="1337">
        <f t="shared" si="37"/>
        <v>0</v>
      </c>
      <c r="CJ735" s="1339"/>
      <c r="CK735" s="1353">
        <f t="shared" si="15"/>
        <v>0</v>
      </c>
      <c r="CL735" s="1355"/>
      <c r="CM735" s="1337">
        <f t="shared" si="16"/>
        <v>0</v>
      </c>
      <c r="CN735" s="1339"/>
      <c r="CO735" s="3"/>
      <c r="CP735" s="1334">
        <f t="shared" si="17"/>
        <v>0</v>
      </c>
      <c r="CQ735" s="1335"/>
      <c r="CR735" s="1335"/>
      <c r="CS735" s="1335"/>
      <c r="CT735" s="1336"/>
      <c r="CU735" s="1356">
        <f t="shared" si="18"/>
        <v>0</v>
      </c>
      <c r="CV735" s="1356"/>
      <c r="CW735" s="1356"/>
      <c r="CX735" s="1356"/>
      <c r="CY735" s="1356"/>
      <c r="CZ735" s="1356">
        <f t="shared" si="19"/>
        <v>0</v>
      </c>
      <c r="DA735" s="1356"/>
      <c r="DB735" s="1356"/>
      <c r="DC735" s="1356"/>
      <c r="DD735" s="1356"/>
      <c r="DE735" s="1356">
        <f t="shared" si="20"/>
        <v>0</v>
      </c>
      <c r="DF735" s="1356"/>
      <c r="DG735" s="1356"/>
      <c r="DH735" s="1356"/>
      <c r="DI735" s="1356"/>
      <c r="DJ735" s="1356">
        <f t="shared" si="21"/>
        <v>0</v>
      </c>
      <c r="DK735" s="1356"/>
      <c r="DL735" s="1356"/>
      <c r="DM735" s="1356"/>
      <c r="DN735" s="1356"/>
      <c r="DO735" s="1356">
        <f t="shared" si="22"/>
        <v>0</v>
      </c>
      <c r="DP735" s="1356"/>
      <c r="DQ735" s="1356"/>
      <c r="DR735" s="1356"/>
      <c r="DS735" s="1356"/>
      <c r="DT735" s="6"/>
      <c r="DU735" s="1373">
        <f t="shared" si="23"/>
        <v>0</v>
      </c>
      <c r="DV735" s="1373"/>
      <c r="DW735" s="1373"/>
      <c r="DX735" s="1373"/>
      <c r="DY735" s="1373"/>
      <c r="DZ735" s="1373">
        <f t="shared" si="24"/>
        <v>0</v>
      </c>
      <c r="EA735" s="1373"/>
      <c r="EB735" s="1373"/>
      <c r="EC735" s="1373"/>
      <c r="ED735" s="1373"/>
      <c r="EE735" s="1373">
        <f t="shared" si="25"/>
        <v>0</v>
      </c>
      <c r="EF735" s="1373"/>
      <c r="EG735" s="1373"/>
      <c r="EH735" s="1373"/>
      <c r="EI735" s="1373"/>
      <c r="EJ735" s="1373">
        <f t="shared" si="26"/>
        <v>0</v>
      </c>
      <c r="EK735" s="1373"/>
      <c r="EL735" s="1373"/>
      <c r="EM735" s="1373"/>
      <c r="EN735" s="1373"/>
      <c r="EO735" s="1373">
        <f t="shared" si="27"/>
        <v>0</v>
      </c>
      <c r="EP735" s="1373"/>
      <c r="EQ735" s="1373"/>
      <c r="ER735" s="1373"/>
      <c r="ES735" s="1373"/>
      <c r="ET735" s="1373">
        <f t="shared" si="28"/>
        <v>0</v>
      </c>
      <c r="EU735" s="1373"/>
      <c r="EV735" s="1373"/>
      <c r="EW735" s="1373"/>
      <c r="EX735" s="1373"/>
      <c r="EZ735" s="1353" t="str">
        <f t="shared" si="29"/>
        <v/>
      </c>
      <c r="FA735" s="1354"/>
      <c r="FB735" s="1354"/>
      <c r="FC735" s="1354"/>
      <c r="FD735" s="1355"/>
      <c r="FE735" s="1353" t="str">
        <f t="shared" si="30"/>
        <v/>
      </c>
      <c r="FF735" s="1354"/>
      <c r="FG735" s="1354"/>
      <c r="FH735" s="1354"/>
      <c r="FI735" s="1355"/>
      <c r="FJ735" s="1353" t="str">
        <f t="shared" si="31"/>
        <v/>
      </c>
      <c r="FK735" s="1354"/>
      <c r="FL735" s="1354"/>
      <c r="FM735" s="1354"/>
      <c r="FN735" s="1355"/>
      <c r="FO735" s="1353" t="str">
        <f t="shared" si="32"/>
        <v/>
      </c>
      <c r="FP735" s="1354"/>
      <c r="FQ735" s="1354"/>
      <c r="FR735" s="1354"/>
      <c r="FS735" s="1355"/>
      <c r="FT735" s="1353" t="str">
        <f t="shared" si="33"/>
        <v/>
      </c>
      <c r="FU735" s="1354"/>
      <c r="FV735" s="1354"/>
      <c r="FW735" s="1354"/>
      <c r="FX735" s="1355"/>
      <c r="FY735" s="1353" t="str">
        <f t="shared" si="34"/>
        <v/>
      </c>
      <c r="FZ735" s="1354"/>
      <c r="GA735" s="1354"/>
      <c r="GB735" s="1354"/>
      <c r="GC735" s="1355"/>
    </row>
    <row r="736" spans="1:185" ht="12.95" customHeight="1">
      <c r="B736" s="1357"/>
      <c r="C736" s="1358"/>
      <c r="D736" s="1358"/>
      <c r="E736" s="1358"/>
      <c r="F736" s="1359"/>
      <c r="G736" s="1366"/>
      <c r="H736" s="1367"/>
      <c r="I736" s="1367"/>
      <c r="J736" s="1368"/>
      <c r="K736" s="1370"/>
      <c r="L736" s="1371"/>
      <c r="M736" s="1371"/>
      <c r="N736" s="1372"/>
      <c r="O736" s="1490"/>
      <c r="P736" s="1491"/>
      <c r="Q736" s="1491"/>
      <c r="R736" s="1491"/>
      <c r="S736" s="1492"/>
      <c r="T736" s="1490"/>
      <c r="U736" s="1491"/>
      <c r="V736" s="1491"/>
      <c r="W736" s="1492"/>
      <c r="X736" s="1360">
        <f t="shared" si="8"/>
        <v>0</v>
      </c>
      <c r="Y736" s="1361"/>
      <c r="Z736" s="1361"/>
      <c r="AA736" s="1361"/>
      <c r="AB736" s="1362"/>
      <c r="AC736" s="1630"/>
      <c r="AD736" s="1631"/>
      <c r="AE736" s="1631"/>
      <c r="AF736" s="1631"/>
      <c r="AG736" s="1632"/>
      <c r="AH736" s="1363" t="str">
        <f t="shared" si="35"/>
        <v/>
      </c>
      <c r="AI736" s="1364"/>
      <c r="AJ736" s="1365"/>
      <c r="AK736" s="1357" t="s">
        <v>591</v>
      </c>
      <c r="AL736" s="1358"/>
      <c r="AM736" s="1358"/>
      <c r="AN736" s="1358"/>
      <c r="AO736" s="1359"/>
      <c r="AP736" s="3"/>
      <c r="AQ736" s="3"/>
      <c r="AR736" s="3"/>
      <c r="AS736" s="3"/>
      <c r="AY736" s="1087"/>
      <c r="AZ736" s="118" t="str">
        <f>IF($G736=0,"N/A",VLOOKUP($T$189,TC_Rent,(MATCH($B736,bedrooms,FALSE)),FALSE))</f>
        <v>N/A</v>
      </c>
      <c r="BA736" s="3"/>
      <c r="BB736" s="3"/>
      <c r="BC736" s="3"/>
      <c r="BD736" s="3"/>
      <c r="BE736" s="205"/>
      <c r="BF736" s="295">
        <f t="shared" si="9"/>
        <v>0</v>
      </c>
      <c r="BG736" s="298">
        <f t="shared" si="10"/>
        <v>0</v>
      </c>
      <c r="BH736" s="299" t="str">
        <f t="shared" si="11"/>
        <v/>
      </c>
      <c r="BI736" s="3"/>
      <c r="BJ736" s="3"/>
      <c r="BK736" s="3"/>
      <c r="BL736" s="3"/>
      <c r="BM736" s="3"/>
      <c r="BN736" s="3"/>
      <c r="BS736" s="295">
        <f t="shared" si="12"/>
        <v>0</v>
      </c>
      <c r="BT736" s="298">
        <f t="shared" si="13"/>
        <v>0</v>
      </c>
      <c r="BU736" s="299" t="str">
        <f t="shared" si="14"/>
        <v/>
      </c>
      <c r="BV736" s="3"/>
      <c r="BW736" s="3"/>
      <c r="BX736" s="3"/>
      <c r="BY736" s="3"/>
      <c r="BZ736" s="3"/>
      <c r="CA736" s="3"/>
      <c r="CB736" s="3"/>
      <c r="CC736" s="3"/>
      <c r="CE736" s="3"/>
      <c r="CF736" s="3"/>
      <c r="CG736" s="1353">
        <f t="shared" si="36"/>
        <v>0</v>
      </c>
      <c r="CH736" s="1355"/>
      <c r="CI736" s="1337">
        <f t="shared" si="37"/>
        <v>0</v>
      </c>
      <c r="CJ736" s="1339"/>
      <c r="CK736" s="1353">
        <f t="shared" si="15"/>
        <v>0</v>
      </c>
      <c r="CL736" s="1355"/>
      <c r="CM736" s="1337">
        <f t="shared" si="16"/>
        <v>0</v>
      </c>
      <c r="CN736" s="1339"/>
      <c r="CO736" s="3"/>
      <c r="CP736" s="1334">
        <f t="shared" si="17"/>
        <v>0</v>
      </c>
      <c r="CQ736" s="1335"/>
      <c r="CR736" s="1335"/>
      <c r="CS736" s="1335"/>
      <c r="CT736" s="1336"/>
      <c r="CU736" s="1356">
        <f t="shared" si="18"/>
        <v>0</v>
      </c>
      <c r="CV736" s="1356"/>
      <c r="CW736" s="1356"/>
      <c r="CX736" s="1356"/>
      <c r="CY736" s="1356"/>
      <c r="CZ736" s="1356">
        <f t="shared" si="19"/>
        <v>0</v>
      </c>
      <c r="DA736" s="1356"/>
      <c r="DB736" s="1356"/>
      <c r="DC736" s="1356"/>
      <c r="DD736" s="1356"/>
      <c r="DE736" s="1356">
        <f t="shared" si="20"/>
        <v>0</v>
      </c>
      <c r="DF736" s="1356"/>
      <c r="DG736" s="1356"/>
      <c r="DH736" s="1356"/>
      <c r="DI736" s="1356"/>
      <c r="DJ736" s="1356">
        <f t="shared" si="21"/>
        <v>0</v>
      </c>
      <c r="DK736" s="1356"/>
      <c r="DL736" s="1356"/>
      <c r="DM736" s="1356"/>
      <c r="DN736" s="1356"/>
      <c r="DO736" s="1356">
        <f t="shared" si="22"/>
        <v>0</v>
      </c>
      <c r="DP736" s="1356"/>
      <c r="DQ736" s="1356"/>
      <c r="DR736" s="1356"/>
      <c r="DS736" s="1356"/>
      <c r="DT736" s="6"/>
      <c r="DU736" s="1373">
        <f t="shared" si="23"/>
        <v>0</v>
      </c>
      <c r="DV736" s="1373"/>
      <c r="DW736" s="1373"/>
      <c r="DX736" s="1373"/>
      <c r="DY736" s="1373"/>
      <c r="DZ736" s="1373">
        <f t="shared" si="24"/>
        <v>0</v>
      </c>
      <c r="EA736" s="1373"/>
      <c r="EB736" s="1373"/>
      <c r="EC736" s="1373"/>
      <c r="ED736" s="1373"/>
      <c r="EE736" s="1373">
        <f t="shared" si="25"/>
        <v>0</v>
      </c>
      <c r="EF736" s="1373"/>
      <c r="EG736" s="1373"/>
      <c r="EH736" s="1373"/>
      <c r="EI736" s="1373"/>
      <c r="EJ736" s="1373">
        <f t="shared" si="26"/>
        <v>0</v>
      </c>
      <c r="EK736" s="1373"/>
      <c r="EL736" s="1373"/>
      <c r="EM736" s="1373"/>
      <c r="EN736" s="1373"/>
      <c r="EO736" s="1373">
        <f t="shared" si="27"/>
        <v>0</v>
      </c>
      <c r="EP736" s="1373"/>
      <c r="EQ736" s="1373"/>
      <c r="ER736" s="1373"/>
      <c r="ES736" s="1373"/>
      <c r="ET736" s="1373">
        <f t="shared" si="28"/>
        <v>0</v>
      </c>
      <c r="EU736" s="1373"/>
      <c r="EV736" s="1373"/>
      <c r="EW736" s="1373"/>
      <c r="EX736" s="1373"/>
      <c r="EZ736" s="1353" t="str">
        <f t="shared" si="29"/>
        <v/>
      </c>
      <c r="FA736" s="1354"/>
      <c r="FB736" s="1354"/>
      <c r="FC736" s="1354"/>
      <c r="FD736" s="1355"/>
      <c r="FE736" s="1353" t="str">
        <f t="shared" si="30"/>
        <v/>
      </c>
      <c r="FF736" s="1354"/>
      <c r="FG736" s="1354"/>
      <c r="FH736" s="1354"/>
      <c r="FI736" s="1355"/>
      <c r="FJ736" s="1353" t="str">
        <f t="shared" si="31"/>
        <v/>
      </c>
      <c r="FK736" s="1354"/>
      <c r="FL736" s="1354"/>
      <c r="FM736" s="1354"/>
      <c r="FN736" s="1355"/>
      <c r="FO736" s="1353" t="str">
        <f t="shared" si="32"/>
        <v/>
      </c>
      <c r="FP736" s="1354"/>
      <c r="FQ736" s="1354"/>
      <c r="FR736" s="1354"/>
      <c r="FS736" s="1355"/>
      <c r="FT736" s="1353" t="str">
        <f t="shared" si="33"/>
        <v/>
      </c>
      <c r="FU736" s="1354"/>
      <c r="FV736" s="1354"/>
      <c r="FW736" s="1354"/>
      <c r="FX736" s="1355"/>
      <c r="FY736" s="1353" t="str">
        <f t="shared" si="34"/>
        <v/>
      </c>
      <c r="FZ736" s="1354"/>
      <c r="GA736" s="1354"/>
      <c r="GB736" s="1354"/>
      <c r="GC736" s="1355"/>
    </row>
    <row r="737" spans="1:185" ht="12.95" customHeight="1">
      <c r="B737" s="1357"/>
      <c r="C737" s="1358"/>
      <c r="D737" s="1358"/>
      <c r="E737" s="1358"/>
      <c r="F737" s="1359"/>
      <c r="G737" s="1366"/>
      <c r="H737" s="1367"/>
      <c r="I737" s="1367"/>
      <c r="J737" s="1368"/>
      <c r="K737" s="1370"/>
      <c r="L737" s="1371"/>
      <c r="M737" s="1371"/>
      <c r="N737" s="1372"/>
      <c r="O737" s="1490"/>
      <c r="P737" s="1491"/>
      <c r="Q737" s="1491"/>
      <c r="R737" s="1491"/>
      <c r="S737" s="1492"/>
      <c r="T737" s="1490"/>
      <c r="U737" s="1491"/>
      <c r="V737" s="1491"/>
      <c r="W737" s="1492"/>
      <c r="X737" s="1360">
        <f t="shared" si="8"/>
        <v>0</v>
      </c>
      <c r="Y737" s="1361"/>
      <c r="Z737" s="1361"/>
      <c r="AA737" s="1361"/>
      <c r="AB737" s="1362"/>
      <c r="AC737" s="1630"/>
      <c r="AD737" s="1631"/>
      <c r="AE737" s="1631"/>
      <c r="AF737" s="1631"/>
      <c r="AG737" s="1632"/>
      <c r="AH737" s="1363" t="str">
        <f t="shared" si="35"/>
        <v/>
      </c>
      <c r="AI737" s="1364"/>
      <c r="AJ737" s="1365"/>
      <c r="AK737" s="1357" t="s">
        <v>591</v>
      </c>
      <c r="AL737" s="1358"/>
      <c r="AM737" s="1358"/>
      <c r="AN737" s="1358"/>
      <c r="AO737" s="1359"/>
      <c r="AP737" s="3"/>
      <c r="AQ737" s="3"/>
      <c r="AR737" s="3"/>
      <c r="AS737" s="3"/>
      <c r="AY737" s="1087"/>
      <c r="AZ737" s="118" t="str">
        <f>IF($G737=0,"N/A",VLOOKUP($T$189,TC_Rent,(MATCH($B737,bedrooms,FALSE)),FALSE))</f>
        <v>N/A</v>
      </c>
      <c r="BA737" s="3"/>
      <c r="BB737" s="3"/>
      <c r="BC737" s="3"/>
      <c r="BD737" s="3"/>
      <c r="BE737" s="205"/>
      <c r="BF737" s="295">
        <f t="shared" si="9"/>
        <v>0</v>
      </c>
      <c r="BG737" s="298">
        <f t="shared" si="10"/>
        <v>0</v>
      </c>
      <c r="BH737" s="299" t="str">
        <f t="shared" si="11"/>
        <v/>
      </c>
      <c r="BI737" s="3"/>
      <c r="BJ737" s="3"/>
      <c r="BK737" s="3"/>
      <c r="BL737" s="3"/>
      <c r="BM737" s="3"/>
      <c r="BN737" s="3"/>
      <c r="BS737" s="295">
        <f t="shared" si="12"/>
        <v>0</v>
      </c>
      <c r="BT737" s="298">
        <f t="shared" si="13"/>
        <v>0</v>
      </c>
      <c r="BU737" s="299" t="str">
        <f t="shared" si="14"/>
        <v/>
      </c>
      <c r="BV737" s="3"/>
      <c r="BW737" s="3"/>
      <c r="BX737" s="3"/>
      <c r="BY737" s="3"/>
      <c r="BZ737" s="3"/>
      <c r="CA737" s="3"/>
      <c r="CB737" s="3"/>
      <c r="CC737" s="3"/>
      <c r="CE737" s="3"/>
      <c r="CF737" s="3"/>
      <c r="CG737" s="1353">
        <f t="shared" si="36"/>
        <v>0</v>
      </c>
      <c r="CH737" s="1355"/>
      <c r="CI737" s="1337">
        <f t="shared" si="37"/>
        <v>0</v>
      </c>
      <c r="CJ737" s="1339"/>
      <c r="CK737" s="1353">
        <f t="shared" si="15"/>
        <v>0</v>
      </c>
      <c r="CL737" s="1355"/>
      <c r="CM737" s="1337">
        <f t="shared" si="16"/>
        <v>0</v>
      </c>
      <c r="CN737" s="1339"/>
      <c r="CO737" s="3"/>
      <c r="CP737" s="1334">
        <f t="shared" si="17"/>
        <v>0</v>
      </c>
      <c r="CQ737" s="1335"/>
      <c r="CR737" s="1335"/>
      <c r="CS737" s="1335"/>
      <c r="CT737" s="1336"/>
      <c r="CU737" s="1356">
        <f t="shared" si="18"/>
        <v>0</v>
      </c>
      <c r="CV737" s="1356"/>
      <c r="CW737" s="1356"/>
      <c r="CX737" s="1356"/>
      <c r="CY737" s="1356"/>
      <c r="CZ737" s="1356">
        <f t="shared" si="19"/>
        <v>0</v>
      </c>
      <c r="DA737" s="1356"/>
      <c r="DB737" s="1356"/>
      <c r="DC737" s="1356"/>
      <c r="DD737" s="1356"/>
      <c r="DE737" s="1356">
        <f t="shared" si="20"/>
        <v>0</v>
      </c>
      <c r="DF737" s="1356"/>
      <c r="DG737" s="1356"/>
      <c r="DH737" s="1356"/>
      <c r="DI737" s="1356"/>
      <c r="DJ737" s="1356">
        <f t="shared" si="21"/>
        <v>0</v>
      </c>
      <c r="DK737" s="1356"/>
      <c r="DL737" s="1356"/>
      <c r="DM737" s="1356"/>
      <c r="DN737" s="1356"/>
      <c r="DO737" s="1356">
        <f t="shared" si="22"/>
        <v>0</v>
      </c>
      <c r="DP737" s="1356"/>
      <c r="DQ737" s="1356"/>
      <c r="DR737" s="1356"/>
      <c r="DS737" s="1356"/>
      <c r="DT737" s="6"/>
      <c r="DU737" s="1373">
        <f t="shared" si="23"/>
        <v>0</v>
      </c>
      <c r="DV737" s="1373"/>
      <c r="DW737" s="1373"/>
      <c r="DX737" s="1373"/>
      <c r="DY737" s="1373"/>
      <c r="DZ737" s="1373">
        <f t="shared" si="24"/>
        <v>0</v>
      </c>
      <c r="EA737" s="1373"/>
      <c r="EB737" s="1373"/>
      <c r="EC737" s="1373"/>
      <c r="ED737" s="1373"/>
      <c r="EE737" s="1373">
        <f t="shared" si="25"/>
        <v>0</v>
      </c>
      <c r="EF737" s="1373"/>
      <c r="EG737" s="1373"/>
      <c r="EH737" s="1373"/>
      <c r="EI737" s="1373"/>
      <c r="EJ737" s="1373">
        <f t="shared" si="26"/>
        <v>0</v>
      </c>
      <c r="EK737" s="1373"/>
      <c r="EL737" s="1373"/>
      <c r="EM737" s="1373"/>
      <c r="EN737" s="1373"/>
      <c r="EO737" s="1373">
        <f t="shared" si="27"/>
        <v>0</v>
      </c>
      <c r="EP737" s="1373"/>
      <c r="EQ737" s="1373"/>
      <c r="ER737" s="1373"/>
      <c r="ES737" s="1373"/>
      <c r="ET737" s="1373">
        <f t="shared" si="28"/>
        <v>0</v>
      </c>
      <c r="EU737" s="1373"/>
      <c r="EV737" s="1373"/>
      <c r="EW737" s="1373"/>
      <c r="EX737" s="1373"/>
      <c r="EZ737" s="1353" t="str">
        <f t="shared" si="29"/>
        <v/>
      </c>
      <c r="FA737" s="1354"/>
      <c r="FB737" s="1354"/>
      <c r="FC737" s="1354"/>
      <c r="FD737" s="1355"/>
      <c r="FE737" s="1353" t="str">
        <f t="shared" si="30"/>
        <v/>
      </c>
      <c r="FF737" s="1354"/>
      <c r="FG737" s="1354"/>
      <c r="FH737" s="1354"/>
      <c r="FI737" s="1355"/>
      <c r="FJ737" s="1353" t="str">
        <f t="shared" si="31"/>
        <v/>
      </c>
      <c r="FK737" s="1354"/>
      <c r="FL737" s="1354"/>
      <c r="FM737" s="1354"/>
      <c r="FN737" s="1355"/>
      <c r="FO737" s="1353" t="str">
        <f t="shared" si="32"/>
        <v/>
      </c>
      <c r="FP737" s="1354"/>
      <c r="FQ737" s="1354"/>
      <c r="FR737" s="1354"/>
      <c r="FS737" s="1355"/>
      <c r="FT737" s="1353" t="str">
        <f t="shared" si="33"/>
        <v/>
      </c>
      <c r="FU737" s="1354"/>
      <c r="FV737" s="1354"/>
      <c r="FW737" s="1354"/>
      <c r="FX737" s="1355"/>
      <c r="FY737" s="1353" t="str">
        <f t="shared" si="34"/>
        <v/>
      </c>
      <c r="FZ737" s="1354"/>
      <c r="GA737" s="1354"/>
      <c r="GB737" s="1354"/>
      <c r="GC737" s="1355"/>
    </row>
    <row r="738" spans="1:185" ht="12.95" customHeight="1">
      <c r="B738" s="1357"/>
      <c r="C738" s="1358"/>
      <c r="D738" s="1358"/>
      <c r="E738" s="1358"/>
      <c r="F738" s="1359"/>
      <c r="G738" s="1366"/>
      <c r="H738" s="1367"/>
      <c r="I738" s="1367"/>
      <c r="J738" s="1368"/>
      <c r="K738" s="1370"/>
      <c r="L738" s="1371"/>
      <c r="M738" s="1371"/>
      <c r="N738" s="1372"/>
      <c r="O738" s="1490"/>
      <c r="P738" s="1491"/>
      <c r="Q738" s="1491"/>
      <c r="R738" s="1491"/>
      <c r="S738" s="1492"/>
      <c r="T738" s="1490"/>
      <c r="U738" s="1491"/>
      <c r="V738" s="1491"/>
      <c r="W738" s="1492"/>
      <c r="X738" s="1360">
        <f t="shared" si="8"/>
        <v>0</v>
      </c>
      <c r="Y738" s="1361"/>
      <c r="Z738" s="1361"/>
      <c r="AA738" s="1361"/>
      <c r="AB738" s="1362"/>
      <c r="AC738" s="1630"/>
      <c r="AD738" s="1631"/>
      <c r="AE738" s="1631"/>
      <c r="AF738" s="1631"/>
      <c r="AG738" s="1632"/>
      <c r="AH738" s="1363" t="str">
        <f t="shared" si="35"/>
        <v/>
      </c>
      <c r="AI738" s="1364"/>
      <c r="AJ738" s="1365"/>
      <c r="AK738" s="1357" t="s">
        <v>591</v>
      </c>
      <c r="AL738" s="1358"/>
      <c r="AM738" s="1358"/>
      <c r="AN738" s="1358"/>
      <c r="AO738" s="1359"/>
      <c r="AP738" s="3"/>
      <c r="AQ738" s="3"/>
      <c r="AR738" s="3"/>
      <c r="AS738" s="3"/>
      <c r="AY738" s="1087"/>
      <c r="AZ738" s="118" t="str">
        <f>IF($G738=0,"N/A",VLOOKUP($T$189,TC_Rent,(MATCH($B738,bedrooms,FALSE)),FALSE))</f>
        <v>N/A</v>
      </c>
      <c r="BA738" s="3"/>
      <c r="BE738" s="205"/>
      <c r="BF738" s="295">
        <f t="shared" si="9"/>
        <v>0</v>
      </c>
      <c r="BG738" s="298">
        <f t="shared" si="10"/>
        <v>0</v>
      </c>
      <c r="BH738" s="299" t="str">
        <f t="shared" si="11"/>
        <v/>
      </c>
      <c r="BK738" s="3"/>
      <c r="BL738" s="3"/>
      <c r="BM738" s="3"/>
      <c r="BN738" s="3"/>
      <c r="BS738" s="295">
        <f t="shared" si="12"/>
        <v>0</v>
      </c>
      <c r="BT738" s="298">
        <f t="shared" si="13"/>
        <v>0</v>
      </c>
      <c r="BU738" s="299" t="str">
        <f t="shared" si="14"/>
        <v/>
      </c>
      <c r="BV738" s="3"/>
      <c r="BW738" s="3"/>
      <c r="BX738" s="3"/>
      <c r="BY738" s="3"/>
      <c r="BZ738" s="3"/>
      <c r="CA738" s="3"/>
      <c r="CB738" s="3"/>
      <c r="CC738" s="3"/>
      <c r="CE738" s="3"/>
      <c r="CF738" s="3"/>
      <c r="CG738" s="1353">
        <f t="shared" si="36"/>
        <v>0</v>
      </c>
      <c r="CH738" s="1355"/>
      <c r="CI738" s="1337">
        <f t="shared" si="37"/>
        <v>0</v>
      </c>
      <c r="CJ738" s="1339"/>
      <c r="CK738" s="1353">
        <f t="shared" si="15"/>
        <v>0</v>
      </c>
      <c r="CL738" s="1355"/>
      <c r="CM738" s="1337">
        <f t="shared" si="16"/>
        <v>0</v>
      </c>
      <c r="CN738" s="1339"/>
      <c r="CO738" s="3"/>
      <c r="CP738" s="1334">
        <f t="shared" si="17"/>
        <v>0</v>
      </c>
      <c r="CQ738" s="1335"/>
      <c r="CR738" s="1335"/>
      <c r="CS738" s="1335"/>
      <c r="CT738" s="1336"/>
      <c r="CU738" s="1356">
        <f t="shared" si="18"/>
        <v>0</v>
      </c>
      <c r="CV738" s="1356"/>
      <c r="CW738" s="1356"/>
      <c r="CX738" s="1356"/>
      <c r="CY738" s="1356"/>
      <c r="CZ738" s="1356">
        <f t="shared" si="19"/>
        <v>0</v>
      </c>
      <c r="DA738" s="1356"/>
      <c r="DB738" s="1356"/>
      <c r="DC738" s="1356"/>
      <c r="DD738" s="1356"/>
      <c r="DE738" s="1356">
        <f t="shared" si="20"/>
        <v>0</v>
      </c>
      <c r="DF738" s="1356"/>
      <c r="DG738" s="1356"/>
      <c r="DH738" s="1356"/>
      <c r="DI738" s="1356"/>
      <c r="DJ738" s="1356">
        <f t="shared" si="21"/>
        <v>0</v>
      </c>
      <c r="DK738" s="1356"/>
      <c r="DL738" s="1356"/>
      <c r="DM738" s="1356"/>
      <c r="DN738" s="1356"/>
      <c r="DO738" s="1356">
        <f t="shared" si="22"/>
        <v>0</v>
      </c>
      <c r="DP738" s="1356"/>
      <c r="DQ738" s="1356"/>
      <c r="DR738" s="1356"/>
      <c r="DS738" s="1356"/>
      <c r="DT738" s="6"/>
      <c r="DU738" s="1373">
        <f t="shared" si="23"/>
        <v>0</v>
      </c>
      <c r="DV738" s="1373"/>
      <c r="DW738" s="1373"/>
      <c r="DX738" s="1373"/>
      <c r="DY738" s="1373"/>
      <c r="DZ738" s="1373">
        <f t="shared" si="24"/>
        <v>0</v>
      </c>
      <c r="EA738" s="1373"/>
      <c r="EB738" s="1373"/>
      <c r="EC738" s="1373"/>
      <c r="ED738" s="1373"/>
      <c r="EE738" s="1373">
        <f t="shared" si="25"/>
        <v>0</v>
      </c>
      <c r="EF738" s="1373"/>
      <c r="EG738" s="1373"/>
      <c r="EH738" s="1373"/>
      <c r="EI738" s="1373"/>
      <c r="EJ738" s="1373">
        <f t="shared" si="26"/>
        <v>0</v>
      </c>
      <c r="EK738" s="1373"/>
      <c r="EL738" s="1373"/>
      <c r="EM738" s="1373"/>
      <c r="EN738" s="1373"/>
      <c r="EO738" s="1373">
        <f t="shared" si="27"/>
        <v>0</v>
      </c>
      <c r="EP738" s="1373"/>
      <c r="EQ738" s="1373"/>
      <c r="ER738" s="1373"/>
      <c r="ES738" s="1373"/>
      <c r="ET738" s="1373">
        <f t="shared" si="28"/>
        <v>0</v>
      </c>
      <c r="EU738" s="1373"/>
      <c r="EV738" s="1373"/>
      <c r="EW738" s="1373"/>
      <c r="EX738" s="1373"/>
      <c r="EZ738" s="1353" t="str">
        <f t="shared" si="29"/>
        <v/>
      </c>
      <c r="FA738" s="1354"/>
      <c r="FB738" s="1354"/>
      <c r="FC738" s="1354"/>
      <c r="FD738" s="1355"/>
      <c r="FE738" s="1353" t="str">
        <f t="shared" si="30"/>
        <v/>
      </c>
      <c r="FF738" s="1354"/>
      <c r="FG738" s="1354"/>
      <c r="FH738" s="1354"/>
      <c r="FI738" s="1355"/>
      <c r="FJ738" s="1353" t="str">
        <f t="shared" si="31"/>
        <v/>
      </c>
      <c r="FK738" s="1354"/>
      <c r="FL738" s="1354"/>
      <c r="FM738" s="1354"/>
      <c r="FN738" s="1355"/>
      <c r="FO738" s="1353" t="str">
        <f t="shared" si="32"/>
        <v/>
      </c>
      <c r="FP738" s="1354"/>
      <c r="FQ738" s="1354"/>
      <c r="FR738" s="1354"/>
      <c r="FS738" s="1355"/>
      <c r="FT738" s="1353" t="str">
        <f t="shared" si="33"/>
        <v/>
      </c>
      <c r="FU738" s="1354"/>
      <c r="FV738" s="1354"/>
      <c r="FW738" s="1354"/>
      <c r="FX738" s="1355"/>
      <c r="FY738" s="1353" t="str">
        <f t="shared" si="34"/>
        <v/>
      </c>
      <c r="FZ738" s="1354"/>
      <c r="GA738" s="1354"/>
      <c r="GB738" s="1354"/>
      <c r="GC738" s="1355"/>
    </row>
    <row r="739" spans="1:185" ht="12.95" customHeight="1">
      <c r="B739" s="1357"/>
      <c r="C739" s="1358"/>
      <c r="D739" s="1358"/>
      <c r="E739" s="1358"/>
      <c r="F739" s="1359"/>
      <c r="G739" s="1366"/>
      <c r="H739" s="1367"/>
      <c r="I739" s="1367"/>
      <c r="J739" s="1368"/>
      <c r="K739" s="1370"/>
      <c r="L739" s="1371"/>
      <c r="M739" s="1371"/>
      <c r="N739" s="1372"/>
      <c r="O739" s="1490"/>
      <c r="P739" s="1491"/>
      <c r="Q739" s="1491"/>
      <c r="R739" s="1491"/>
      <c r="S739" s="1492"/>
      <c r="T739" s="1490"/>
      <c r="U739" s="1491"/>
      <c r="V739" s="1491"/>
      <c r="W739" s="1492"/>
      <c r="X739" s="1360">
        <f t="shared" si="8"/>
        <v>0</v>
      </c>
      <c r="Y739" s="1361"/>
      <c r="Z739" s="1361"/>
      <c r="AA739" s="1361"/>
      <c r="AB739" s="1362"/>
      <c r="AC739" s="1630"/>
      <c r="AD739" s="1631"/>
      <c r="AE739" s="1631"/>
      <c r="AF739" s="1631"/>
      <c r="AG739" s="1632"/>
      <c r="AH739" s="1363" t="str">
        <f t="shared" si="35"/>
        <v/>
      </c>
      <c r="AI739" s="1364"/>
      <c r="AJ739" s="1365"/>
      <c r="AK739" s="1357" t="s">
        <v>591</v>
      </c>
      <c r="AL739" s="1358"/>
      <c r="AM739" s="1358"/>
      <c r="AN739" s="1358"/>
      <c r="AO739" s="1359"/>
      <c r="AP739" s="3"/>
      <c r="AQ739" s="3"/>
      <c r="AR739" s="3"/>
      <c r="AS739" s="3"/>
      <c r="AY739" s="1087"/>
      <c r="AZ739" s="118" t="str">
        <f>IF($G739=0,"N/A",VLOOKUP($T$189,TC_Rent,(MATCH($B739,bedrooms,FALSE)),FALSE))</f>
        <v>N/A</v>
      </c>
      <c r="BA739" s="3"/>
      <c r="BE739" s="205"/>
      <c r="BF739" s="295">
        <f t="shared" si="9"/>
        <v>0</v>
      </c>
      <c r="BG739" s="298">
        <f t="shared" si="10"/>
        <v>0</v>
      </c>
      <c r="BH739" s="299" t="str">
        <f t="shared" si="11"/>
        <v/>
      </c>
      <c r="BK739" s="3"/>
      <c r="BL739" s="3"/>
      <c r="BM739" s="3"/>
      <c r="BN739" s="3"/>
      <c r="BS739" s="295">
        <f t="shared" si="12"/>
        <v>0</v>
      </c>
      <c r="BT739" s="298">
        <f t="shared" si="13"/>
        <v>0</v>
      </c>
      <c r="BU739" s="299" t="str">
        <f t="shared" si="14"/>
        <v/>
      </c>
      <c r="BV739" s="3"/>
      <c r="BW739" s="3"/>
      <c r="BX739" s="3"/>
      <c r="BY739" s="3"/>
      <c r="BZ739" s="3"/>
      <c r="CA739" s="3"/>
      <c r="CB739" s="3"/>
      <c r="CC739" s="3"/>
      <c r="CE739" s="3"/>
      <c r="CF739" s="3"/>
      <c r="CG739" s="1353">
        <f t="shared" si="36"/>
        <v>0</v>
      </c>
      <c r="CH739" s="1355"/>
      <c r="CI739" s="1337">
        <f t="shared" si="37"/>
        <v>0</v>
      </c>
      <c r="CJ739" s="1339"/>
      <c r="CK739" s="1353">
        <f t="shared" si="15"/>
        <v>0</v>
      </c>
      <c r="CL739" s="1355"/>
      <c r="CM739" s="1337">
        <f t="shared" si="16"/>
        <v>0</v>
      </c>
      <c r="CN739" s="1339"/>
      <c r="CO739" s="3"/>
      <c r="CP739" s="1334">
        <f t="shared" si="17"/>
        <v>0</v>
      </c>
      <c r="CQ739" s="1335"/>
      <c r="CR739" s="1335"/>
      <c r="CS739" s="1335"/>
      <c r="CT739" s="1336"/>
      <c r="CU739" s="1356">
        <f t="shared" si="18"/>
        <v>0</v>
      </c>
      <c r="CV739" s="1356"/>
      <c r="CW739" s="1356"/>
      <c r="CX739" s="1356"/>
      <c r="CY739" s="1356"/>
      <c r="CZ739" s="1356">
        <f t="shared" si="19"/>
        <v>0</v>
      </c>
      <c r="DA739" s="1356"/>
      <c r="DB739" s="1356"/>
      <c r="DC739" s="1356"/>
      <c r="DD739" s="1356"/>
      <c r="DE739" s="1356">
        <f t="shared" si="20"/>
        <v>0</v>
      </c>
      <c r="DF739" s="1356"/>
      <c r="DG739" s="1356"/>
      <c r="DH739" s="1356"/>
      <c r="DI739" s="1356"/>
      <c r="DJ739" s="1356">
        <f t="shared" si="21"/>
        <v>0</v>
      </c>
      <c r="DK739" s="1356"/>
      <c r="DL739" s="1356"/>
      <c r="DM739" s="1356"/>
      <c r="DN739" s="1356"/>
      <c r="DO739" s="1356">
        <f t="shared" si="22"/>
        <v>0</v>
      </c>
      <c r="DP739" s="1356"/>
      <c r="DQ739" s="1356"/>
      <c r="DR739" s="1356"/>
      <c r="DS739" s="1356"/>
      <c r="DT739" s="6"/>
      <c r="DU739" s="1373">
        <f t="shared" si="23"/>
        <v>0</v>
      </c>
      <c r="DV739" s="1373"/>
      <c r="DW739" s="1373"/>
      <c r="DX739" s="1373"/>
      <c r="DY739" s="1373"/>
      <c r="DZ739" s="1373">
        <f t="shared" si="24"/>
        <v>0</v>
      </c>
      <c r="EA739" s="1373"/>
      <c r="EB739" s="1373"/>
      <c r="EC739" s="1373"/>
      <c r="ED739" s="1373"/>
      <c r="EE739" s="1373">
        <f t="shared" si="25"/>
        <v>0</v>
      </c>
      <c r="EF739" s="1373"/>
      <c r="EG739" s="1373"/>
      <c r="EH739" s="1373"/>
      <c r="EI739" s="1373"/>
      <c r="EJ739" s="1373">
        <f t="shared" si="26"/>
        <v>0</v>
      </c>
      <c r="EK739" s="1373"/>
      <c r="EL739" s="1373"/>
      <c r="EM739" s="1373"/>
      <c r="EN739" s="1373"/>
      <c r="EO739" s="1373">
        <f t="shared" si="27"/>
        <v>0</v>
      </c>
      <c r="EP739" s="1373"/>
      <c r="EQ739" s="1373"/>
      <c r="ER739" s="1373"/>
      <c r="ES739" s="1373"/>
      <c r="ET739" s="1373">
        <f t="shared" si="28"/>
        <v>0</v>
      </c>
      <c r="EU739" s="1373"/>
      <c r="EV739" s="1373"/>
      <c r="EW739" s="1373"/>
      <c r="EX739" s="1373"/>
      <c r="EZ739" s="1353" t="str">
        <f t="shared" si="29"/>
        <v/>
      </c>
      <c r="FA739" s="1354"/>
      <c r="FB739" s="1354"/>
      <c r="FC739" s="1354"/>
      <c r="FD739" s="1355"/>
      <c r="FE739" s="1353" t="str">
        <f t="shared" si="30"/>
        <v/>
      </c>
      <c r="FF739" s="1354"/>
      <c r="FG739" s="1354"/>
      <c r="FH739" s="1354"/>
      <c r="FI739" s="1355"/>
      <c r="FJ739" s="1353" t="str">
        <f t="shared" si="31"/>
        <v/>
      </c>
      <c r="FK739" s="1354"/>
      <c r="FL739" s="1354"/>
      <c r="FM739" s="1354"/>
      <c r="FN739" s="1355"/>
      <c r="FO739" s="1353" t="str">
        <f t="shared" si="32"/>
        <v/>
      </c>
      <c r="FP739" s="1354"/>
      <c r="FQ739" s="1354"/>
      <c r="FR739" s="1354"/>
      <c r="FS739" s="1355"/>
      <c r="FT739" s="1353" t="str">
        <f t="shared" si="33"/>
        <v/>
      </c>
      <c r="FU739" s="1354"/>
      <c r="FV739" s="1354"/>
      <c r="FW739" s="1354"/>
      <c r="FX739" s="1355"/>
      <c r="FY739" s="1353" t="str">
        <f t="shared" si="34"/>
        <v/>
      </c>
      <c r="FZ739" s="1354"/>
      <c r="GA739" s="1354"/>
      <c r="GB739" s="1354"/>
      <c r="GC739" s="1355"/>
    </row>
    <row r="740" spans="1:185" ht="12.95" customHeight="1">
      <c r="B740" s="1357"/>
      <c r="C740" s="1358"/>
      <c r="D740" s="1358"/>
      <c r="E740" s="1358"/>
      <c r="F740" s="1359"/>
      <c r="G740" s="1366"/>
      <c r="H740" s="1367"/>
      <c r="I740" s="1367"/>
      <c r="J740" s="1368"/>
      <c r="K740" s="1370"/>
      <c r="L740" s="1371"/>
      <c r="M740" s="1371"/>
      <c r="N740" s="1372"/>
      <c r="O740" s="1490"/>
      <c r="P740" s="1491"/>
      <c r="Q740" s="1491"/>
      <c r="R740" s="1491"/>
      <c r="S740" s="1492"/>
      <c r="T740" s="1490"/>
      <c r="U740" s="1491"/>
      <c r="V740" s="1491"/>
      <c r="W740" s="1492"/>
      <c r="X740" s="1360">
        <f t="shared" si="8"/>
        <v>0</v>
      </c>
      <c r="Y740" s="1361"/>
      <c r="Z740" s="1361"/>
      <c r="AA740" s="1361"/>
      <c r="AB740" s="1362"/>
      <c r="AC740" s="1630"/>
      <c r="AD740" s="1631"/>
      <c r="AE740" s="1631"/>
      <c r="AF740" s="1631"/>
      <c r="AG740" s="1632"/>
      <c r="AH740" s="1363" t="str">
        <f t="shared" si="35"/>
        <v/>
      </c>
      <c r="AI740" s="1364"/>
      <c r="AJ740" s="1365"/>
      <c r="AK740" s="1357" t="s">
        <v>591</v>
      </c>
      <c r="AL740" s="1358"/>
      <c r="AM740" s="1358"/>
      <c r="AN740" s="1358"/>
      <c r="AO740" s="1359"/>
      <c r="AP740" s="3"/>
      <c r="AQ740" s="3"/>
      <c r="AR740" s="3"/>
      <c r="AS740" s="3"/>
      <c r="AY740" s="1087"/>
      <c r="AZ740" s="118" t="str">
        <f>IF($G740=0,"N/A",VLOOKUP($T$189,TC_Rent,(MATCH($B740,bedrooms,FALSE)),FALSE))</f>
        <v>N/A</v>
      </c>
      <c r="BA740" s="3"/>
      <c r="BE740" s="205"/>
      <c r="BF740" s="295">
        <f t="shared" si="9"/>
        <v>0</v>
      </c>
      <c r="BG740" s="298">
        <f t="shared" si="10"/>
        <v>0</v>
      </c>
      <c r="BH740" s="299" t="str">
        <f t="shared" si="11"/>
        <v/>
      </c>
      <c r="BK740" s="3"/>
      <c r="BL740" s="3"/>
      <c r="BM740" s="3"/>
      <c r="BN740" s="3"/>
      <c r="BS740" s="295">
        <f t="shared" si="12"/>
        <v>0</v>
      </c>
      <c r="BT740" s="298">
        <f t="shared" si="13"/>
        <v>0</v>
      </c>
      <c r="BU740" s="299" t="str">
        <f t="shared" si="14"/>
        <v/>
      </c>
      <c r="BV740" s="3"/>
      <c r="BW740" s="3"/>
      <c r="BX740" s="3"/>
      <c r="BY740" s="3"/>
      <c r="BZ740" s="3"/>
      <c r="CA740" s="3"/>
      <c r="CB740" s="3"/>
      <c r="CC740" s="3"/>
      <c r="CE740" s="3"/>
      <c r="CF740" s="3"/>
      <c r="CG740" s="1353">
        <f t="shared" si="36"/>
        <v>0</v>
      </c>
      <c r="CH740" s="1355"/>
      <c r="CI740" s="1337">
        <f t="shared" si="37"/>
        <v>0</v>
      </c>
      <c r="CJ740" s="1339"/>
      <c r="CK740" s="1353">
        <f t="shared" si="15"/>
        <v>0</v>
      </c>
      <c r="CL740" s="1355"/>
      <c r="CM740" s="1337">
        <f t="shared" si="16"/>
        <v>0</v>
      </c>
      <c r="CN740" s="1339"/>
      <c r="CO740" s="3"/>
      <c r="CP740" s="1334">
        <f t="shared" si="17"/>
        <v>0</v>
      </c>
      <c r="CQ740" s="1335"/>
      <c r="CR740" s="1335"/>
      <c r="CS740" s="1335"/>
      <c r="CT740" s="1336"/>
      <c r="CU740" s="1356">
        <f t="shared" si="18"/>
        <v>0</v>
      </c>
      <c r="CV740" s="1356"/>
      <c r="CW740" s="1356"/>
      <c r="CX740" s="1356"/>
      <c r="CY740" s="1356"/>
      <c r="CZ740" s="1356">
        <f t="shared" si="19"/>
        <v>0</v>
      </c>
      <c r="DA740" s="1356"/>
      <c r="DB740" s="1356"/>
      <c r="DC740" s="1356"/>
      <c r="DD740" s="1356"/>
      <c r="DE740" s="1356">
        <f t="shared" si="20"/>
        <v>0</v>
      </c>
      <c r="DF740" s="1356"/>
      <c r="DG740" s="1356"/>
      <c r="DH740" s="1356"/>
      <c r="DI740" s="1356"/>
      <c r="DJ740" s="1356">
        <f t="shared" si="21"/>
        <v>0</v>
      </c>
      <c r="DK740" s="1356"/>
      <c r="DL740" s="1356"/>
      <c r="DM740" s="1356"/>
      <c r="DN740" s="1356"/>
      <c r="DO740" s="1356">
        <f t="shared" si="22"/>
        <v>0</v>
      </c>
      <c r="DP740" s="1356"/>
      <c r="DQ740" s="1356"/>
      <c r="DR740" s="1356"/>
      <c r="DS740" s="1356"/>
      <c r="DT740" s="6"/>
      <c r="DU740" s="1373">
        <f t="shared" si="23"/>
        <v>0</v>
      </c>
      <c r="DV740" s="1373"/>
      <c r="DW740" s="1373"/>
      <c r="DX740" s="1373"/>
      <c r="DY740" s="1373"/>
      <c r="DZ740" s="1373">
        <f t="shared" si="24"/>
        <v>0</v>
      </c>
      <c r="EA740" s="1373"/>
      <c r="EB740" s="1373"/>
      <c r="EC740" s="1373"/>
      <c r="ED740" s="1373"/>
      <c r="EE740" s="1373">
        <f t="shared" si="25"/>
        <v>0</v>
      </c>
      <c r="EF740" s="1373"/>
      <c r="EG740" s="1373"/>
      <c r="EH740" s="1373"/>
      <c r="EI740" s="1373"/>
      <c r="EJ740" s="1373">
        <f t="shared" si="26"/>
        <v>0</v>
      </c>
      <c r="EK740" s="1373"/>
      <c r="EL740" s="1373"/>
      <c r="EM740" s="1373"/>
      <c r="EN740" s="1373"/>
      <c r="EO740" s="1373">
        <f t="shared" si="27"/>
        <v>0</v>
      </c>
      <c r="EP740" s="1373"/>
      <c r="EQ740" s="1373"/>
      <c r="ER740" s="1373"/>
      <c r="ES740" s="1373"/>
      <c r="ET740" s="1373">
        <f t="shared" si="28"/>
        <v>0</v>
      </c>
      <c r="EU740" s="1373"/>
      <c r="EV740" s="1373"/>
      <c r="EW740" s="1373"/>
      <c r="EX740" s="1373"/>
      <c r="EZ740" s="1353" t="str">
        <f t="shared" si="29"/>
        <v/>
      </c>
      <c r="FA740" s="1354"/>
      <c r="FB740" s="1354"/>
      <c r="FC740" s="1354"/>
      <c r="FD740" s="1355"/>
      <c r="FE740" s="1353" t="str">
        <f t="shared" si="30"/>
        <v/>
      </c>
      <c r="FF740" s="1354"/>
      <c r="FG740" s="1354"/>
      <c r="FH740" s="1354"/>
      <c r="FI740" s="1355"/>
      <c r="FJ740" s="1353" t="str">
        <f t="shared" si="31"/>
        <v/>
      </c>
      <c r="FK740" s="1354"/>
      <c r="FL740" s="1354"/>
      <c r="FM740" s="1354"/>
      <c r="FN740" s="1355"/>
      <c r="FO740" s="1353" t="str">
        <f t="shared" si="32"/>
        <v/>
      </c>
      <c r="FP740" s="1354"/>
      <c r="FQ740" s="1354"/>
      <c r="FR740" s="1354"/>
      <c r="FS740" s="1355"/>
      <c r="FT740" s="1353" t="str">
        <f t="shared" si="33"/>
        <v/>
      </c>
      <c r="FU740" s="1354"/>
      <c r="FV740" s="1354"/>
      <c r="FW740" s="1354"/>
      <c r="FX740" s="1355"/>
      <c r="FY740" s="1353" t="str">
        <f t="shared" si="34"/>
        <v/>
      </c>
      <c r="FZ740" s="1354"/>
      <c r="GA740" s="1354"/>
      <c r="GB740" s="1354"/>
      <c r="GC740" s="1355"/>
    </row>
    <row r="741" spans="1:185" ht="12.95" customHeight="1">
      <c r="B741" s="1357"/>
      <c r="C741" s="1358"/>
      <c r="D741" s="1358"/>
      <c r="E741" s="1358"/>
      <c r="F741" s="1359"/>
      <c r="G741" s="1366"/>
      <c r="H741" s="1367"/>
      <c r="I741" s="1367"/>
      <c r="J741" s="1368"/>
      <c r="K741" s="1370"/>
      <c r="L741" s="1371"/>
      <c r="M741" s="1371"/>
      <c r="N741" s="1372"/>
      <c r="O741" s="1490"/>
      <c r="P741" s="1491"/>
      <c r="Q741" s="1491"/>
      <c r="R741" s="1491"/>
      <c r="S741" s="1492"/>
      <c r="T741" s="1490"/>
      <c r="U741" s="1491"/>
      <c r="V741" s="1491"/>
      <c r="W741" s="1492"/>
      <c r="X741" s="1360">
        <f t="shared" si="8"/>
        <v>0</v>
      </c>
      <c r="Y741" s="1361"/>
      <c r="Z741" s="1361"/>
      <c r="AA741" s="1361"/>
      <c r="AB741" s="1362"/>
      <c r="AC741" s="1630"/>
      <c r="AD741" s="1631"/>
      <c r="AE741" s="1631"/>
      <c r="AF741" s="1631"/>
      <c r="AG741" s="1632"/>
      <c r="AH741" s="1363" t="str">
        <f t="shared" si="35"/>
        <v/>
      </c>
      <c r="AI741" s="1364"/>
      <c r="AJ741" s="1365"/>
      <c r="AK741" s="1357" t="s">
        <v>591</v>
      </c>
      <c r="AL741" s="1358"/>
      <c r="AM741" s="1358"/>
      <c r="AN741" s="1358"/>
      <c r="AO741" s="1359"/>
      <c r="AP741" s="3"/>
      <c r="AQ741" s="3"/>
      <c r="AR741" s="3"/>
      <c r="AS741" s="3"/>
      <c r="AY741" s="1087"/>
      <c r="AZ741" s="118" t="str">
        <f>IF($G741=0,"N/A",VLOOKUP($T$189,TC_Rent,(MATCH($B741,bedrooms,FALSE)),FALSE))</f>
        <v>N/A</v>
      </c>
      <c r="BA741" s="3"/>
      <c r="BE741" s="205"/>
      <c r="BF741" s="295">
        <f t="shared" si="9"/>
        <v>0</v>
      </c>
      <c r="BG741" s="298">
        <f t="shared" si="10"/>
        <v>0</v>
      </c>
      <c r="BH741" s="299" t="str">
        <f t="shared" si="11"/>
        <v/>
      </c>
      <c r="BK741" s="3"/>
      <c r="BL741" s="3"/>
      <c r="BM741" s="3"/>
      <c r="BN741" s="3"/>
      <c r="BS741" s="295">
        <f t="shared" si="12"/>
        <v>0</v>
      </c>
      <c r="BT741" s="298">
        <f t="shared" si="13"/>
        <v>0</v>
      </c>
      <c r="BU741" s="299" t="str">
        <f t="shared" si="14"/>
        <v/>
      </c>
      <c r="BV741" s="3"/>
      <c r="BW741" s="3"/>
      <c r="BX741" s="3"/>
      <c r="BY741" s="3"/>
      <c r="BZ741" s="3"/>
      <c r="CA741" s="3"/>
      <c r="CB741" s="3"/>
      <c r="CC741" s="3"/>
      <c r="CE741" s="3"/>
      <c r="CF741" s="3"/>
      <c r="CG741" s="1353">
        <f t="shared" si="36"/>
        <v>0</v>
      </c>
      <c r="CH741" s="1355"/>
      <c r="CI741" s="1337">
        <f t="shared" si="37"/>
        <v>0</v>
      </c>
      <c r="CJ741" s="1339"/>
      <c r="CK741" s="1353">
        <f t="shared" si="15"/>
        <v>0</v>
      </c>
      <c r="CL741" s="1355"/>
      <c r="CM741" s="1337">
        <f t="shared" si="16"/>
        <v>0</v>
      </c>
      <c r="CN741" s="1339"/>
      <c r="CO741" s="3"/>
      <c r="CP741" s="1334">
        <f t="shared" si="17"/>
        <v>0</v>
      </c>
      <c r="CQ741" s="1335"/>
      <c r="CR741" s="1335"/>
      <c r="CS741" s="1335"/>
      <c r="CT741" s="1336"/>
      <c r="CU741" s="1356">
        <f t="shared" si="18"/>
        <v>0</v>
      </c>
      <c r="CV741" s="1356"/>
      <c r="CW741" s="1356"/>
      <c r="CX741" s="1356"/>
      <c r="CY741" s="1356"/>
      <c r="CZ741" s="1356">
        <f t="shared" si="19"/>
        <v>0</v>
      </c>
      <c r="DA741" s="1356"/>
      <c r="DB741" s="1356"/>
      <c r="DC741" s="1356"/>
      <c r="DD741" s="1356"/>
      <c r="DE741" s="1356">
        <f t="shared" si="20"/>
        <v>0</v>
      </c>
      <c r="DF741" s="1356"/>
      <c r="DG741" s="1356"/>
      <c r="DH741" s="1356"/>
      <c r="DI741" s="1356"/>
      <c r="DJ741" s="1356">
        <f t="shared" si="21"/>
        <v>0</v>
      </c>
      <c r="DK741" s="1356"/>
      <c r="DL741" s="1356"/>
      <c r="DM741" s="1356"/>
      <c r="DN741" s="1356"/>
      <c r="DO741" s="1356">
        <f t="shared" si="22"/>
        <v>0</v>
      </c>
      <c r="DP741" s="1356"/>
      <c r="DQ741" s="1356"/>
      <c r="DR741" s="1356"/>
      <c r="DS741" s="1356"/>
      <c r="DT741" s="6"/>
      <c r="DU741" s="1373">
        <f t="shared" si="23"/>
        <v>0</v>
      </c>
      <c r="DV741" s="1373"/>
      <c r="DW741" s="1373"/>
      <c r="DX741" s="1373"/>
      <c r="DY741" s="1373"/>
      <c r="DZ741" s="1373">
        <f t="shared" si="24"/>
        <v>0</v>
      </c>
      <c r="EA741" s="1373"/>
      <c r="EB741" s="1373"/>
      <c r="EC741" s="1373"/>
      <c r="ED741" s="1373"/>
      <c r="EE741" s="1373">
        <f t="shared" si="25"/>
        <v>0</v>
      </c>
      <c r="EF741" s="1373"/>
      <c r="EG741" s="1373"/>
      <c r="EH741" s="1373"/>
      <c r="EI741" s="1373"/>
      <c r="EJ741" s="1373">
        <f t="shared" si="26"/>
        <v>0</v>
      </c>
      <c r="EK741" s="1373"/>
      <c r="EL741" s="1373"/>
      <c r="EM741" s="1373"/>
      <c r="EN741" s="1373"/>
      <c r="EO741" s="1373">
        <f t="shared" si="27"/>
        <v>0</v>
      </c>
      <c r="EP741" s="1373"/>
      <c r="EQ741" s="1373"/>
      <c r="ER741" s="1373"/>
      <c r="ES741" s="1373"/>
      <c r="ET741" s="1373">
        <f t="shared" si="28"/>
        <v>0</v>
      </c>
      <c r="EU741" s="1373"/>
      <c r="EV741" s="1373"/>
      <c r="EW741" s="1373"/>
      <c r="EX741" s="1373"/>
      <c r="EZ741" s="1353" t="str">
        <f t="shared" si="29"/>
        <v/>
      </c>
      <c r="FA741" s="1354"/>
      <c r="FB741" s="1354"/>
      <c r="FC741" s="1354"/>
      <c r="FD741" s="1355"/>
      <c r="FE741" s="1353" t="str">
        <f t="shared" si="30"/>
        <v/>
      </c>
      <c r="FF741" s="1354"/>
      <c r="FG741" s="1354"/>
      <c r="FH741" s="1354"/>
      <c r="FI741" s="1355"/>
      <c r="FJ741" s="1353" t="str">
        <f t="shared" si="31"/>
        <v/>
      </c>
      <c r="FK741" s="1354"/>
      <c r="FL741" s="1354"/>
      <c r="FM741" s="1354"/>
      <c r="FN741" s="1355"/>
      <c r="FO741" s="1353" t="str">
        <f t="shared" si="32"/>
        <v/>
      </c>
      <c r="FP741" s="1354"/>
      <c r="FQ741" s="1354"/>
      <c r="FR741" s="1354"/>
      <c r="FS741" s="1355"/>
      <c r="FT741" s="1353" t="str">
        <f t="shared" si="33"/>
        <v/>
      </c>
      <c r="FU741" s="1354"/>
      <c r="FV741" s="1354"/>
      <c r="FW741" s="1354"/>
      <c r="FX741" s="1355"/>
      <c r="FY741" s="1353" t="str">
        <f t="shared" si="34"/>
        <v/>
      </c>
      <c r="FZ741" s="1354"/>
      <c r="GA741" s="1354"/>
      <c r="GB741" s="1354"/>
      <c r="GC741" s="1355"/>
    </row>
    <row r="742" spans="1:185" ht="12.95" customHeight="1">
      <c r="B742" s="1357"/>
      <c r="C742" s="1358"/>
      <c r="D742" s="1358"/>
      <c r="E742" s="1358"/>
      <c r="F742" s="1359"/>
      <c r="G742" s="1366"/>
      <c r="H742" s="1367"/>
      <c r="I742" s="1367"/>
      <c r="J742" s="1368"/>
      <c r="K742" s="1370"/>
      <c r="L742" s="1371"/>
      <c r="M742" s="1371"/>
      <c r="N742" s="1372"/>
      <c r="O742" s="1490"/>
      <c r="P742" s="1491"/>
      <c r="Q742" s="1491"/>
      <c r="R742" s="1491"/>
      <c r="S742" s="1492"/>
      <c r="T742" s="1490"/>
      <c r="U742" s="1491"/>
      <c r="V742" s="1491"/>
      <c r="W742" s="1492"/>
      <c r="X742" s="1360">
        <f t="shared" ref="X742:X751" si="50">O742+T742</f>
        <v>0</v>
      </c>
      <c r="Y742" s="1361"/>
      <c r="Z742" s="1361"/>
      <c r="AA742" s="1361"/>
      <c r="AB742" s="1362"/>
      <c r="AC742" s="1630"/>
      <c r="AD742" s="1631"/>
      <c r="AE742" s="1631"/>
      <c r="AF742" s="1631"/>
      <c r="AG742" s="1632"/>
      <c r="AH742" s="1363" t="str">
        <f t="shared" si="35"/>
        <v/>
      </c>
      <c r="AI742" s="1364"/>
      <c r="AJ742" s="1365"/>
      <c r="AK742" s="1357" t="s">
        <v>591</v>
      </c>
      <c r="AL742" s="1358"/>
      <c r="AM742" s="1358"/>
      <c r="AN742" s="1358"/>
      <c r="AO742" s="1359"/>
      <c r="AP742" s="3"/>
      <c r="AQ742" s="3"/>
      <c r="AR742" s="3"/>
      <c r="AS742" s="3"/>
      <c r="AY742" s="1087"/>
      <c r="AZ742" s="118" t="str">
        <f>IF($G742=0,"N/A",VLOOKUP($T$189,TC_Rent,(MATCH($B742,bedrooms,FALSE)),FALSE))</f>
        <v>N/A</v>
      </c>
      <c r="BA742" s="3"/>
      <c r="BB742" s="3"/>
      <c r="BE742" s="205"/>
      <c r="BF742" s="295">
        <f t="shared" si="9"/>
        <v>0</v>
      </c>
      <c r="BG742" s="298">
        <f t="shared" si="10"/>
        <v>0</v>
      </c>
      <c r="BH742" s="299" t="str">
        <f t="shared" si="11"/>
        <v/>
      </c>
      <c r="BL742" s="3"/>
      <c r="BM742" s="3"/>
      <c r="BN742" s="3"/>
      <c r="BS742" s="295">
        <f t="shared" si="12"/>
        <v>0</v>
      </c>
      <c r="BT742" s="298">
        <f t="shared" si="13"/>
        <v>0</v>
      </c>
      <c r="BU742" s="299" t="str">
        <f t="shared" si="14"/>
        <v/>
      </c>
      <c r="BV742" s="3"/>
      <c r="BW742" s="3"/>
      <c r="BX742" s="3"/>
      <c r="BY742" s="3"/>
      <c r="BZ742" s="3"/>
      <c r="CA742" s="3"/>
      <c r="CB742" s="3"/>
      <c r="CC742" s="3"/>
      <c r="CE742" s="3"/>
      <c r="CF742" s="3"/>
      <c r="CG742" s="1353">
        <f t="shared" si="36"/>
        <v>0</v>
      </c>
      <c r="CH742" s="1355"/>
      <c r="CI742" s="1337">
        <f t="shared" si="37"/>
        <v>0</v>
      </c>
      <c r="CJ742" s="1339"/>
      <c r="CK742" s="1353">
        <f t="shared" si="15"/>
        <v>0</v>
      </c>
      <c r="CL742" s="1355"/>
      <c r="CM742" s="1337">
        <f t="shared" si="16"/>
        <v>0</v>
      </c>
      <c r="CN742" s="1339"/>
      <c r="CO742" s="3"/>
      <c r="CP742" s="1334">
        <f t="shared" si="17"/>
        <v>0</v>
      </c>
      <c r="CQ742" s="1335"/>
      <c r="CR742" s="1335"/>
      <c r="CS742" s="1335"/>
      <c r="CT742" s="1336"/>
      <c r="CU742" s="1356">
        <f t="shared" si="18"/>
        <v>0</v>
      </c>
      <c r="CV742" s="1356"/>
      <c r="CW742" s="1356"/>
      <c r="CX742" s="1356"/>
      <c r="CY742" s="1356"/>
      <c r="CZ742" s="1356">
        <f t="shared" si="19"/>
        <v>0</v>
      </c>
      <c r="DA742" s="1356"/>
      <c r="DB742" s="1356"/>
      <c r="DC742" s="1356"/>
      <c r="DD742" s="1356"/>
      <c r="DE742" s="1356">
        <f t="shared" si="20"/>
        <v>0</v>
      </c>
      <c r="DF742" s="1356"/>
      <c r="DG742" s="1356"/>
      <c r="DH742" s="1356"/>
      <c r="DI742" s="1356"/>
      <c r="DJ742" s="1356">
        <f t="shared" si="21"/>
        <v>0</v>
      </c>
      <c r="DK742" s="1356"/>
      <c r="DL742" s="1356"/>
      <c r="DM742" s="1356"/>
      <c r="DN742" s="1356"/>
      <c r="DO742" s="1356">
        <f t="shared" si="22"/>
        <v>0</v>
      </c>
      <c r="DP742" s="1356"/>
      <c r="DQ742" s="1356"/>
      <c r="DR742" s="1356"/>
      <c r="DS742" s="1356"/>
      <c r="DT742" s="6"/>
      <c r="DU742" s="1373">
        <f t="shared" si="23"/>
        <v>0</v>
      </c>
      <c r="DV742" s="1373"/>
      <c r="DW742" s="1373"/>
      <c r="DX742" s="1373"/>
      <c r="DY742" s="1373"/>
      <c r="DZ742" s="1373">
        <f t="shared" si="24"/>
        <v>0</v>
      </c>
      <c r="EA742" s="1373"/>
      <c r="EB742" s="1373"/>
      <c r="EC742" s="1373"/>
      <c r="ED742" s="1373"/>
      <c r="EE742" s="1373">
        <f t="shared" si="25"/>
        <v>0</v>
      </c>
      <c r="EF742" s="1373"/>
      <c r="EG742" s="1373"/>
      <c r="EH742" s="1373"/>
      <c r="EI742" s="1373"/>
      <c r="EJ742" s="1373">
        <f t="shared" si="26"/>
        <v>0</v>
      </c>
      <c r="EK742" s="1373"/>
      <c r="EL742" s="1373"/>
      <c r="EM742" s="1373"/>
      <c r="EN742" s="1373"/>
      <c r="EO742" s="1373">
        <f t="shared" si="27"/>
        <v>0</v>
      </c>
      <c r="EP742" s="1373"/>
      <c r="EQ742" s="1373"/>
      <c r="ER742" s="1373"/>
      <c r="ES742" s="1373"/>
      <c r="ET742" s="1373">
        <f t="shared" si="28"/>
        <v>0</v>
      </c>
      <c r="EU742" s="1373"/>
      <c r="EV742" s="1373"/>
      <c r="EW742" s="1373"/>
      <c r="EX742" s="1373"/>
      <c r="EZ742" s="1353" t="str">
        <f t="shared" si="29"/>
        <v/>
      </c>
      <c r="FA742" s="1354"/>
      <c r="FB742" s="1354"/>
      <c r="FC742" s="1354"/>
      <c r="FD742" s="1355"/>
      <c r="FE742" s="1353" t="str">
        <f t="shared" si="30"/>
        <v/>
      </c>
      <c r="FF742" s="1354"/>
      <c r="FG742" s="1354"/>
      <c r="FH742" s="1354"/>
      <c r="FI742" s="1355"/>
      <c r="FJ742" s="1353" t="str">
        <f t="shared" si="31"/>
        <v/>
      </c>
      <c r="FK742" s="1354"/>
      <c r="FL742" s="1354"/>
      <c r="FM742" s="1354"/>
      <c r="FN742" s="1355"/>
      <c r="FO742" s="1353" t="str">
        <f t="shared" si="32"/>
        <v/>
      </c>
      <c r="FP742" s="1354"/>
      <c r="FQ742" s="1354"/>
      <c r="FR742" s="1354"/>
      <c r="FS742" s="1355"/>
      <c r="FT742" s="1353" t="str">
        <f t="shared" si="33"/>
        <v/>
      </c>
      <c r="FU742" s="1354"/>
      <c r="FV742" s="1354"/>
      <c r="FW742" s="1354"/>
      <c r="FX742" s="1355"/>
      <c r="FY742" s="1353" t="str">
        <f t="shared" si="34"/>
        <v/>
      </c>
      <c r="FZ742" s="1354"/>
      <c r="GA742" s="1354"/>
      <c r="GB742" s="1354"/>
      <c r="GC742" s="1355"/>
    </row>
    <row r="743" spans="1:185" s="3" customFormat="1" ht="12.95" customHeight="1">
      <c r="A743"/>
      <c r="B743" s="1357"/>
      <c r="C743" s="1358"/>
      <c r="D743" s="1358"/>
      <c r="E743" s="1358"/>
      <c r="F743" s="1359"/>
      <c r="G743" s="1366"/>
      <c r="H743" s="1367"/>
      <c r="I743" s="1367"/>
      <c r="J743" s="1368"/>
      <c r="K743" s="1370"/>
      <c r="L743" s="1371"/>
      <c r="M743" s="1371"/>
      <c r="N743" s="1372"/>
      <c r="O743" s="1490"/>
      <c r="P743" s="1491"/>
      <c r="Q743" s="1491"/>
      <c r="R743" s="1491"/>
      <c r="S743" s="1492"/>
      <c r="T743" s="1490"/>
      <c r="U743" s="1491"/>
      <c r="V743" s="1491"/>
      <c r="W743" s="1492"/>
      <c r="X743" s="1360">
        <f t="shared" si="50"/>
        <v>0</v>
      </c>
      <c r="Y743" s="1361"/>
      <c r="Z743" s="1361"/>
      <c r="AA743" s="1361"/>
      <c r="AB743" s="1362"/>
      <c r="AC743" s="1630"/>
      <c r="AD743" s="1631"/>
      <c r="AE743" s="1631"/>
      <c r="AF743" s="1631"/>
      <c r="AG743" s="1632"/>
      <c r="AH743" s="1363" t="str">
        <f t="shared" si="35"/>
        <v/>
      </c>
      <c r="AI743" s="1364"/>
      <c r="AJ743" s="1365"/>
      <c r="AK743" s="1357" t="s">
        <v>591</v>
      </c>
      <c r="AL743" s="1358"/>
      <c r="AM743" s="1358"/>
      <c r="AN743" s="1358"/>
      <c r="AO743" s="1359"/>
      <c r="AT743"/>
      <c r="AU743"/>
      <c r="AV743"/>
      <c r="AW743"/>
      <c r="AX743"/>
      <c r="AY743" s="1087"/>
      <c r="AZ743" s="118" t="str">
        <f>IF($G743=0,"N/A",VLOOKUP($T$189,TC_Rent,(MATCH($B743,bedrooms,FALSE)),FALSE))</f>
        <v>N/A</v>
      </c>
      <c r="BD743"/>
      <c r="BE743"/>
      <c r="BF743" s="295">
        <f t="shared" si="9"/>
        <v>0</v>
      </c>
      <c r="BG743" s="298">
        <f t="shared" si="10"/>
        <v>0</v>
      </c>
      <c r="BH743" s="299" t="str">
        <f t="shared" si="11"/>
        <v/>
      </c>
      <c r="BI743"/>
      <c r="BJ743"/>
      <c r="BK743"/>
      <c r="BL743"/>
      <c r="BM743"/>
      <c r="BN743"/>
      <c r="BO743"/>
      <c r="BP743"/>
      <c r="BQ743"/>
      <c r="BR743"/>
      <c r="BS743" s="295">
        <f t="shared" si="12"/>
        <v>0</v>
      </c>
      <c r="BT743" s="298">
        <f t="shared" si="13"/>
        <v>0</v>
      </c>
      <c r="BU743" s="299" t="str">
        <f t="shared" si="14"/>
        <v/>
      </c>
      <c r="CD743"/>
      <c r="CG743" s="1353">
        <f t="shared" si="36"/>
        <v>0</v>
      </c>
      <c r="CH743" s="1355"/>
      <c r="CI743" s="1337">
        <f t="shared" si="37"/>
        <v>0</v>
      </c>
      <c r="CJ743" s="1339"/>
      <c r="CK743" s="1353">
        <f t="shared" si="15"/>
        <v>0</v>
      </c>
      <c r="CL743" s="1355"/>
      <c r="CM743" s="1337">
        <f t="shared" si="16"/>
        <v>0</v>
      </c>
      <c r="CN743" s="1339"/>
      <c r="CP743" s="1334">
        <f t="shared" si="17"/>
        <v>0</v>
      </c>
      <c r="CQ743" s="1335"/>
      <c r="CR743" s="1335"/>
      <c r="CS743" s="1335"/>
      <c r="CT743" s="1336"/>
      <c r="CU743" s="1356">
        <f t="shared" si="18"/>
        <v>0</v>
      </c>
      <c r="CV743" s="1356"/>
      <c r="CW743" s="1356"/>
      <c r="CX743" s="1356"/>
      <c r="CY743" s="1356"/>
      <c r="CZ743" s="1356">
        <f t="shared" si="19"/>
        <v>0</v>
      </c>
      <c r="DA743" s="1356"/>
      <c r="DB743" s="1356"/>
      <c r="DC743" s="1356"/>
      <c r="DD743" s="1356"/>
      <c r="DE743" s="1356">
        <f t="shared" si="20"/>
        <v>0</v>
      </c>
      <c r="DF743" s="1356"/>
      <c r="DG743" s="1356"/>
      <c r="DH743" s="1356"/>
      <c r="DI743" s="1356"/>
      <c r="DJ743" s="1356">
        <f t="shared" si="21"/>
        <v>0</v>
      </c>
      <c r="DK743" s="1356"/>
      <c r="DL743" s="1356"/>
      <c r="DM743" s="1356"/>
      <c r="DN743" s="1356"/>
      <c r="DO743" s="1356">
        <f t="shared" si="22"/>
        <v>0</v>
      </c>
      <c r="DP743" s="1356"/>
      <c r="DQ743" s="1356"/>
      <c r="DR743" s="1356"/>
      <c r="DS743" s="1356"/>
      <c r="DT743" s="6"/>
      <c r="DU743" s="1373">
        <f t="shared" si="23"/>
        <v>0</v>
      </c>
      <c r="DV743" s="1373"/>
      <c r="DW743" s="1373"/>
      <c r="DX743" s="1373"/>
      <c r="DY743" s="1373"/>
      <c r="DZ743" s="1373">
        <f t="shared" si="24"/>
        <v>0</v>
      </c>
      <c r="EA743" s="1373"/>
      <c r="EB743" s="1373"/>
      <c r="EC743" s="1373"/>
      <c r="ED743" s="1373"/>
      <c r="EE743" s="1373">
        <f t="shared" si="25"/>
        <v>0</v>
      </c>
      <c r="EF743" s="1373"/>
      <c r="EG743" s="1373"/>
      <c r="EH743" s="1373"/>
      <c r="EI743" s="1373"/>
      <c r="EJ743" s="1373">
        <f t="shared" si="26"/>
        <v>0</v>
      </c>
      <c r="EK743" s="1373"/>
      <c r="EL743" s="1373"/>
      <c r="EM743" s="1373"/>
      <c r="EN743" s="1373"/>
      <c r="EO743" s="1373">
        <f t="shared" si="27"/>
        <v>0</v>
      </c>
      <c r="EP743" s="1373"/>
      <c r="EQ743" s="1373"/>
      <c r="ER743" s="1373"/>
      <c r="ES743" s="1373"/>
      <c r="ET743" s="1373">
        <f t="shared" si="28"/>
        <v>0</v>
      </c>
      <c r="EU743" s="1373"/>
      <c r="EV743" s="1373"/>
      <c r="EW743" s="1373"/>
      <c r="EX743" s="1373"/>
      <c r="EY743"/>
      <c r="EZ743" s="1353" t="str">
        <f t="shared" si="29"/>
        <v/>
      </c>
      <c r="FA743" s="1354"/>
      <c r="FB743" s="1354"/>
      <c r="FC743" s="1354"/>
      <c r="FD743" s="1355"/>
      <c r="FE743" s="1353" t="str">
        <f t="shared" si="30"/>
        <v/>
      </c>
      <c r="FF743" s="1354"/>
      <c r="FG743" s="1354"/>
      <c r="FH743" s="1354"/>
      <c r="FI743" s="1355"/>
      <c r="FJ743" s="1353" t="str">
        <f t="shared" si="31"/>
        <v/>
      </c>
      <c r="FK743" s="1354"/>
      <c r="FL743" s="1354"/>
      <c r="FM743" s="1354"/>
      <c r="FN743" s="1355"/>
      <c r="FO743" s="1353" t="str">
        <f t="shared" si="32"/>
        <v/>
      </c>
      <c r="FP743" s="1354"/>
      <c r="FQ743" s="1354"/>
      <c r="FR743" s="1354"/>
      <c r="FS743" s="1355"/>
      <c r="FT743" s="1353" t="str">
        <f t="shared" si="33"/>
        <v/>
      </c>
      <c r="FU743" s="1354"/>
      <c r="FV743" s="1354"/>
      <c r="FW743" s="1354"/>
      <c r="FX743" s="1355"/>
      <c r="FY743" s="1353" t="str">
        <f t="shared" si="34"/>
        <v/>
      </c>
      <c r="FZ743" s="1354"/>
      <c r="GA743" s="1354"/>
      <c r="GB743" s="1354"/>
      <c r="GC743" s="1355"/>
    </row>
    <row r="744" spans="1:185" ht="12.95" customHeight="1">
      <c r="B744" s="1357"/>
      <c r="C744" s="1358"/>
      <c r="D744" s="1358"/>
      <c r="E744" s="1358"/>
      <c r="F744" s="1359"/>
      <c r="G744" s="1366"/>
      <c r="H744" s="1367"/>
      <c r="I744" s="1367"/>
      <c r="J744" s="1368"/>
      <c r="K744" s="1370"/>
      <c r="L744" s="1371"/>
      <c r="M744" s="1371"/>
      <c r="N744" s="1372"/>
      <c r="O744" s="1490"/>
      <c r="P744" s="1491"/>
      <c r="Q744" s="1491"/>
      <c r="R744" s="1491"/>
      <c r="S744" s="1492"/>
      <c r="T744" s="1490"/>
      <c r="U744" s="1491"/>
      <c r="V744" s="1491"/>
      <c r="W744" s="1492"/>
      <c r="X744" s="1360">
        <f t="shared" si="50"/>
        <v>0</v>
      </c>
      <c r="Y744" s="1361"/>
      <c r="Z744" s="1361"/>
      <c r="AA744" s="1361"/>
      <c r="AB744" s="1362"/>
      <c r="AC744" s="1630"/>
      <c r="AD744" s="1631"/>
      <c r="AE744" s="1631"/>
      <c r="AF744" s="1631"/>
      <c r="AG744" s="1632"/>
      <c r="AH744" s="1363" t="str">
        <f t="shared" si="35"/>
        <v/>
      </c>
      <c r="AI744" s="1364"/>
      <c r="AJ744" s="1365"/>
      <c r="AK744" s="1357" t="s">
        <v>591</v>
      </c>
      <c r="AL744" s="1358"/>
      <c r="AM744" s="1358"/>
      <c r="AN744" s="1358"/>
      <c r="AO744" s="1359"/>
      <c r="AP744" s="3"/>
      <c r="AQ744" s="3"/>
      <c r="AR744" s="3"/>
      <c r="AS744" s="3"/>
      <c r="AY744" s="1087"/>
      <c r="AZ744" s="118" t="str">
        <f>IF($G744=0,"N/A",VLOOKUP($T$189,TC_Rent,(MATCH($B744,bedrooms,FALSE)),FALSE))</f>
        <v>N/A</v>
      </c>
      <c r="BA744" s="3"/>
      <c r="BB744" s="3"/>
      <c r="BC744" s="3"/>
      <c r="BD744" s="3"/>
      <c r="BE744" s="3"/>
      <c r="BF744" s="295">
        <f t="shared" si="9"/>
        <v>0</v>
      </c>
      <c r="BG744" s="298">
        <f t="shared" si="10"/>
        <v>0</v>
      </c>
      <c r="BH744" s="299" t="str">
        <f t="shared" si="11"/>
        <v/>
      </c>
      <c r="BI744" s="3"/>
      <c r="BJ744" s="3"/>
      <c r="BK744" s="3"/>
      <c r="BL744" s="3"/>
      <c r="BM744" s="3"/>
      <c r="BN744" s="3"/>
      <c r="BS744" s="295">
        <f t="shared" si="12"/>
        <v>0</v>
      </c>
      <c r="BT744" s="298">
        <f t="shared" si="13"/>
        <v>0</v>
      </c>
      <c r="BU744" s="299" t="str">
        <f t="shared" si="14"/>
        <v/>
      </c>
      <c r="BV744" s="3"/>
      <c r="BW744" s="3"/>
      <c r="BX744" s="3"/>
      <c r="BY744" s="3"/>
      <c r="BZ744" s="3"/>
      <c r="CA744" s="3"/>
      <c r="CB744" s="3"/>
      <c r="CC744" s="3"/>
      <c r="CE744" s="3"/>
      <c r="CF744" s="3"/>
      <c r="CG744" s="1353">
        <f t="shared" si="36"/>
        <v>0</v>
      </c>
      <c r="CH744" s="1355"/>
      <c r="CI744" s="1337">
        <f t="shared" si="37"/>
        <v>0</v>
      </c>
      <c r="CJ744" s="1339"/>
      <c r="CK744" s="1353">
        <f t="shared" si="15"/>
        <v>0</v>
      </c>
      <c r="CL744" s="1355"/>
      <c r="CM744" s="1337">
        <f t="shared" si="16"/>
        <v>0</v>
      </c>
      <c r="CN744" s="1339"/>
      <c r="CO744" s="3"/>
      <c r="CP744" s="1334">
        <f t="shared" si="17"/>
        <v>0</v>
      </c>
      <c r="CQ744" s="1335"/>
      <c r="CR744" s="1335"/>
      <c r="CS744" s="1335"/>
      <c r="CT744" s="1336"/>
      <c r="CU744" s="1356">
        <f t="shared" si="18"/>
        <v>0</v>
      </c>
      <c r="CV744" s="1356"/>
      <c r="CW744" s="1356"/>
      <c r="CX744" s="1356"/>
      <c r="CY744" s="1356"/>
      <c r="CZ744" s="1356">
        <f t="shared" si="19"/>
        <v>0</v>
      </c>
      <c r="DA744" s="1356"/>
      <c r="DB744" s="1356"/>
      <c r="DC744" s="1356"/>
      <c r="DD744" s="1356"/>
      <c r="DE744" s="1356">
        <f t="shared" si="20"/>
        <v>0</v>
      </c>
      <c r="DF744" s="1356"/>
      <c r="DG744" s="1356"/>
      <c r="DH744" s="1356"/>
      <c r="DI744" s="1356"/>
      <c r="DJ744" s="1356">
        <f t="shared" si="21"/>
        <v>0</v>
      </c>
      <c r="DK744" s="1356"/>
      <c r="DL744" s="1356"/>
      <c r="DM744" s="1356"/>
      <c r="DN744" s="1356"/>
      <c r="DO744" s="1356">
        <f t="shared" si="22"/>
        <v>0</v>
      </c>
      <c r="DP744" s="1356"/>
      <c r="DQ744" s="1356"/>
      <c r="DR744" s="1356"/>
      <c r="DS744" s="1356"/>
      <c r="DT744" s="6"/>
      <c r="DU744" s="1373">
        <f t="shared" si="23"/>
        <v>0</v>
      </c>
      <c r="DV744" s="1373"/>
      <c r="DW744" s="1373"/>
      <c r="DX744" s="1373"/>
      <c r="DY744" s="1373"/>
      <c r="DZ744" s="1373">
        <f t="shared" si="24"/>
        <v>0</v>
      </c>
      <c r="EA744" s="1373"/>
      <c r="EB744" s="1373"/>
      <c r="EC744" s="1373"/>
      <c r="ED744" s="1373"/>
      <c r="EE744" s="1373">
        <f t="shared" si="25"/>
        <v>0</v>
      </c>
      <c r="EF744" s="1373"/>
      <c r="EG744" s="1373"/>
      <c r="EH744" s="1373"/>
      <c r="EI744" s="1373"/>
      <c r="EJ744" s="1373">
        <f t="shared" si="26"/>
        <v>0</v>
      </c>
      <c r="EK744" s="1373"/>
      <c r="EL744" s="1373"/>
      <c r="EM744" s="1373"/>
      <c r="EN744" s="1373"/>
      <c r="EO744" s="1373">
        <f t="shared" si="27"/>
        <v>0</v>
      </c>
      <c r="EP744" s="1373"/>
      <c r="EQ744" s="1373"/>
      <c r="ER744" s="1373"/>
      <c r="ES744" s="1373"/>
      <c r="ET744" s="1373">
        <f t="shared" si="28"/>
        <v>0</v>
      </c>
      <c r="EU744" s="1373"/>
      <c r="EV744" s="1373"/>
      <c r="EW744" s="1373"/>
      <c r="EX744" s="1373"/>
      <c r="EZ744" s="1353" t="str">
        <f t="shared" si="29"/>
        <v/>
      </c>
      <c r="FA744" s="1354"/>
      <c r="FB744" s="1354"/>
      <c r="FC744" s="1354"/>
      <c r="FD744" s="1355"/>
      <c r="FE744" s="1353" t="str">
        <f t="shared" si="30"/>
        <v/>
      </c>
      <c r="FF744" s="1354"/>
      <c r="FG744" s="1354"/>
      <c r="FH744" s="1354"/>
      <c r="FI744" s="1355"/>
      <c r="FJ744" s="1353" t="str">
        <f t="shared" si="31"/>
        <v/>
      </c>
      <c r="FK744" s="1354"/>
      <c r="FL744" s="1354"/>
      <c r="FM744" s="1354"/>
      <c r="FN744" s="1355"/>
      <c r="FO744" s="1353" t="str">
        <f t="shared" si="32"/>
        <v/>
      </c>
      <c r="FP744" s="1354"/>
      <c r="FQ744" s="1354"/>
      <c r="FR744" s="1354"/>
      <c r="FS744" s="1355"/>
      <c r="FT744" s="1353" t="str">
        <f t="shared" si="33"/>
        <v/>
      </c>
      <c r="FU744" s="1354"/>
      <c r="FV744" s="1354"/>
      <c r="FW744" s="1354"/>
      <c r="FX744" s="1355"/>
      <c r="FY744" s="1353" t="str">
        <f t="shared" si="34"/>
        <v/>
      </c>
      <c r="FZ744" s="1354"/>
      <c r="GA744" s="1354"/>
      <c r="GB744" s="1354"/>
      <c r="GC744" s="1355"/>
    </row>
    <row r="745" spans="1:185" ht="12.95" customHeight="1">
      <c r="B745" s="1357"/>
      <c r="C745" s="1358"/>
      <c r="D745" s="1358"/>
      <c r="E745" s="1358"/>
      <c r="F745" s="1359"/>
      <c r="G745" s="1366"/>
      <c r="H745" s="1367"/>
      <c r="I745" s="1367"/>
      <c r="J745" s="1368"/>
      <c r="K745" s="1370"/>
      <c r="L745" s="1371"/>
      <c r="M745" s="1371"/>
      <c r="N745" s="1372"/>
      <c r="O745" s="1490"/>
      <c r="P745" s="1491"/>
      <c r="Q745" s="1491"/>
      <c r="R745" s="1491"/>
      <c r="S745" s="1492"/>
      <c r="T745" s="1490"/>
      <c r="U745" s="1491"/>
      <c r="V745" s="1491"/>
      <c r="W745" s="1492"/>
      <c r="X745" s="1360">
        <f t="shared" si="50"/>
        <v>0</v>
      </c>
      <c r="Y745" s="1361"/>
      <c r="Z745" s="1361"/>
      <c r="AA745" s="1361"/>
      <c r="AB745" s="1362"/>
      <c r="AC745" s="1630"/>
      <c r="AD745" s="1631"/>
      <c r="AE745" s="1631"/>
      <c r="AF745" s="1631"/>
      <c r="AG745" s="1632"/>
      <c r="AH745" s="1363" t="str">
        <f t="shared" si="35"/>
        <v/>
      </c>
      <c r="AI745" s="1364"/>
      <c r="AJ745" s="1365"/>
      <c r="AK745" s="1357" t="s">
        <v>591</v>
      </c>
      <c r="AL745" s="1358"/>
      <c r="AM745" s="1358"/>
      <c r="AN745" s="1358"/>
      <c r="AO745" s="1359"/>
      <c r="AP745" s="3"/>
      <c r="AQ745" s="3"/>
      <c r="AR745" s="3"/>
      <c r="AS745" s="3"/>
      <c r="AY745" s="1087"/>
      <c r="AZ745" s="118" t="str">
        <f>IF($G745=0,"N/A",VLOOKUP($T$189,TC_Rent,(MATCH($B745,bedrooms,FALSE)),FALSE))</f>
        <v>N/A</v>
      </c>
      <c r="BA745" s="3"/>
      <c r="BB745" s="3"/>
      <c r="BC745" s="3"/>
      <c r="BD745" s="3"/>
      <c r="BE745" s="3"/>
      <c r="BF745" s="295">
        <f t="shared" si="9"/>
        <v>0</v>
      </c>
      <c r="BG745" s="298">
        <f t="shared" si="10"/>
        <v>0</v>
      </c>
      <c r="BH745" s="299" t="str">
        <f t="shared" si="11"/>
        <v/>
      </c>
      <c r="BI745" s="3"/>
      <c r="BJ745" s="3"/>
      <c r="BK745" s="3"/>
      <c r="BL745" s="3"/>
      <c r="BM745" s="3"/>
      <c r="BN745" s="3"/>
      <c r="BS745" s="295">
        <f t="shared" si="12"/>
        <v>0</v>
      </c>
      <c r="BT745" s="298">
        <f t="shared" si="13"/>
        <v>0</v>
      </c>
      <c r="BU745" s="299" t="str">
        <f t="shared" si="14"/>
        <v/>
      </c>
      <c r="BV745" s="3"/>
      <c r="BW745" s="3"/>
      <c r="BX745" s="3"/>
      <c r="BY745" s="3"/>
      <c r="BZ745" s="3"/>
      <c r="CA745" s="3"/>
      <c r="CB745" s="3"/>
      <c r="CC745" s="3"/>
      <c r="CE745" s="3"/>
      <c r="CF745" s="3"/>
      <c r="CG745" s="1353">
        <f t="shared" si="36"/>
        <v>0</v>
      </c>
      <c r="CH745" s="1355"/>
      <c r="CI745" s="1337">
        <f t="shared" si="37"/>
        <v>0</v>
      </c>
      <c r="CJ745" s="1339"/>
      <c r="CK745" s="1353">
        <f t="shared" si="15"/>
        <v>0</v>
      </c>
      <c r="CL745" s="1355"/>
      <c r="CM745" s="1337">
        <f t="shared" si="16"/>
        <v>0</v>
      </c>
      <c r="CN745" s="1339"/>
      <c r="CO745" s="3"/>
      <c r="CP745" s="1334">
        <f t="shared" si="17"/>
        <v>0</v>
      </c>
      <c r="CQ745" s="1335"/>
      <c r="CR745" s="1335"/>
      <c r="CS745" s="1335"/>
      <c r="CT745" s="1336"/>
      <c r="CU745" s="1356">
        <f t="shared" si="18"/>
        <v>0</v>
      </c>
      <c r="CV745" s="1356"/>
      <c r="CW745" s="1356"/>
      <c r="CX745" s="1356"/>
      <c r="CY745" s="1356"/>
      <c r="CZ745" s="1356">
        <f t="shared" si="19"/>
        <v>0</v>
      </c>
      <c r="DA745" s="1356"/>
      <c r="DB745" s="1356"/>
      <c r="DC745" s="1356"/>
      <c r="DD745" s="1356"/>
      <c r="DE745" s="1356">
        <f t="shared" si="20"/>
        <v>0</v>
      </c>
      <c r="DF745" s="1356"/>
      <c r="DG745" s="1356"/>
      <c r="DH745" s="1356"/>
      <c r="DI745" s="1356"/>
      <c r="DJ745" s="1356">
        <f t="shared" si="21"/>
        <v>0</v>
      </c>
      <c r="DK745" s="1356"/>
      <c r="DL745" s="1356"/>
      <c r="DM745" s="1356"/>
      <c r="DN745" s="1356"/>
      <c r="DO745" s="1356">
        <f t="shared" si="22"/>
        <v>0</v>
      </c>
      <c r="DP745" s="1356"/>
      <c r="DQ745" s="1356"/>
      <c r="DR745" s="1356"/>
      <c r="DS745" s="1356"/>
      <c r="DT745" s="6"/>
      <c r="DU745" s="1373">
        <f t="shared" si="23"/>
        <v>0</v>
      </c>
      <c r="DV745" s="1373"/>
      <c r="DW745" s="1373"/>
      <c r="DX745" s="1373"/>
      <c r="DY745" s="1373"/>
      <c r="DZ745" s="1373">
        <f t="shared" si="24"/>
        <v>0</v>
      </c>
      <c r="EA745" s="1373"/>
      <c r="EB745" s="1373"/>
      <c r="EC745" s="1373"/>
      <c r="ED745" s="1373"/>
      <c r="EE745" s="1373">
        <f t="shared" si="25"/>
        <v>0</v>
      </c>
      <c r="EF745" s="1373"/>
      <c r="EG745" s="1373"/>
      <c r="EH745" s="1373"/>
      <c r="EI745" s="1373"/>
      <c r="EJ745" s="1373">
        <f t="shared" si="26"/>
        <v>0</v>
      </c>
      <c r="EK745" s="1373"/>
      <c r="EL745" s="1373"/>
      <c r="EM745" s="1373"/>
      <c r="EN745" s="1373"/>
      <c r="EO745" s="1373">
        <f t="shared" si="27"/>
        <v>0</v>
      </c>
      <c r="EP745" s="1373"/>
      <c r="EQ745" s="1373"/>
      <c r="ER745" s="1373"/>
      <c r="ES745" s="1373"/>
      <c r="ET745" s="1373">
        <f t="shared" si="28"/>
        <v>0</v>
      </c>
      <c r="EU745" s="1373"/>
      <c r="EV745" s="1373"/>
      <c r="EW745" s="1373"/>
      <c r="EX745" s="1373"/>
      <c r="EZ745" s="1353" t="str">
        <f t="shared" si="29"/>
        <v/>
      </c>
      <c r="FA745" s="1354"/>
      <c r="FB745" s="1354"/>
      <c r="FC745" s="1354"/>
      <c r="FD745" s="1355"/>
      <c r="FE745" s="1353" t="str">
        <f t="shared" si="30"/>
        <v/>
      </c>
      <c r="FF745" s="1354"/>
      <c r="FG745" s="1354"/>
      <c r="FH745" s="1354"/>
      <c r="FI745" s="1355"/>
      <c r="FJ745" s="1353" t="str">
        <f t="shared" si="31"/>
        <v/>
      </c>
      <c r="FK745" s="1354"/>
      <c r="FL745" s="1354"/>
      <c r="FM745" s="1354"/>
      <c r="FN745" s="1355"/>
      <c r="FO745" s="1353" t="str">
        <f t="shared" si="32"/>
        <v/>
      </c>
      <c r="FP745" s="1354"/>
      <c r="FQ745" s="1354"/>
      <c r="FR745" s="1354"/>
      <c r="FS745" s="1355"/>
      <c r="FT745" s="1353" t="str">
        <f t="shared" si="33"/>
        <v/>
      </c>
      <c r="FU745" s="1354"/>
      <c r="FV745" s="1354"/>
      <c r="FW745" s="1354"/>
      <c r="FX745" s="1355"/>
      <c r="FY745" s="1353" t="str">
        <f t="shared" si="34"/>
        <v/>
      </c>
      <c r="FZ745" s="1354"/>
      <c r="GA745" s="1354"/>
      <c r="GB745" s="1354"/>
      <c r="GC745" s="1355"/>
    </row>
    <row r="746" spans="1:185" ht="12.95" customHeight="1">
      <c r="B746" s="1357"/>
      <c r="C746" s="1358"/>
      <c r="D746" s="1358"/>
      <c r="E746" s="1358"/>
      <c r="F746" s="1359"/>
      <c r="G746" s="1366"/>
      <c r="H746" s="1367"/>
      <c r="I746" s="1367"/>
      <c r="J746" s="1368"/>
      <c r="K746" s="1370"/>
      <c r="L746" s="1371"/>
      <c r="M746" s="1371"/>
      <c r="N746" s="1372"/>
      <c r="O746" s="1490"/>
      <c r="P746" s="1491"/>
      <c r="Q746" s="1491"/>
      <c r="R746" s="1491"/>
      <c r="S746" s="1492"/>
      <c r="T746" s="1490"/>
      <c r="U746" s="1491"/>
      <c r="V746" s="1491"/>
      <c r="W746" s="1492"/>
      <c r="X746" s="1360">
        <f t="shared" si="50"/>
        <v>0</v>
      </c>
      <c r="Y746" s="1361"/>
      <c r="Z746" s="1361"/>
      <c r="AA746" s="1361"/>
      <c r="AB746" s="1362"/>
      <c r="AC746" s="1630"/>
      <c r="AD746" s="1631"/>
      <c r="AE746" s="1631"/>
      <c r="AF746" s="1631"/>
      <c r="AG746" s="1632"/>
      <c r="AH746" s="1363" t="str">
        <f t="shared" si="35"/>
        <v/>
      </c>
      <c r="AI746" s="1364"/>
      <c r="AJ746" s="1365"/>
      <c r="AK746" s="1357" t="s">
        <v>591</v>
      </c>
      <c r="AL746" s="1358"/>
      <c r="AM746" s="1358"/>
      <c r="AN746" s="1358"/>
      <c r="AO746" s="1359"/>
      <c r="AP746" s="3"/>
      <c r="AQ746" s="3"/>
      <c r="AR746" s="3"/>
      <c r="AS746" s="3"/>
      <c r="AY746" s="1087"/>
      <c r="AZ746" s="118" t="str">
        <f>IF($G746=0,"N/A",VLOOKUP($T$189,TC_Rent,(MATCH($B746,bedrooms,FALSE)),FALSE))</f>
        <v>N/A</v>
      </c>
      <c r="BA746" s="34"/>
      <c r="BB746" s="34"/>
      <c r="BC746" s="34"/>
      <c r="BD746" s="34"/>
      <c r="BE746" s="34"/>
      <c r="BF746" s="295">
        <f t="shared" si="9"/>
        <v>0</v>
      </c>
      <c r="BG746" s="298">
        <f t="shared" si="10"/>
        <v>0</v>
      </c>
      <c r="BH746" s="299" t="str">
        <f t="shared" si="11"/>
        <v/>
      </c>
      <c r="BI746" s="34"/>
      <c r="BJ746" s="34"/>
      <c r="BK746" s="34"/>
      <c r="BL746" s="34"/>
      <c r="BM746" s="34"/>
      <c r="BN746" s="34"/>
      <c r="BS746" s="295">
        <f t="shared" si="12"/>
        <v>0</v>
      </c>
      <c r="BT746" s="298">
        <f t="shared" si="13"/>
        <v>0</v>
      </c>
      <c r="BU746" s="299" t="str">
        <f t="shared" si="14"/>
        <v/>
      </c>
      <c r="BV746" s="3"/>
      <c r="BW746" s="3"/>
      <c r="BX746" s="3"/>
      <c r="BY746" s="3"/>
      <c r="BZ746" s="3"/>
      <c r="CA746" s="3"/>
      <c r="CB746" s="3"/>
      <c r="CC746" s="3"/>
      <c r="CE746" s="3"/>
      <c r="CF746" s="3"/>
      <c r="CG746" s="1353">
        <f t="shared" si="36"/>
        <v>0</v>
      </c>
      <c r="CH746" s="1355"/>
      <c r="CI746" s="1337">
        <f t="shared" si="37"/>
        <v>0</v>
      </c>
      <c r="CJ746" s="1339"/>
      <c r="CK746" s="1353">
        <f t="shared" si="15"/>
        <v>0</v>
      </c>
      <c r="CL746" s="1355"/>
      <c r="CM746" s="1337">
        <f t="shared" si="16"/>
        <v>0</v>
      </c>
      <c r="CN746" s="1339"/>
      <c r="CO746" s="3"/>
      <c r="CP746" s="1334">
        <f t="shared" si="17"/>
        <v>0</v>
      </c>
      <c r="CQ746" s="1335"/>
      <c r="CR746" s="1335"/>
      <c r="CS746" s="1335"/>
      <c r="CT746" s="1336"/>
      <c r="CU746" s="1356">
        <f t="shared" si="18"/>
        <v>0</v>
      </c>
      <c r="CV746" s="1356"/>
      <c r="CW746" s="1356"/>
      <c r="CX746" s="1356"/>
      <c r="CY746" s="1356"/>
      <c r="CZ746" s="1356">
        <f t="shared" si="19"/>
        <v>0</v>
      </c>
      <c r="DA746" s="1356"/>
      <c r="DB746" s="1356"/>
      <c r="DC746" s="1356"/>
      <c r="DD746" s="1356"/>
      <c r="DE746" s="1356">
        <f t="shared" si="20"/>
        <v>0</v>
      </c>
      <c r="DF746" s="1356"/>
      <c r="DG746" s="1356"/>
      <c r="DH746" s="1356"/>
      <c r="DI746" s="1356"/>
      <c r="DJ746" s="1356">
        <f t="shared" si="21"/>
        <v>0</v>
      </c>
      <c r="DK746" s="1356"/>
      <c r="DL746" s="1356"/>
      <c r="DM746" s="1356"/>
      <c r="DN746" s="1356"/>
      <c r="DO746" s="1356">
        <f t="shared" si="22"/>
        <v>0</v>
      </c>
      <c r="DP746" s="1356"/>
      <c r="DQ746" s="1356"/>
      <c r="DR746" s="1356"/>
      <c r="DS746" s="1356"/>
      <c r="DT746" s="6"/>
      <c r="DU746" s="1373">
        <f t="shared" si="23"/>
        <v>0</v>
      </c>
      <c r="DV746" s="1373"/>
      <c r="DW746" s="1373"/>
      <c r="DX746" s="1373"/>
      <c r="DY746" s="1373"/>
      <c r="DZ746" s="1373">
        <f t="shared" si="24"/>
        <v>0</v>
      </c>
      <c r="EA746" s="1373"/>
      <c r="EB746" s="1373"/>
      <c r="EC746" s="1373"/>
      <c r="ED746" s="1373"/>
      <c r="EE746" s="1373">
        <f t="shared" si="25"/>
        <v>0</v>
      </c>
      <c r="EF746" s="1373"/>
      <c r="EG746" s="1373"/>
      <c r="EH746" s="1373"/>
      <c r="EI746" s="1373"/>
      <c r="EJ746" s="1373">
        <f t="shared" si="26"/>
        <v>0</v>
      </c>
      <c r="EK746" s="1373"/>
      <c r="EL746" s="1373"/>
      <c r="EM746" s="1373"/>
      <c r="EN746" s="1373"/>
      <c r="EO746" s="1373">
        <f t="shared" si="27"/>
        <v>0</v>
      </c>
      <c r="EP746" s="1373"/>
      <c r="EQ746" s="1373"/>
      <c r="ER746" s="1373"/>
      <c r="ES746" s="1373"/>
      <c r="ET746" s="1373">
        <f t="shared" si="28"/>
        <v>0</v>
      </c>
      <c r="EU746" s="1373"/>
      <c r="EV746" s="1373"/>
      <c r="EW746" s="1373"/>
      <c r="EX746" s="1373"/>
      <c r="EZ746" s="1353" t="str">
        <f t="shared" si="29"/>
        <v/>
      </c>
      <c r="FA746" s="1354"/>
      <c r="FB746" s="1354"/>
      <c r="FC746" s="1354"/>
      <c r="FD746" s="1355"/>
      <c r="FE746" s="1353" t="str">
        <f t="shared" si="30"/>
        <v/>
      </c>
      <c r="FF746" s="1354"/>
      <c r="FG746" s="1354"/>
      <c r="FH746" s="1354"/>
      <c r="FI746" s="1355"/>
      <c r="FJ746" s="1353" t="str">
        <f t="shared" si="31"/>
        <v/>
      </c>
      <c r="FK746" s="1354"/>
      <c r="FL746" s="1354"/>
      <c r="FM746" s="1354"/>
      <c r="FN746" s="1355"/>
      <c r="FO746" s="1353" t="str">
        <f t="shared" si="32"/>
        <v/>
      </c>
      <c r="FP746" s="1354"/>
      <c r="FQ746" s="1354"/>
      <c r="FR746" s="1354"/>
      <c r="FS746" s="1355"/>
      <c r="FT746" s="1353" t="str">
        <f t="shared" si="33"/>
        <v/>
      </c>
      <c r="FU746" s="1354"/>
      <c r="FV746" s="1354"/>
      <c r="FW746" s="1354"/>
      <c r="FX746" s="1355"/>
      <c r="FY746" s="1353" t="str">
        <f t="shared" si="34"/>
        <v/>
      </c>
      <c r="FZ746" s="1354"/>
      <c r="GA746" s="1354"/>
      <c r="GB746" s="1354"/>
      <c r="GC746" s="1355"/>
    </row>
    <row r="747" spans="1:185" ht="12.95" customHeight="1">
      <c r="B747" s="1357"/>
      <c r="C747" s="1358"/>
      <c r="D747" s="1358"/>
      <c r="E747" s="1358"/>
      <c r="F747" s="1359"/>
      <c r="G747" s="1366"/>
      <c r="H747" s="1367"/>
      <c r="I747" s="1367"/>
      <c r="J747" s="1368"/>
      <c r="K747" s="1370"/>
      <c r="L747" s="1371"/>
      <c r="M747" s="1371"/>
      <c r="N747" s="1372"/>
      <c r="O747" s="1490"/>
      <c r="P747" s="1491"/>
      <c r="Q747" s="1491"/>
      <c r="R747" s="1491"/>
      <c r="S747" s="1492"/>
      <c r="T747" s="1490"/>
      <c r="U747" s="1491"/>
      <c r="V747" s="1491"/>
      <c r="W747" s="1492"/>
      <c r="X747" s="1360">
        <f t="shared" si="50"/>
        <v>0</v>
      </c>
      <c r="Y747" s="1361"/>
      <c r="Z747" s="1361"/>
      <c r="AA747" s="1361"/>
      <c r="AB747" s="1362"/>
      <c r="AC747" s="1630"/>
      <c r="AD747" s="1631"/>
      <c r="AE747" s="1631"/>
      <c r="AF747" s="1631"/>
      <c r="AG747" s="1632"/>
      <c r="AH747" s="1363" t="str">
        <f t="shared" si="35"/>
        <v/>
      </c>
      <c r="AI747" s="1364"/>
      <c r="AJ747" s="1365"/>
      <c r="AK747" s="1357" t="s">
        <v>591</v>
      </c>
      <c r="AL747" s="1358"/>
      <c r="AM747" s="1358"/>
      <c r="AN747" s="1358"/>
      <c r="AO747" s="1359"/>
      <c r="AP747" s="3"/>
      <c r="AQ747" s="3"/>
      <c r="AR747" s="3"/>
      <c r="AS747" s="3"/>
      <c r="AY747" s="1087"/>
      <c r="AZ747" s="118" t="str">
        <f>IF($G747=0,"N/A",VLOOKUP($T$189,TC_Rent,(MATCH($B747,bedrooms,FALSE)),FALSE))</f>
        <v>N/A</v>
      </c>
      <c r="BA747" s="34"/>
      <c r="BB747" s="34"/>
      <c r="BC747" s="34"/>
      <c r="BD747" s="34"/>
      <c r="BE747" s="34"/>
      <c r="BF747" s="295">
        <f t="shared" si="9"/>
        <v>0</v>
      </c>
      <c r="BG747" s="298">
        <f t="shared" si="10"/>
        <v>0</v>
      </c>
      <c r="BH747" s="299" t="str">
        <f t="shared" si="11"/>
        <v/>
      </c>
      <c r="BI747" s="34"/>
      <c r="BJ747" s="34"/>
      <c r="BK747" s="34"/>
      <c r="BL747" s="34"/>
      <c r="BM747" s="34"/>
      <c r="BN747" s="34"/>
      <c r="BS747" s="295">
        <f t="shared" si="12"/>
        <v>0</v>
      </c>
      <c r="BT747" s="298">
        <f t="shared" si="13"/>
        <v>0</v>
      </c>
      <c r="BU747" s="299" t="str">
        <f t="shared" si="14"/>
        <v/>
      </c>
      <c r="BV747" s="3"/>
      <c r="BW747" s="3"/>
      <c r="BX747" s="3"/>
      <c r="BY747" s="3"/>
      <c r="BZ747" s="3"/>
      <c r="CA747" s="3"/>
      <c r="CB747" s="3"/>
      <c r="CC747" s="3"/>
      <c r="CE747" s="3"/>
      <c r="CF747" s="3"/>
      <c r="CG747" s="1353">
        <f t="shared" si="36"/>
        <v>0</v>
      </c>
      <c r="CH747" s="1355"/>
      <c r="CI747" s="1337">
        <f t="shared" si="37"/>
        <v>0</v>
      </c>
      <c r="CJ747" s="1339"/>
      <c r="CK747" s="1353">
        <f t="shared" si="15"/>
        <v>0</v>
      </c>
      <c r="CL747" s="1355"/>
      <c r="CM747" s="1337">
        <f t="shared" si="16"/>
        <v>0</v>
      </c>
      <c r="CN747" s="1339"/>
      <c r="CO747" s="3"/>
      <c r="CP747" s="1334">
        <f t="shared" si="17"/>
        <v>0</v>
      </c>
      <c r="CQ747" s="1335"/>
      <c r="CR747" s="1335"/>
      <c r="CS747" s="1335"/>
      <c r="CT747" s="1336"/>
      <c r="CU747" s="1356">
        <f t="shared" si="18"/>
        <v>0</v>
      </c>
      <c r="CV747" s="1356"/>
      <c r="CW747" s="1356"/>
      <c r="CX747" s="1356"/>
      <c r="CY747" s="1356"/>
      <c r="CZ747" s="1356">
        <f t="shared" si="19"/>
        <v>0</v>
      </c>
      <c r="DA747" s="1356"/>
      <c r="DB747" s="1356"/>
      <c r="DC747" s="1356"/>
      <c r="DD747" s="1356"/>
      <c r="DE747" s="1356">
        <f t="shared" si="20"/>
        <v>0</v>
      </c>
      <c r="DF747" s="1356"/>
      <c r="DG747" s="1356"/>
      <c r="DH747" s="1356"/>
      <c r="DI747" s="1356"/>
      <c r="DJ747" s="1356">
        <f t="shared" si="21"/>
        <v>0</v>
      </c>
      <c r="DK747" s="1356"/>
      <c r="DL747" s="1356"/>
      <c r="DM747" s="1356"/>
      <c r="DN747" s="1356"/>
      <c r="DO747" s="1356">
        <f t="shared" si="22"/>
        <v>0</v>
      </c>
      <c r="DP747" s="1356"/>
      <c r="DQ747" s="1356"/>
      <c r="DR747" s="1356"/>
      <c r="DS747" s="1356"/>
      <c r="DT747" s="6"/>
      <c r="DU747" s="1373">
        <f t="shared" si="23"/>
        <v>0</v>
      </c>
      <c r="DV747" s="1373"/>
      <c r="DW747" s="1373"/>
      <c r="DX747" s="1373"/>
      <c r="DY747" s="1373"/>
      <c r="DZ747" s="1373">
        <f t="shared" si="24"/>
        <v>0</v>
      </c>
      <c r="EA747" s="1373"/>
      <c r="EB747" s="1373"/>
      <c r="EC747" s="1373"/>
      <c r="ED747" s="1373"/>
      <c r="EE747" s="1373">
        <f t="shared" si="25"/>
        <v>0</v>
      </c>
      <c r="EF747" s="1373"/>
      <c r="EG747" s="1373"/>
      <c r="EH747" s="1373"/>
      <c r="EI747" s="1373"/>
      <c r="EJ747" s="1373">
        <f t="shared" si="26"/>
        <v>0</v>
      </c>
      <c r="EK747" s="1373"/>
      <c r="EL747" s="1373"/>
      <c r="EM747" s="1373"/>
      <c r="EN747" s="1373"/>
      <c r="EO747" s="1373">
        <f t="shared" si="27"/>
        <v>0</v>
      </c>
      <c r="EP747" s="1373"/>
      <c r="EQ747" s="1373"/>
      <c r="ER747" s="1373"/>
      <c r="ES747" s="1373"/>
      <c r="ET747" s="1373">
        <f t="shared" si="28"/>
        <v>0</v>
      </c>
      <c r="EU747" s="1373"/>
      <c r="EV747" s="1373"/>
      <c r="EW747" s="1373"/>
      <c r="EX747" s="1373"/>
      <c r="EZ747" s="1353" t="str">
        <f t="shared" si="29"/>
        <v/>
      </c>
      <c r="FA747" s="1354"/>
      <c r="FB747" s="1354"/>
      <c r="FC747" s="1354"/>
      <c r="FD747" s="1355"/>
      <c r="FE747" s="1353" t="str">
        <f t="shared" si="30"/>
        <v/>
      </c>
      <c r="FF747" s="1354"/>
      <c r="FG747" s="1354"/>
      <c r="FH747" s="1354"/>
      <c r="FI747" s="1355"/>
      <c r="FJ747" s="1353" t="str">
        <f t="shared" si="31"/>
        <v/>
      </c>
      <c r="FK747" s="1354"/>
      <c r="FL747" s="1354"/>
      <c r="FM747" s="1354"/>
      <c r="FN747" s="1355"/>
      <c r="FO747" s="1353" t="str">
        <f t="shared" si="32"/>
        <v/>
      </c>
      <c r="FP747" s="1354"/>
      <c r="FQ747" s="1354"/>
      <c r="FR747" s="1354"/>
      <c r="FS747" s="1355"/>
      <c r="FT747" s="1353" t="str">
        <f t="shared" si="33"/>
        <v/>
      </c>
      <c r="FU747" s="1354"/>
      <c r="FV747" s="1354"/>
      <c r="FW747" s="1354"/>
      <c r="FX747" s="1355"/>
      <c r="FY747" s="1353" t="str">
        <f t="shared" si="34"/>
        <v/>
      </c>
      <c r="FZ747" s="1354"/>
      <c r="GA747" s="1354"/>
      <c r="GB747" s="1354"/>
      <c r="GC747" s="1355"/>
    </row>
    <row r="748" spans="1:185" s="3" customFormat="1" ht="12.95" customHeight="1">
      <c r="A748"/>
      <c r="B748" s="1357"/>
      <c r="C748" s="1358"/>
      <c r="D748" s="1358"/>
      <c r="E748" s="1358"/>
      <c r="F748" s="1359"/>
      <c r="G748" s="1366"/>
      <c r="H748" s="1367"/>
      <c r="I748" s="1367"/>
      <c r="J748" s="1368"/>
      <c r="K748" s="1370"/>
      <c r="L748" s="1371"/>
      <c r="M748" s="1371"/>
      <c r="N748" s="1372"/>
      <c r="O748" s="1490"/>
      <c r="P748" s="1491"/>
      <c r="Q748" s="1491"/>
      <c r="R748" s="1491"/>
      <c r="S748" s="1492"/>
      <c r="T748" s="1490"/>
      <c r="U748" s="1491"/>
      <c r="V748" s="1491"/>
      <c r="W748" s="1492"/>
      <c r="X748" s="1360">
        <f t="shared" si="50"/>
        <v>0</v>
      </c>
      <c r="Y748" s="1361"/>
      <c r="Z748" s="1361"/>
      <c r="AA748" s="1361"/>
      <c r="AB748" s="1362"/>
      <c r="AC748" s="1630"/>
      <c r="AD748" s="1631"/>
      <c r="AE748" s="1631"/>
      <c r="AF748" s="1631"/>
      <c r="AG748" s="1632"/>
      <c r="AH748" s="1363" t="str">
        <f t="shared" si="35"/>
        <v/>
      </c>
      <c r="AI748" s="1364"/>
      <c r="AJ748" s="1365"/>
      <c r="AK748" s="1357" t="s">
        <v>591</v>
      </c>
      <c r="AL748" s="1358"/>
      <c r="AM748" s="1358"/>
      <c r="AN748" s="1358"/>
      <c r="AO748" s="1359"/>
      <c r="AT748"/>
      <c r="AU748"/>
      <c r="AV748"/>
      <c r="AW748"/>
      <c r="AX748"/>
      <c r="AY748" s="1087"/>
      <c r="AZ748" s="118" t="str">
        <f>IF($G748=0,"N/A",VLOOKUP($T$189,TC_Rent,(MATCH($B748,bedrooms,FALSE)),FALSE))</f>
        <v>N/A</v>
      </c>
      <c r="BA748" s="34"/>
      <c r="BB748" s="34"/>
      <c r="BC748" s="34"/>
      <c r="BD748" s="34"/>
      <c r="BE748" s="34"/>
      <c r="BF748" s="295">
        <f t="shared" si="9"/>
        <v>0</v>
      </c>
      <c r="BG748" s="298">
        <f t="shared" si="10"/>
        <v>0</v>
      </c>
      <c r="BH748" s="299" t="str">
        <f t="shared" si="11"/>
        <v/>
      </c>
      <c r="BJ748" s="34"/>
      <c r="BK748" s="34"/>
      <c r="BL748" s="34"/>
      <c r="BM748" s="34"/>
      <c r="BN748" s="34"/>
      <c r="BO748"/>
      <c r="BP748"/>
      <c r="BQ748"/>
      <c r="BR748"/>
      <c r="BS748" s="295">
        <f t="shared" si="12"/>
        <v>0</v>
      </c>
      <c r="BT748" s="298">
        <f t="shared" si="13"/>
        <v>0</v>
      </c>
      <c r="BU748" s="299" t="str">
        <f t="shared" si="14"/>
        <v/>
      </c>
      <c r="CD748"/>
      <c r="CG748" s="1353">
        <f t="shared" si="36"/>
        <v>0</v>
      </c>
      <c r="CH748" s="1355"/>
      <c r="CI748" s="1337">
        <f t="shared" si="37"/>
        <v>0</v>
      </c>
      <c r="CJ748" s="1339"/>
      <c r="CK748" s="1353">
        <f t="shared" si="15"/>
        <v>0</v>
      </c>
      <c r="CL748" s="1355"/>
      <c r="CM748" s="1337">
        <f t="shared" si="16"/>
        <v>0</v>
      </c>
      <c r="CN748" s="1339"/>
      <c r="CP748" s="1334">
        <f t="shared" si="17"/>
        <v>0</v>
      </c>
      <c r="CQ748" s="1335"/>
      <c r="CR748" s="1335"/>
      <c r="CS748" s="1335"/>
      <c r="CT748" s="1336"/>
      <c r="CU748" s="1356">
        <f t="shared" si="18"/>
        <v>0</v>
      </c>
      <c r="CV748" s="1356"/>
      <c r="CW748" s="1356"/>
      <c r="CX748" s="1356"/>
      <c r="CY748" s="1356"/>
      <c r="CZ748" s="1356">
        <f t="shared" si="19"/>
        <v>0</v>
      </c>
      <c r="DA748" s="1356"/>
      <c r="DB748" s="1356"/>
      <c r="DC748" s="1356"/>
      <c r="DD748" s="1356"/>
      <c r="DE748" s="1356">
        <f t="shared" si="20"/>
        <v>0</v>
      </c>
      <c r="DF748" s="1356"/>
      <c r="DG748" s="1356"/>
      <c r="DH748" s="1356"/>
      <c r="DI748" s="1356"/>
      <c r="DJ748" s="1356">
        <f t="shared" si="21"/>
        <v>0</v>
      </c>
      <c r="DK748" s="1356"/>
      <c r="DL748" s="1356"/>
      <c r="DM748" s="1356"/>
      <c r="DN748" s="1356"/>
      <c r="DO748" s="1356">
        <f t="shared" si="22"/>
        <v>0</v>
      </c>
      <c r="DP748" s="1356"/>
      <c r="DQ748" s="1356"/>
      <c r="DR748" s="1356"/>
      <c r="DS748" s="1356"/>
      <c r="DT748" s="6"/>
      <c r="DU748" s="1373">
        <f t="shared" si="23"/>
        <v>0</v>
      </c>
      <c r="DV748" s="1373"/>
      <c r="DW748" s="1373"/>
      <c r="DX748" s="1373"/>
      <c r="DY748" s="1373"/>
      <c r="DZ748" s="1373">
        <f t="shared" si="24"/>
        <v>0</v>
      </c>
      <c r="EA748" s="1373"/>
      <c r="EB748" s="1373"/>
      <c r="EC748" s="1373"/>
      <c r="ED748" s="1373"/>
      <c r="EE748" s="1373">
        <f t="shared" si="25"/>
        <v>0</v>
      </c>
      <c r="EF748" s="1373"/>
      <c r="EG748" s="1373"/>
      <c r="EH748" s="1373"/>
      <c r="EI748" s="1373"/>
      <c r="EJ748" s="1373">
        <f t="shared" si="26"/>
        <v>0</v>
      </c>
      <c r="EK748" s="1373"/>
      <c r="EL748" s="1373"/>
      <c r="EM748" s="1373"/>
      <c r="EN748" s="1373"/>
      <c r="EO748" s="1373">
        <f t="shared" si="27"/>
        <v>0</v>
      </c>
      <c r="EP748" s="1373"/>
      <c r="EQ748" s="1373"/>
      <c r="ER748" s="1373"/>
      <c r="ES748" s="1373"/>
      <c r="ET748" s="1373">
        <f t="shared" si="28"/>
        <v>0</v>
      </c>
      <c r="EU748" s="1373"/>
      <c r="EV748" s="1373"/>
      <c r="EW748" s="1373"/>
      <c r="EX748" s="1373"/>
      <c r="EY748"/>
      <c r="EZ748" s="1353" t="str">
        <f t="shared" si="29"/>
        <v/>
      </c>
      <c r="FA748" s="1354"/>
      <c r="FB748" s="1354"/>
      <c r="FC748" s="1354"/>
      <c r="FD748" s="1355"/>
      <c r="FE748" s="1353" t="str">
        <f t="shared" si="30"/>
        <v/>
      </c>
      <c r="FF748" s="1354"/>
      <c r="FG748" s="1354"/>
      <c r="FH748" s="1354"/>
      <c r="FI748" s="1355"/>
      <c r="FJ748" s="1353" t="str">
        <f t="shared" si="31"/>
        <v/>
      </c>
      <c r="FK748" s="1354"/>
      <c r="FL748" s="1354"/>
      <c r="FM748" s="1354"/>
      <c r="FN748" s="1355"/>
      <c r="FO748" s="1353" t="str">
        <f t="shared" si="32"/>
        <v/>
      </c>
      <c r="FP748" s="1354"/>
      <c r="FQ748" s="1354"/>
      <c r="FR748" s="1354"/>
      <c r="FS748" s="1355"/>
      <c r="FT748" s="1353" t="str">
        <f t="shared" si="33"/>
        <v/>
      </c>
      <c r="FU748" s="1354"/>
      <c r="FV748" s="1354"/>
      <c r="FW748" s="1354"/>
      <c r="FX748" s="1355"/>
      <c r="FY748" s="1353" t="str">
        <f t="shared" si="34"/>
        <v/>
      </c>
      <c r="FZ748" s="1354"/>
      <c r="GA748" s="1354"/>
      <c r="GB748" s="1354"/>
      <c r="GC748" s="1355"/>
    </row>
    <row r="749" spans="1:185" s="3" customFormat="1" ht="12.95" customHeight="1">
      <c r="A749"/>
      <c r="B749" s="1357"/>
      <c r="C749" s="1358"/>
      <c r="D749" s="1358"/>
      <c r="E749" s="1358"/>
      <c r="F749" s="1359"/>
      <c r="G749" s="1366"/>
      <c r="H749" s="1367"/>
      <c r="I749" s="1367"/>
      <c r="J749" s="1368"/>
      <c r="K749" s="1370"/>
      <c r="L749" s="1371"/>
      <c r="M749" s="1371"/>
      <c r="N749" s="1372"/>
      <c r="O749" s="1490"/>
      <c r="P749" s="1491"/>
      <c r="Q749" s="1491"/>
      <c r="R749" s="1491"/>
      <c r="S749" s="1492"/>
      <c r="T749" s="1490"/>
      <c r="U749" s="1491"/>
      <c r="V749" s="1491"/>
      <c r="W749" s="1492"/>
      <c r="X749" s="1360">
        <f t="shared" si="50"/>
        <v>0</v>
      </c>
      <c r="Y749" s="1361"/>
      <c r="Z749" s="1361"/>
      <c r="AA749" s="1361"/>
      <c r="AB749" s="1362"/>
      <c r="AC749" s="1630"/>
      <c r="AD749" s="1631"/>
      <c r="AE749" s="1631"/>
      <c r="AF749" s="1631"/>
      <c r="AG749" s="1632"/>
      <c r="AH749" s="1363" t="str">
        <f t="shared" si="35"/>
        <v/>
      </c>
      <c r="AI749" s="1364"/>
      <c r="AJ749" s="1365"/>
      <c r="AK749" s="1357" t="s">
        <v>591</v>
      </c>
      <c r="AL749" s="1358"/>
      <c r="AM749" s="1358"/>
      <c r="AN749" s="1358"/>
      <c r="AO749" s="1359"/>
      <c r="AT749"/>
      <c r="AU749"/>
      <c r="AV749"/>
      <c r="AW749"/>
      <c r="AX749"/>
      <c r="AY749" s="1087"/>
      <c r="AZ749" s="118" t="str">
        <f>IF($G749=0,"N/A",VLOOKUP($T$189,TC_Rent,(MATCH($B749,bedrooms,FALSE)),FALSE))</f>
        <v>N/A</v>
      </c>
      <c r="BA749" s="34"/>
      <c r="BB749" s="34"/>
      <c r="BC749" s="34"/>
      <c r="BD749" s="34"/>
      <c r="BE749" s="34"/>
      <c r="BF749" s="295">
        <f t="shared" si="9"/>
        <v>0</v>
      </c>
      <c r="BG749" s="298">
        <f t="shared" si="10"/>
        <v>0</v>
      </c>
      <c r="BH749" s="299" t="str">
        <f t="shared" si="11"/>
        <v/>
      </c>
      <c r="BJ749" s="34"/>
      <c r="BK749" s="34"/>
      <c r="BL749" s="34"/>
      <c r="BM749" s="34"/>
      <c r="BN749" s="34"/>
      <c r="BO749"/>
      <c r="BP749"/>
      <c r="BQ749"/>
      <c r="BR749"/>
      <c r="BS749" s="295">
        <f t="shared" si="12"/>
        <v>0</v>
      </c>
      <c r="BT749" s="298">
        <f t="shared" si="13"/>
        <v>0</v>
      </c>
      <c r="BU749" s="299" t="str">
        <f t="shared" si="14"/>
        <v/>
      </c>
      <c r="CD749"/>
      <c r="CG749" s="1353">
        <f t="shared" si="36"/>
        <v>0</v>
      </c>
      <c r="CH749" s="1355"/>
      <c r="CI749" s="1337">
        <f t="shared" si="37"/>
        <v>0</v>
      </c>
      <c r="CJ749" s="1339"/>
      <c r="CK749" s="1353">
        <f t="shared" si="15"/>
        <v>0</v>
      </c>
      <c r="CL749" s="1355"/>
      <c r="CM749" s="1337">
        <f t="shared" si="16"/>
        <v>0</v>
      </c>
      <c r="CN749" s="1339"/>
      <c r="CP749" s="1334">
        <f t="shared" si="17"/>
        <v>0</v>
      </c>
      <c r="CQ749" s="1335"/>
      <c r="CR749" s="1335"/>
      <c r="CS749" s="1335"/>
      <c r="CT749" s="1336"/>
      <c r="CU749" s="1356">
        <f t="shared" si="18"/>
        <v>0</v>
      </c>
      <c r="CV749" s="1356"/>
      <c r="CW749" s="1356"/>
      <c r="CX749" s="1356"/>
      <c r="CY749" s="1356"/>
      <c r="CZ749" s="1356">
        <f t="shared" si="19"/>
        <v>0</v>
      </c>
      <c r="DA749" s="1356"/>
      <c r="DB749" s="1356"/>
      <c r="DC749" s="1356"/>
      <c r="DD749" s="1356"/>
      <c r="DE749" s="1356">
        <f t="shared" si="20"/>
        <v>0</v>
      </c>
      <c r="DF749" s="1356"/>
      <c r="DG749" s="1356"/>
      <c r="DH749" s="1356"/>
      <c r="DI749" s="1356"/>
      <c r="DJ749" s="1356">
        <f t="shared" si="21"/>
        <v>0</v>
      </c>
      <c r="DK749" s="1356"/>
      <c r="DL749" s="1356"/>
      <c r="DM749" s="1356"/>
      <c r="DN749" s="1356"/>
      <c r="DO749" s="1356">
        <f t="shared" si="22"/>
        <v>0</v>
      </c>
      <c r="DP749" s="1356"/>
      <c r="DQ749" s="1356"/>
      <c r="DR749" s="1356"/>
      <c r="DS749" s="1356"/>
      <c r="DT749" s="6"/>
      <c r="DU749" s="1373">
        <f t="shared" si="23"/>
        <v>0</v>
      </c>
      <c r="DV749" s="1373"/>
      <c r="DW749" s="1373"/>
      <c r="DX749" s="1373"/>
      <c r="DY749" s="1373"/>
      <c r="DZ749" s="1373">
        <f t="shared" si="24"/>
        <v>0</v>
      </c>
      <c r="EA749" s="1373"/>
      <c r="EB749" s="1373"/>
      <c r="EC749" s="1373"/>
      <c r="ED749" s="1373"/>
      <c r="EE749" s="1373">
        <f t="shared" si="25"/>
        <v>0</v>
      </c>
      <c r="EF749" s="1373"/>
      <c r="EG749" s="1373"/>
      <c r="EH749" s="1373"/>
      <c r="EI749" s="1373"/>
      <c r="EJ749" s="1373">
        <f t="shared" si="26"/>
        <v>0</v>
      </c>
      <c r="EK749" s="1373"/>
      <c r="EL749" s="1373"/>
      <c r="EM749" s="1373"/>
      <c r="EN749" s="1373"/>
      <c r="EO749" s="1373">
        <f t="shared" si="27"/>
        <v>0</v>
      </c>
      <c r="EP749" s="1373"/>
      <c r="EQ749" s="1373"/>
      <c r="ER749" s="1373"/>
      <c r="ES749" s="1373"/>
      <c r="ET749" s="1373">
        <f t="shared" si="28"/>
        <v>0</v>
      </c>
      <c r="EU749" s="1373"/>
      <c r="EV749" s="1373"/>
      <c r="EW749" s="1373"/>
      <c r="EX749" s="1373"/>
      <c r="EY749"/>
      <c r="EZ749" s="1353" t="str">
        <f t="shared" si="29"/>
        <v/>
      </c>
      <c r="FA749" s="1354"/>
      <c r="FB749" s="1354"/>
      <c r="FC749" s="1354"/>
      <c r="FD749" s="1355"/>
      <c r="FE749" s="1353" t="str">
        <f t="shared" si="30"/>
        <v/>
      </c>
      <c r="FF749" s="1354"/>
      <c r="FG749" s="1354"/>
      <c r="FH749" s="1354"/>
      <c r="FI749" s="1355"/>
      <c r="FJ749" s="1353" t="str">
        <f t="shared" si="31"/>
        <v/>
      </c>
      <c r="FK749" s="1354"/>
      <c r="FL749" s="1354"/>
      <c r="FM749" s="1354"/>
      <c r="FN749" s="1355"/>
      <c r="FO749" s="1353" t="str">
        <f t="shared" si="32"/>
        <v/>
      </c>
      <c r="FP749" s="1354"/>
      <c r="FQ749" s="1354"/>
      <c r="FR749" s="1354"/>
      <c r="FS749" s="1355"/>
      <c r="FT749" s="1353" t="str">
        <f t="shared" si="33"/>
        <v/>
      </c>
      <c r="FU749" s="1354"/>
      <c r="FV749" s="1354"/>
      <c r="FW749" s="1354"/>
      <c r="FX749" s="1355"/>
      <c r="FY749" s="1353" t="str">
        <f t="shared" si="34"/>
        <v/>
      </c>
      <c r="FZ749" s="1354"/>
      <c r="GA749" s="1354"/>
      <c r="GB749" s="1354"/>
      <c r="GC749" s="1355"/>
    </row>
    <row r="750" spans="1:185" s="3" customFormat="1" ht="12.95" customHeight="1">
      <c r="A750"/>
      <c r="B750" s="1357"/>
      <c r="C750" s="1358"/>
      <c r="D750" s="1358"/>
      <c r="E750" s="1358"/>
      <c r="F750" s="1359"/>
      <c r="G750" s="1366"/>
      <c r="H750" s="1367"/>
      <c r="I750" s="1367"/>
      <c r="J750" s="1368"/>
      <c r="K750" s="1370"/>
      <c r="L750" s="1371"/>
      <c r="M750" s="1371"/>
      <c r="N750" s="1372"/>
      <c r="O750" s="1490"/>
      <c r="P750" s="1491"/>
      <c r="Q750" s="1491"/>
      <c r="R750" s="1491"/>
      <c r="S750" s="1492"/>
      <c r="T750" s="1490"/>
      <c r="U750" s="1491"/>
      <c r="V750" s="1491"/>
      <c r="W750" s="1492"/>
      <c r="X750" s="1360">
        <f t="shared" si="50"/>
        <v>0</v>
      </c>
      <c r="Y750" s="1361"/>
      <c r="Z750" s="1361"/>
      <c r="AA750" s="1361"/>
      <c r="AB750" s="1362"/>
      <c r="AC750" s="1630"/>
      <c r="AD750" s="1631"/>
      <c r="AE750" s="1631"/>
      <c r="AF750" s="1631"/>
      <c r="AG750" s="1632"/>
      <c r="AH750" s="1363" t="str">
        <f t="shared" si="35"/>
        <v/>
      </c>
      <c r="AI750" s="1364"/>
      <c r="AJ750" s="1365"/>
      <c r="AK750" s="1357" t="s">
        <v>591</v>
      </c>
      <c r="AL750" s="1358"/>
      <c r="AM750" s="1358"/>
      <c r="AN750" s="1358"/>
      <c r="AO750" s="1359"/>
      <c r="AT750"/>
      <c r="AU750"/>
      <c r="AV750"/>
      <c r="AW750"/>
      <c r="AX750"/>
      <c r="AY750"/>
      <c r="AZ750" s="118" t="str">
        <f>IF($G750=0,"N/A",VLOOKUP($T$189,TC_Rent,(MATCH($B750,bedrooms,FALSE)),FALSE))</f>
        <v>N/A</v>
      </c>
      <c r="BA750" s="34"/>
      <c r="BB750" s="34"/>
      <c r="BC750" s="34"/>
      <c r="BD750" s="34"/>
      <c r="BE750" s="34"/>
      <c r="BF750" s="295">
        <f t="shared" si="9"/>
        <v>0</v>
      </c>
      <c r="BG750" s="298">
        <f t="shared" si="10"/>
        <v>0</v>
      </c>
      <c r="BH750" s="299" t="str">
        <f t="shared" si="11"/>
        <v/>
      </c>
      <c r="BJ750" s="34"/>
      <c r="BK750" s="34"/>
      <c r="BL750" s="34"/>
      <c r="BM750" s="34"/>
      <c r="BN750" s="34"/>
      <c r="BO750"/>
      <c r="BP750"/>
      <c r="BQ750"/>
      <c r="BR750"/>
      <c r="BS750" s="295">
        <f t="shared" si="12"/>
        <v>0</v>
      </c>
      <c r="BT750" s="298">
        <f t="shared" si="13"/>
        <v>0</v>
      </c>
      <c r="BU750" s="299" t="str">
        <f t="shared" si="14"/>
        <v/>
      </c>
      <c r="CD750"/>
      <c r="CG750" s="1353">
        <f t="shared" si="36"/>
        <v>0</v>
      </c>
      <c r="CH750" s="1355"/>
      <c r="CI750" s="1337">
        <f t="shared" si="37"/>
        <v>0</v>
      </c>
      <c r="CJ750" s="1339"/>
      <c r="CK750" s="1353">
        <f t="shared" si="15"/>
        <v>0</v>
      </c>
      <c r="CL750" s="1355"/>
      <c r="CM750" s="1337">
        <f t="shared" si="16"/>
        <v>0</v>
      </c>
      <c r="CN750" s="1339"/>
      <c r="CP750" s="1334">
        <f t="shared" si="17"/>
        <v>0</v>
      </c>
      <c r="CQ750" s="1335"/>
      <c r="CR750" s="1335"/>
      <c r="CS750" s="1335"/>
      <c r="CT750" s="1336"/>
      <c r="CU750" s="1356">
        <f t="shared" si="18"/>
        <v>0</v>
      </c>
      <c r="CV750" s="1356"/>
      <c r="CW750" s="1356"/>
      <c r="CX750" s="1356"/>
      <c r="CY750" s="1356"/>
      <c r="CZ750" s="1356">
        <f t="shared" si="19"/>
        <v>0</v>
      </c>
      <c r="DA750" s="1356"/>
      <c r="DB750" s="1356"/>
      <c r="DC750" s="1356"/>
      <c r="DD750" s="1356"/>
      <c r="DE750" s="1356">
        <f t="shared" si="20"/>
        <v>0</v>
      </c>
      <c r="DF750" s="1356"/>
      <c r="DG750" s="1356"/>
      <c r="DH750" s="1356"/>
      <c r="DI750" s="1356"/>
      <c r="DJ750" s="1356">
        <f t="shared" si="21"/>
        <v>0</v>
      </c>
      <c r="DK750" s="1356"/>
      <c r="DL750" s="1356"/>
      <c r="DM750" s="1356"/>
      <c r="DN750" s="1356"/>
      <c r="DO750" s="1356">
        <f t="shared" si="22"/>
        <v>0</v>
      </c>
      <c r="DP750" s="1356"/>
      <c r="DQ750" s="1356"/>
      <c r="DR750" s="1356"/>
      <c r="DS750" s="1356"/>
      <c r="DT750" s="6"/>
      <c r="DU750" s="1373">
        <f t="shared" si="23"/>
        <v>0</v>
      </c>
      <c r="DV750" s="1373"/>
      <c r="DW750" s="1373"/>
      <c r="DX750" s="1373"/>
      <c r="DY750" s="1373"/>
      <c r="DZ750" s="1373">
        <f t="shared" si="24"/>
        <v>0</v>
      </c>
      <c r="EA750" s="1373"/>
      <c r="EB750" s="1373"/>
      <c r="EC750" s="1373"/>
      <c r="ED750" s="1373"/>
      <c r="EE750" s="1373">
        <f t="shared" si="25"/>
        <v>0</v>
      </c>
      <c r="EF750" s="1373"/>
      <c r="EG750" s="1373"/>
      <c r="EH750" s="1373"/>
      <c r="EI750" s="1373"/>
      <c r="EJ750" s="1373">
        <f t="shared" si="26"/>
        <v>0</v>
      </c>
      <c r="EK750" s="1373"/>
      <c r="EL750" s="1373"/>
      <c r="EM750" s="1373"/>
      <c r="EN750" s="1373"/>
      <c r="EO750" s="1373">
        <f t="shared" si="27"/>
        <v>0</v>
      </c>
      <c r="EP750" s="1373"/>
      <c r="EQ750" s="1373"/>
      <c r="ER750" s="1373"/>
      <c r="ES750" s="1373"/>
      <c r="ET750" s="1373">
        <f t="shared" si="28"/>
        <v>0</v>
      </c>
      <c r="EU750" s="1373"/>
      <c r="EV750" s="1373"/>
      <c r="EW750" s="1373"/>
      <c r="EX750" s="1373"/>
      <c r="EY750"/>
      <c r="EZ750" s="1353" t="str">
        <f t="shared" si="29"/>
        <v/>
      </c>
      <c r="FA750" s="1354"/>
      <c r="FB750" s="1354"/>
      <c r="FC750" s="1354"/>
      <c r="FD750" s="1355"/>
      <c r="FE750" s="1353" t="str">
        <f t="shared" si="30"/>
        <v/>
      </c>
      <c r="FF750" s="1354"/>
      <c r="FG750" s="1354"/>
      <c r="FH750" s="1354"/>
      <c r="FI750" s="1355"/>
      <c r="FJ750" s="1353" t="str">
        <f t="shared" si="31"/>
        <v/>
      </c>
      <c r="FK750" s="1354"/>
      <c r="FL750" s="1354"/>
      <c r="FM750" s="1354"/>
      <c r="FN750" s="1355"/>
      <c r="FO750" s="1353" t="str">
        <f t="shared" si="32"/>
        <v/>
      </c>
      <c r="FP750" s="1354"/>
      <c r="FQ750" s="1354"/>
      <c r="FR750" s="1354"/>
      <c r="FS750" s="1355"/>
      <c r="FT750" s="1353" t="str">
        <f t="shared" si="33"/>
        <v/>
      </c>
      <c r="FU750" s="1354"/>
      <c r="FV750" s="1354"/>
      <c r="FW750" s="1354"/>
      <c r="FX750" s="1355"/>
      <c r="FY750" s="1353" t="str">
        <f t="shared" si="34"/>
        <v/>
      </c>
      <c r="FZ750" s="1354"/>
      <c r="GA750" s="1354"/>
      <c r="GB750" s="1354"/>
      <c r="GC750" s="1355"/>
    </row>
    <row r="751" spans="1:185" s="3" customFormat="1" ht="12.95" customHeight="1">
      <c r="A751"/>
      <c r="B751" s="1357"/>
      <c r="C751" s="1358"/>
      <c r="D751" s="1358"/>
      <c r="E751" s="1358"/>
      <c r="F751" s="1359"/>
      <c r="G751" s="1366"/>
      <c r="H751" s="1367"/>
      <c r="I751" s="1367"/>
      <c r="J751" s="1368"/>
      <c r="K751" s="1370"/>
      <c r="L751" s="1371"/>
      <c r="M751" s="1371"/>
      <c r="N751" s="1372"/>
      <c r="O751" s="1490"/>
      <c r="P751" s="1491"/>
      <c r="Q751" s="1491"/>
      <c r="R751" s="1491"/>
      <c r="S751" s="1492"/>
      <c r="T751" s="1490"/>
      <c r="U751" s="1491"/>
      <c r="V751" s="1491"/>
      <c r="W751" s="1492"/>
      <c r="X751" s="1360">
        <f t="shared" si="50"/>
        <v>0</v>
      </c>
      <c r="Y751" s="1361"/>
      <c r="Z751" s="1361"/>
      <c r="AA751" s="1361"/>
      <c r="AB751" s="1362"/>
      <c r="AC751" s="1630"/>
      <c r="AD751" s="1631"/>
      <c r="AE751" s="1631"/>
      <c r="AF751" s="1631"/>
      <c r="AG751" s="1632"/>
      <c r="AH751" s="1363" t="str">
        <f t="shared" si="35"/>
        <v/>
      </c>
      <c r="AI751" s="1364"/>
      <c r="AJ751" s="1365"/>
      <c r="AK751" s="1357" t="s">
        <v>591</v>
      </c>
      <c r="AL751" s="1358"/>
      <c r="AM751" s="1358"/>
      <c r="AN751" s="1358"/>
      <c r="AO751" s="1359"/>
      <c r="AT751"/>
      <c r="AU751"/>
      <c r="AV751"/>
      <c r="AW751"/>
      <c r="AX751"/>
      <c r="AY751"/>
      <c r="AZ751" s="118" t="str">
        <f>IF($G751=0,"N/A",VLOOKUP($T$189,TC_Rent,(MATCH($B751,bedrooms,FALSE)),FALSE))</f>
        <v>N/A</v>
      </c>
      <c r="BA751" s="34"/>
      <c r="BB751" s="34"/>
      <c r="BC751" s="34"/>
      <c r="BD751" s="34"/>
      <c r="BE751" s="34"/>
      <c r="BF751" s="295">
        <f t="shared" si="9"/>
        <v>0</v>
      </c>
      <c r="BG751" s="298">
        <f t="shared" si="10"/>
        <v>0</v>
      </c>
      <c r="BH751" s="299" t="str">
        <f t="shared" si="11"/>
        <v/>
      </c>
      <c r="BJ751" s="34"/>
      <c r="BK751" s="34"/>
      <c r="BL751" s="34"/>
      <c r="BM751" s="34"/>
      <c r="BN751" s="34"/>
      <c r="BO751"/>
      <c r="BP751"/>
      <c r="BQ751"/>
      <c r="BR751"/>
      <c r="BS751" s="295">
        <f t="shared" si="12"/>
        <v>0</v>
      </c>
      <c r="BT751" s="298">
        <f t="shared" si="13"/>
        <v>0</v>
      </c>
      <c r="BU751" s="299" t="str">
        <f t="shared" si="14"/>
        <v/>
      </c>
      <c r="CD751"/>
      <c r="CG751" s="1353">
        <f t="shared" si="36"/>
        <v>0</v>
      </c>
      <c r="CH751" s="1355"/>
      <c r="CI751" s="1337">
        <f t="shared" si="37"/>
        <v>0</v>
      </c>
      <c r="CJ751" s="1339"/>
      <c r="CK751" s="1353">
        <f t="shared" si="15"/>
        <v>0</v>
      </c>
      <c r="CL751" s="1355"/>
      <c r="CM751" s="1337">
        <f t="shared" si="16"/>
        <v>0</v>
      </c>
      <c r="CN751" s="1339"/>
      <c r="CP751" s="1334">
        <f t="shared" si="17"/>
        <v>0</v>
      </c>
      <c r="CQ751" s="1335"/>
      <c r="CR751" s="1335"/>
      <c r="CS751" s="1335"/>
      <c r="CT751" s="1336"/>
      <c r="CU751" s="1356">
        <f t="shared" si="18"/>
        <v>0</v>
      </c>
      <c r="CV751" s="1356"/>
      <c r="CW751" s="1356"/>
      <c r="CX751" s="1356"/>
      <c r="CY751" s="1356"/>
      <c r="CZ751" s="1356">
        <f t="shared" si="19"/>
        <v>0</v>
      </c>
      <c r="DA751" s="1356"/>
      <c r="DB751" s="1356"/>
      <c r="DC751" s="1356"/>
      <c r="DD751" s="1356"/>
      <c r="DE751" s="1356">
        <f t="shared" si="20"/>
        <v>0</v>
      </c>
      <c r="DF751" s="1356"/>
      <c r="DG751" s="1356"/>
      <c r="DH751" s="1356"/>
      <c r="DI751" s="1356"/>
      <c r="DJ751" s="1356">
        <f t="shared" si="21"/>
        <v>0</v>
      </c>
      <c r="DK751" s="1356"/>
      <c r="DL751" s="1356"/>
      <c r="DM751" s="1356"/>
      <c r="DN751" s="1356"/>
      <c r="DO751" s="1356">
        <f t="shared" si="22"/>
        <v>0</v>
      </c>
      <c r="DP751" s="1356"/>
      <c r="DQ751" s="1356"/>
      <c r="DR751" s="1356"/>
      <c r="DS751" s="1356"/>
      <c r="DT751" s="6"/>
      <c r="DU751" s="1373">
        <f t="shared" si="23"/>
        <v>0</v>
      </c>
      <c r="DV751" s="1373"/>
      <c r="DW751" s="1373"/>
      <c r="DX751" s="1373"/>
      <c r="DY751" s="1373"/>
      <c r="DZ751" s="1373">
        <f t="shared" si="24"/>
        <v>0</v>
      </c>
      <c r="EA751" s="1373"/>
      <c r="EB751" s="1373"/>
      <c r="EC751" s="1373"/>
      <c r="ED751" s="1373"/>
      <c r="EE751" s="1373">
        <f t="shared" si="25"/>
        <v>0</v>
      </c>
      <c r="EF751" s="1373"/>
      <c r="EG751" s="1373"/>
      <c r="EH751" s="1373"/>
      <c r="EI751" s="1373"/>
      <c r="EJ751" s="1373">
        <f t="shared" si="26"/>
        <v>0</v>
      </c>
      <c r="EK751" s="1373"/>
      <c r="EL751" s="1373"/>
      <c r="EM751" s="1373"/>
      <c r="EN751" s="1373"/>
      <c r="EO751" s="1373">
        <f t="shared" si="27"/>
        <v>0</v>
      </c>
      <c r="EP751" s="1373"/>
      <c r="EQ751" s="1373"/>
      <c r="ER751" s="1373"/>
      <c r="ES751" s="1373"/>
      <c r="ET751" s="1373">
        <f t="shared" si="28"/>
        <v>0</v>
      </c>
      <c r="EU751" s="1373"/>
      <c r="EV751" s="1373"/>
      <c r="EW751" s="1373"/>
      <c r="EX751" s="1373"/>
      <c r="EY751"/>
      <c r="EZ751" s="1353" t="str">
        <f t="shared" si="29"/>
        <v/>
      </c>
      <c r="FA751" s="1354"/>
      <c r="FB751" s="1354"/>
      <c r="FC751" s="1354"/>
      <c r="FD751" s="1355"/>
      <c r="FE751" s="1353" t="str">
        <f t="shared" si="30"/>
        <v/>
      </c>
      <c r="FF751" s="1354"/>
      <c r="FG751" s="1354"/>
      <c r="FH751" s="1354"/>
      <c r="FI751" s="1355"/>
      <c r="FJ751" s="1353" t="str">
        <f t="shared" si="31"/>
        <v/>
      </c>
      <c r="FK751" s="1354"/>
      <c r="FL751" s="1354"/>
      <c r="FM751" s="1354"/>
      <c r="FN751" s="1355"/>
      <c r="FO751" s="1353" t="str">
        <f t="shared" si="32"/>
        <v/>
      </c>
      <c r="FP751" s="1354"/>
      <c r="FQ751" s="1354"/>
      <c r="FR751" s="1354"/>
      <c r="FS751" s="1355"/>
      <c r="FT751" s="1353" t="str">
        <f t="shared" si="33"/>
        <v/>
      </c>
      <c r="FU751" s="1354"/>
      <c r="FV751" s="1354"/>
      <c r="FW751" s="1354"/>
      <c r="FX751" s="1355"/>
      <c r="FY751" s="1353" t="str">
        <f t="shared" si="34"/>
        <v/>
      </c>
      <c r="FZ751" s="1354"/>
      <c r="GA751" s="1354"/>
      <c r="GB751" s="1354"/>
      <c r="GC751" s="1355"/>
    </row>
    <row r="752" spans="1:185" s="3" customFormat="1" ht="12.95" customHeight="1">
      <c r="A752"/>
      <c r="B752" s="1357"/>
      <c r="C752" s="1358"/>
      <c r="D752" s="1358"/>
      <c r="E752" s="1358"/>
      <c r="F752" s="1359"/>
      <c r="G752" s="1366"/>
      <c r="H752" s="1367"/>
      <c r="I752" s="1367"/>
      <c r="J752" s="1368"/>
      <c r="K752" s="1370"/>
      <c r="L752" s="1371"/>
      <c r="M752" s="1371"/>
      <c r="N752" s="1372"/>
      <c r="O752" s="1490"/>
      <c r="P752" s="1491"/>
      <c r="Q752" s="1491"/>
      <c r="R752" s="1491"/>
      <c r="S752" s="1492"/>
      <c r="T752" s="1490"/>
      <c r="U752" s="1491"/>
      <c r="V752" s="1491"/>
      <c r="W752" s="1492"/>
      <c r="X752" s="1360">
        <f>O752+T752</f>
        <v>0</v>
      </c>
      <c r="Y752" s="1361"/>
      <c r="Z752" s="1361"/>
      <c r="AA752" s="1361"/>
      <c r="AB752" s="1362"/>
      <c r="AC752" s="1630"/>
      <c r="AD752" s="1631"/>
      <c r="AE752" s="1631"/>
      <c r="AF752" s="1631"/>
      <c r="AG752" s="1632"/>
      <c r="AH752" s="1363" t="str">
        <f t="shared" si="35"/>
        <v/>
      </c>
      <c r="AI752" s="1364"/>
      <c r="AJ752" s="1365"/>
      <c r="AK752" s="1357" t="s">
        <v>591</v>
      </c>
      <c r="AL752" s="1358"/>
      <c r="AM752" s="1358"/>
      <c r="AN752" s="1358"/>
      <c r="AO752" s="1359"/>
      <c r="AT752"/>
      <c r="AU752"/>
      <c r="AV752"/>
      <c r="AW752"/>
      <c r="AX752"/>
      <c r="AY752"/>
      <c r="AZ752" s="118" t="str">
        <f>IF($G752=0,"N/A",VLOOKUP($T$189,TC_Rent,(MATCH($B752,bedrooms,FALSE)),FALSE))</f>
        <v>N/A</v>
      </c>
      <c r="BA752" s="34"/>
      <c r="BB752" s="34"/>
      <c r="BC752" s="34"/>
      <c r="BE752"/>
      <c r="BF752" s="295">
        <f t="shared" si="9"/>
        <v>0</v>
      </c>
      <c r="BG752" s="298">
        <f t="shared" si="10"/>
        <v>0</v>
      </c>
      <c r="BH752" s="299" t="str">
        <f t="shared" si="11"/>
        <v/>
      </c>
      <c r="BJ752" s="34"/>
      <c r="BK752" s="34"/>
      <c r="BL752" s="34"/>
      <c r="BM752" s="34"/>
      <c r="BN752" s="34"/>
      <c r="BO752"/>
      <c r="BP752"/>
      <c r="BQ752"/>
      <c r="BR752"/>
      <c r="BS752" s="861">
        <f t="shared" si="12"/>
        <v>0</v>
      </c>
      <c r="BT752" s="298">
        <f t="shared" si="13"/>
        <v>0</v>
      </c>
      <c r="BU752" s="299" t="str">
        <f t="shared" si="14"/>
        <v/>
      </c>
      <c r="CD752"/>
      <c r="CG752" s="1353">
        <f t="shared" si="36"/>
        <v>0</v>
      </c>
      <c r="CH752" s="1355"/>
      <c r="CI752" s="1337">
        <f t="shared" si="37"/>
        <v>0</v>
      </c>
      <c r="CJ752" s="1339"/>
      <c r="CK752" s="1353">
        <f t="shared" si="15"/>
        <v>0</v>
      </c>
      <c r="CL752" s="1355"/>
      <c r="CM752" s="1337">
        <f t="shared" si="16"/>
        <v>0</v>
      </c>
      <c r="CN752" s="1339"/>
      <c r="CP752" s="1334">
        <f t="shared" si="17"/>
        <v>0</v>
      </c>
      <c r="CQ752" s="1335"/>
      <c r="CR752" s="1335"/>
      <c r="CS752" s="1335"/>
      <c r="CT752" s="1336"/>
      <c r="CU752" s="1356">
        <f t="shared" si="18"/>
        <v>0</v>
      </c>
      <c r="CV752" s="1356"/>
      <c r="CW752" s="1356"/>
      <c r="CX752" s="1356"/>
      <c r="CY752" s="1356"/>
      <c r="CZ752" s="1356">
        <f t="shared" si="19"/>
        <v>0</v>
      </c>
      <c r="DA752" s="1356"/>
      <c r="DB752" s="1356"/>
      <c r="DC752" s="1356"/>
      <c r="DD752" s="1356"/>
      <c r="DE752" s="1356">
        <f t="shared" si="20"/>
        <v>0</v>
      </c>
      <c r="DF752" s="1356"/>
      <c r="DG752" s="1356"/>
      <c r="DH752" s="1356"/>
      <c r="DI752" s="1356"/>
      <c r="DJ752" s="1356">
        <f t="shared" si="21"/>
        <v>0</v>
      </c>
      <c r="DK752" s="1356"/>
      <c r="DL752" s="1356"/>
      <c r="DM752" s="1356"/>
      <c r="DN752" s="1356"/>
      <c r="DO752" s="1356">
        <f t="shared" si="22"/>
        <v>0</v>
      </c>
      <c r="DP752" s="1356"/>
      <c r="DQ752" s="1356"/>
      <c r="DR752" s="1356"/>
      <c r="DS752" s="1356"/>
      <c r="DT752" s="6"/>
      <c r="DU752" s="1373">
        <f t="shared" si="23"/>
        <v>0</v>
      </c>
      <c r="DV752" s="1373"/>
      <c r="DW752" s="1373"/>
      <c r="DX752" s="1373"/>
      <c r="DY752" s="1373"/>
      <c r="DZ752" s="1373">
        <f t="shared" si="24"/>
        <v>0</v>
      </c>
      <c r="EA752" s="1373"/>
      <c r="EB752" s="1373"/>
      <c r="EC752" s="1373"/>
      <c r="ED752" s="1373"/>
      <c r="EE752" s="1373">
        <f t="shared" si="25"/>
        <v>0</v>
      </c>
      <c r="EF752" s="1373"/>
      <c r="EG752" s="1373"/>
      <c r="EH752" s="1373"/>
      <c r="EI752" s="1373"/>
      <c r="EJ752" s="1373">
        <f t="shared" si="26"/>
        <v>0</v>
      </c>
      <c r="EK752" s="1373"/>
      <c r="EL752" s="1373"/>
      <c r="EM752" s="1373"/>
      <c r="EN752" s="1373"/>
      <c r="EO752" s="1373">
        <f t="shared" si="27"/>
        <v>0</v>
      </c>
      <c r="EP752" s="1373"/>
      <c r="EQ752" s="1373"/>
      <c r="ER752" s="1373"/>
      <c r="ES752" s="1373"/>
      <c r="ET752" s="1373">
        <f t="shared" si="28"/>
        <v>0</v>
      </c>
      <c r="EU752" s="1373"/>
      <c r="EV752" s="1373"/>
      <c r="EW752" s="1373"/>
      <c r="EX752" s="1373"/>
      <c r="EY752"/>
      <c r="EZ752" s="1353" t="str">
        <f t="shared" si="29"/>
        <v/>
      </c>
      <c r="FA752" s="1354"/>
      <c r="FB752" s="1354"/>
      <c r="FC752" s="1354"/>
      <c r="FD752" s="1355"/>
      <c r="FE752" s="1353" t="str">
        <f t="shared" si="30"/>
        <v/>
      </c>
      <c r="FF752" s="1354"/>
      <c r="FG752" s="1354"/>
      <c r="FH752" s="1354"/>
      <c r="FI752" s="1355"/>
      <c r="FJ752" s="1353" t="str">
        <f t="shared" si="31"/>
        <v/>
      </c>
      <c r="FK752" s="1354"/>
      <c r="FL752" s="1354"/>
      <c r="FM752" s="1354"/>
      <c r="FN752" s="1355"/>
      <c r="FO752" s="1353" t="str">
        <f t="shared" si="32"/>
        <v/>
      </c>
      <c r="FP752" s="1354"/>
      <c r="FQ752" s="1354"/>
      <c r="FR752" s="1354"/>
      <c r="FS752" s="1355"/>
      <c r="FT752" s="1353" t="str">
        <f t="shared" si="33"/>
        <v/>
      </c>
      <c r="FU752" s="1354"/>
      <c r="FV752" s="1354"/>
      <c r="FW752" s="1354"/>
      <c r="FX752" s="1355"/>
      <c r="FY752" s="1353" t="str">
        <f t="shared" si="34"/>
        <v/>
      </c>
      <c r="FZ752" s="1354"/>
      <c r="GA752" s="1354"/>
      <c r="GB752" s="1354"/>
      <c r="GC752" s="1355"/>
    </row>
    <row r="753" spans="1:185" s="3" customFormat="1" ht="12.95" customHeight="1">
      <c r="A753"/>
      <c r="B753" s="1411" t="s">
        <v>125</v>
      </c>
      <c r="C753" s="1412"/>
      <c r="D753" s="1412"/>
      <c r="E753" s="1412"/>
      <c r="F753" s="1414"/>
      <c r="G753" s="1727">
        <f>SUM(G718:G752)</f>
        <v>84</v>
      </c>
      <c r="H753" s="1728"/>
      <c r="I753" s="1728"/>
      <c r="J753" s="1729"/>
      <c r="K753" s="903" t="s">
        <v>124</v>
      </c>
      <c r="L753" s="5"/>
      <c r="M753" s="5"/>
      <c r="N753" s="46"/>
      <c r="O753" s="1360">
        <f>SUMPRODUCT(G718:G752,O718:O752)</f>
        <v>123527</v>
      </c>
      <c r="P753" s="1361"/>
      <c r="Q753" s="1361"/>
      <c r="R753" s="1361"/>
      <c r="S753" s="1362"/>
      <c r="T753"/>
      <c r="U753"/>
      <c r="V753"/>
      <c r="W753"/>
      <c r="X753" s="905" t="s">
        <v>900</v>
      </c>
      <c r="Y753" s="904"/>
      <c r="Z753" s="904"/>
      <c r="AA753" s="904"/>
      <c r="AB753" s="906"/>
      <c r="AC753" s="1634">
        <f>BH753</f>
        <v>0.42321428571428565</v>
      </c>
      <c r="AD753" s="1635"/>
      <c r="AE753" s="1635"/>
      <c r="AF753" s="1635"/>
      <c r="AG753" s="1636"/>
      <c r="AH753" s="1634">
        <f>IFERROR(BU753,"")</f>
        <v>0.38566896556173219</v>
      </c>
      <c r="AI753" s="1635"/>
      <c r="AJ753" s="1636"/>
      <c r="AK753"/>
      <c r="AL753"/>
      <c r="AM753"/>
      <c r="AN753"/>
      <c r="AO753"/>
      <c r="AP753" s="206"/>
      <c r="AQ753" s="206"/>
      <c r="AR753" s="206"/>
      <c r="AS753" s="206"/>
      <c r="AT753"/>
      <c r="AU753"/>
      <c r="AV753"/>
      <c r="AW753"/>
      <c r="AX753"/>
      <c r="AY753"/>
      <c r="AZ753" s="34"/>
      <c r="BA753" s="34"/>
      <c r="BB753" s="34"/>
      <c r="BC753" s="34"/>
      <c r="BE753" s="291" t="s">
        <v>899</v>
      </c>
      <c r="BF753" s="300">
        <f>SUM(BF718:BF752)</f>
        <v>84</v>
      </c>
      <c r="BG753" s="301">
        <f>SUM(BG718:BG752)</f>
        <v>1</v>
      </c>
      <c r="BH753" s="301">
        <f>SUM(BH718:BH752)</f>
        <v>0.42321428571428565</v>
      </c>
      <c r="BI753"/>
      <c r="BJ753"/>
      <c r="BK753"/>
      <c r="BL753"/>
      <c r="BO753"/>
      <c r="BP753"/>
      <c r="BQ753"/>
      <c r="BR753"/>
      <c r="BS753" s="860">
        <f>SUM(BS718:BS752)</f>
        <v>84</v>
      </c>
      <c r="BT753" s="301">
        <f>SUM(BT718:BT752)</f>
        <v>1</v>
      </c>
      <c r="BU753" s="301">
        <f>SUM(BU718:BU752)</f>
        <v>0.38566896556173219</v>
      </c>
      <c r="CI753" s="1353">
        <f>SUM(CI718:CJ752)</f>
        <v>58</v>
      </c>
      <c r="CJ753" s="1355"/>
      <c r="CM753" s="1353">
        <f>SUM(CM718:CN752)</f>
        <v>26</v>
      </c>
      <c r="CN753" s="1355"/>
      <c r="CP753" s="1353">
        <f>SUM(CP718:CT752)</f>
        <v>13</v>
      </c>
      <c r="CQ753" s="1354"/>
      <c r="CR753" s="1354"/>
      <c r="CS753" s="1354"/>
      <c r="CT753" s="1355"/>
      <c r="CU753" s="1374">
        <f>SUM(CU718:CY752)</f>
        <v>27</v>
      </c>
      <c r="CV753" s="1374"/>
      <c r="CW753" s="1374"/>
      <c r="CX753" s="1374"/>
      <c r="CY753" s="1374"/>
      <c r="CZ753" s="1374">
        <f>SUM(CZ718:DD752)</f>
        <v>15</v>
      </c>
      <c r="DA753" s="1374"/>
      <c r="DB753" s="1374"/>
      <c r="DC753" s="1374"/>
      <c r="DD753" s="1374"/>
      <c r="DE753" s="1374">
        <f>SUM(DE718:DI752)</f>
        <v>29</v>
      </c>
      <c r="DF753" s="1374"/>
      <c r="DG753" s="1374"/>
      <c r="DH753" s="1374"/>
      <c r="DI753" s="1374"/>
      <c r="DJ753" s="1374">
        <f>SUM(DJ718:DN752)</f>
        <v>0</v>
      </c>
      <c r="DK753" s="1374"/>
      <c r="DL753" s="1374"/>
      <c r="DM753" s="1374"/>
      <c r="DN753" s="1374"/>
      <c r="DO753" s="1374">
        <f>SUM(DO718:DS752)</f>
        <v>0</v>
      </c>
      <c r="DP753" s="1374"/>
      <c r="DQ753" s="1374"/>
      <c r="DR753" s="1374"/>
      <c r="DS753" s="1374"/>
      <c r="DT753" s="355"/>
      <c r="DU753" s="1374">
        <f>SUM(DU718:DY752)</f>
        <v>6</v>
      </c>
      <c r="DV753" s="1374"/>
      <c r="DW753" s="1374"/>
      <c r="DX753" s="1374"/>
      <c r="DY753" s="1374"/>
      <c r="DZ753" s="1374">
        <f>SUM(DZ718:ED752)</f>
        <v>6</v>
      </c>
      <c r="EA753" s="1374"/>
      <c r="EB753" s="1374"/>
      <c r="EC753" s="1374"/>
      <c r="ED753" s="1374"/>
      <c r="EE753" s="1374">
        <f>SUM(EE718:EI752)</f>
        <v>7</v>
      </c>
      <c r="EF753" s="1374"/>
      <c r="EG753" s="1374"/>
      <c r="EH753" s="1374"/>
      <c r="EI753" s="1374"/>
      <c r="EJ753" s="1374">
        <f>SUM(EJ718:EN752)</f>
        <v>7</v>
      </c>
      <c r="EK753" s="1374"/>
      <c r="EL753" s="1374"/>
      <c r="EM753" s="1374"/>
      <c r="EN753" s="1374"/>
      <c r="EO753" s="1374">
        <f>SUM(EO718:ES752)</f>
        <v>0</v>
      </c>
      <c r="EP753" s="1374"/>
      <c r="EQ753" s="1374"/>
      <c r="ER753" s="1374"/>
      <c r="ES753" s="1374"/>
      <c r="ET753" s="1374">
        <f>SUM(ET718:EX752)</f>
        <v>0</v>
      </c>
      <c r="EU753" s="1374"/>
      <c r="EV753" s="1374"/>
      <c r="EW753" s="1374"/>
      <c r="EX753" s="1374"/>
      <c r="EY753"/>
      <c r="EZ753" s="1374">
        <f>SUM(EZ718:FD752)</f>
        <v>2797</v>
      </c>
      <c r="FA753" s="1374"/>
      <c r="FB753" s="1374"/>
      <c r="FC753" s="1374"/>
      <c r="FD753" s="1374"/>
      <c r="FE753" s="1374">
        <f>SUM(FE718:FI752)</f>
        <v>4521</v>
      </c>
      <c r="FF753" s="1374"/>
      <c r="FG753" s="1374"/>
      <c r="FH753" s="1374"/>
      <c r="FI753" s="1374"/>
      <c r="FJ753" s="1374">
        <f>SUM(FJ718:FN752)</f>
        <v>3698</v>
      </c>
      <c r="FK753" s="1374"/>
      <c r="FL753" s="1374"/>
      <c r="FM753" s="1374"/>
      <c r="FN753" s="1374"/>
      <c r="FO753" s="1374">
        <f>SUM(FO718:FS752)</f>
        <v>4104</v>
      </c>
      <c r="FP753" s="1374"/>
      <c r="FQ753" s="1374"/>
      <c r="FR753" s="1374"/>
      <c r="FS753" s="1374"/>
      <c r="FT753" s="1374">
        <f>SUM(FT718:FX752)</f>
        <v>0</v>
      </c>
      <c r="FU753" s="1374"/>
      <c r="FV753" s="1374"/>
      <c r="FW753" s="1374"/>
      <c r="FX753" s="1374"/>
      <c r="FY753" s="1374">
        <f>SUM(FY718:GC752)</f>
        <v>0</v>
      </c>
      <c r="FZ753" s="1374"/>
      <c r="GA753" s="1374"/>
      <c r="GB753" s="1374"/>
      <c r="GC753" s="1374"/>
    </row>
    <row r="754" spans="1:185" s="3" customFormat="1" ht="12.95" customHeight="1">
      <c r="A754"/>
      <c r="B754" s="1732" t="s">
        <v>1894</v>
      </c>
      <c r="C754" s="1732"/>
      <c r="D754" s="1732"/>
      <c r="E754" s="1732"/>
      <c r="F754" s="1732"/>
      <c r="G754" s="1732"/>
      <c r="H754" s="1732"/>
      <c r="I754" s="1732"/>
      <c r="J754" s="1732"/>
      <c r="K754" s="1732"/>
      <c r="L754" s="1732"/>
      <c r="M754" s="1732"/>
      <c r="N754" s="1732"/>
      <c r="O754" s="1732"/>
      <c r="P754" s="1732"/>
      <c r="Q754" s="1732"/>
      <c r="R754" s="1732"/>
      <c r="S754" s="1732"/>
      <c r="T754" s="1732"/>
      <c r="U754" s="1732"/>
      <c r="V754" s="1732"/>
      <c r="W754" s="1732"/>
      <c r="X754" s="1732"/>
      <c r="Y754" s="1732"/>
      <c r="Z754" s="1732"/>
      <c r="AA754" s="1732"/>
      <c r="AB754" s="1732"/>
      <c r="AC754" s="1732"/>
      <c r="AD754" s="1732"/>
      <c r="AE754" s="1732"/>
      <c r="AF754" s="1732"/>
      <c r="AG754" s="1732"/>
      <c r="AH754" s="1732"/>
      <c r="AI754"/>
      <c r="AJ754"/>
      <c r="AK754"/>
      <c r="AT754"/>
      <c r="AU754"/>
      <c r="AV754"/>
      <c r="AW754"/>
      <c r="AX754"/>
      <c r="AY754"/>
      <c r="CD754"/>
      <c r="DN754" s="56" t="s">
        <v>1861</v>
      </c>
      <c r="DO754" s="1353">
        <f>CP753+CU753+CZ753+DE753+DJ753+DO753</f>
        <v>84</v>
      </c>
      <c r="DP754" s="1354"/>
      <c r="DQ754" s="1354"/>
      <c r="DR754" s="1354"/>
      <c r="DS754" s="1355"/>
      <c r="DT754" s="355"/>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732"/>
      <c r="C755" s="1732"/>
      <c r="D755" s="1732"/>
      <c r="E755" s="1732"/>
      <c r="F755" s="1732"/>
      <c r="G755" s="1732"/>
      <c r="H755" s="1732"/>
      <c r="I755" s="1732"/>
      <c r="J755" s="1732"/>
      <c r="K755" s="1732"/>
      <c r="L755" s="1732"/>
      <c r="M755" s="1732"/>
      <c r="N755" s="1732"/>
      <c r="O755" s="1732"/>
      <c r="P755" s="1732"/>
      <c r="Q755" s="1732"/>
      <c r="R755" s="1732"/>
      <c r="S755" s="1732"/>
      <c r="T755" s="1732"/>
      <c r="U755" s="1732"/>
      <c r="V755" s="1732"/>
      <c r="W755" s="1732"/>
      <c r="X755" s="1732"/>
      <c r="Y755" s="1732"/>
      <c r="Z755" s="1732"/>
      <c r="AA755" s="1732"/>
      <c r="AB755" s="1732"/>
      <c r="AC755" s="1732"/>
      <c r="AD755" s="1732"/>
      <c r="AE755" s="1732"/>
      <c r="AF755" s="1732"/>
      <c r="AG755" s="1732"/>
      <c r="AH755" s="1732"/>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2">
        <f>CP753*1</f>
        <v>13</v>
      </c>
      <c r="CU755" s="3"/>
      <c r="CV755" s="3"/>
      <c r="CW755" s="3"/>
      <c r="CX755" s="3"/>
      <c r="CY755" s="862">
        <f>CU753*1</f>
        <v>27</v>
      </c>
      <c r="CZ755" s="3"/>
      <c r="DA755" s="3"/>
      <c r="DB755" s="3"/>
      <c r="DC755" s="3"/>
      <c r="DD755" s="862">
        <f>CZ753*2</f>
        <v>30</v>
      </c>
      <c r="DE755" s="3"/>
      <c r="DF755" s="3"/>
      <c r="DG755" s="3"/>
      <c r="DH755" s="3"/>
      <c r="DI755" s="862">
        <f>DE753*3</f>
        <v>87</v>
      </c>
      <c r="DJ755" s="3"/>
      <c r="DK755" s="3"/>
      <c r="DL755" s="3"/>
      <c r="DM755" s="3"/>
      <c r="DN755" s="862">
        <f>DJ753*4</f>
        <v>0</v>
      </c>
      <c r="DO755" s="3"/>
      <c r="DP755" s="3"/>
      <c r="DQ755" s="3"/>
      <c r="DR755" s="3"/>
      <c r="DS755" s="862">
        <f>DO753*5</f>
        <v>0</v>
      </c>
      <c r="DU755" s="862">
        <f>CT755+CY755+DD755+DI755+DN755+DS755</f>
        <v>157</v>
      </c>
      <c r="DV755" s="57" t="s">
        <v>1863</v>
      </c>
      <c r="DW755" s="3"/>
      <c r="DX755" s="3"/>
      <c r="DY755" s="3"/>
      <c r="DZ755" s="3"/>
      <c r="EA755" s="3"/>
      <c r="EB755" s="3"/>
      <c r="EC755" s="3"/>
      <c r="ED755" s="3"/>
      <c r="EE755" s="3"/>
      <c r="EF755" s="3"/>
      <c r="EG755" s="3"/>
      <c r="EH755" s="3"/>
    </row>
    <row r="756" spans="1:185" ht="12.95" customHeight="1">
      <c r="A756" s="3"/>
      <c r="B756" s="3"/>
      <c r="C756" s="118" t="s">
        <v>1892</v>
      </c>
      <c r="D756" s="1033"/>
      <c r="E756" s="1033"/>
      <c r="F756" s="1033"/>
      <c r="G756" s="1034"/>
      <c r="H756" s="1034"/>
      <c r="I756" s="1034"/>
      <c r="J756" s="1034"/>
      <c r="K756" s="1033"/>
      <c r="L756" s="1033"/>
      <c r="M756" s="1033"/>
      <c r="N756" s="1033"/>
      <c r="O756" s="1374">
        <f>DU755</f>
        <v>157</v>
      </c>
      <c r="P756" s="1374"/>
      <c r="Q756" s="1374"/>
      <c r="R756" s="1374"/>
      <c r="S756" s="970"/>
      <c r="T756" s="970"/>
      <c r="U756" s="118" t="s">
        <v>1893</v>
      </c>
      <c r="V756" s="1033"/>
      <c r="W756" s="1033"/>
      <c r="X756" s="1033"/>
      <c r="Y756" s="1034"/>
      <c r="Z756" s="1034"/>
      <c r="AA756" s="1034"/>
      <c r="AB756" s="1034"/>
      <c r="AC756" s="1033"/>
      <c r="AD756" s="1033"/>
      <c r="AE756" s="1033"/>
      <c r="AF756" s="1033"/>
      <c r="AG756" s="1731">
        <v>0</v>
      </c>
      <c r="AH756" s="1731"/>
      <c r="AI756" s="1731"/>
      <c r="AJ756" s="1731"/>
      <c r="AK756" s="3"/>
      <c r="AL756" s="3"/>
      <c r="AM756" s="3"/>
      <c r="AN756" s="3"/>
      <c r="AO756" s="3"/>
      <c r="AP756" s="3"/>
      <c r="AQ756" s="3"/>
      <c r="AR756" s="3"/>
      <c r="AS756" s="3"/>
      <c r="AZ756" s="3"/>
      <c r="BA756" s="3"/>
      <c r="BB756" s="291"/>
      <c r="BC756" s="291"/>
      <c r="BD756" s="291"/>
      <c r="BE756" s="291"/>
      <c r="BF756" s="291"/>
      <c r="BG756" s="291"/>
      <c r="BH756" s="291"/>
      <c r="BI756" s="291"/>
      <c r="BJ756" s="291"/>
      <c r="BK756" s="291"/>
      <c r="BL756" s="291"/>
      <c r="BM756" s="291"/>
      <c r="BN756" s="291"/>
      <c r="BO756" s="291"/>
      <c r="BP756" s="291"/>
      <c r="BQ756" s="291"/>
      <c r="BR756" s="291"/>
      <c r="BS756" s="291"/>
      <c r="BT756" s="291"/>
      <c r="BU756" s="291"/>
      <c r="BV756" s="291"/>
      <c r="BW756" s="291"/>
      <c r="BX756" s="291"/>
      <c r="BY756" s="291"/>
      <c r="BZ756" s="291"/>
      <c r="CA756" s="291"/>
      <c r="CB756" s="291"/>
      <c r="CC756" s="291"/>
      <c r="CE756" s="3"/>
      <c r="CF756" s="291"/>
      <c r="CG756" s="291"/>
      <c r="CH756" s="291"/>
      <c r="CI756" s="291"/>
      <c r="CJ756" s="291"/>
      <c r="CK756" s="291"/>
      <c r="CL756" s="291"/>
      <c r="CM756" s="291"/>
      <c r="CN756" s="291"/>
      <c r="CO756" s="291"/>
      <c r="CP756" s="291"/>
      <c r="CQ756" s="291"/>
      <c r="CR756" s="291"/>
      <c r="CS756" s="291"/>
      <c r="CT756" s="291"/>
      <c r="CU756" s="291"/>
      <c r="CV756" s="291"/>
      <c r="CW756" s="291"/>
      <c r="CX756" s="291"/>
      <c r="CY756" s="291"/>
      <c r="CZ756" s="291"/>
      <c r="DA756" s="291"/>
      <c r="DB756" s="291"/>
      <c r="DC756" s="291"/>
      <c r="DD756" s="291"/>
      <c r="DE756" s="291"/>
      <c r="DF756" s="291"/>
      <c r="DG756" s="291"/>
      <c r="DH756" s="291"/>
      <c r="DI756" s="291"/>
      <c r="DJ756" s="291"/>
      <c r="DK756" s="291"/>
      <c r="DL756" s="291"/>
      <c r="DM756" s="291"/>
      <c r="DN756" s="291"/>
      <c r="DO756" s="291"/>
      <c r="DP756" s="291"/>
      <c r="DQ756" s="291"/>
      <c r="DR756" s="291"/>
      <c r="DS756" s="291"/>
      <c r="DT756" s="291"/>
      <c r="DU756" s="291"/>
      <c r="DV756" s="291"/>
      <c r="DW756" s="291"/>
      <c r="FB756" s="291"/>
      <c r="FC756" s="291"/>
    </row>
    <row r="757" spans="1:185" ht="12.95" customHeight="1">
      <c r="B757" s="57"/>
      <c r="C757" s="1862" t="str">
        <f>IF(G753&lt;&gt;AG440,"! Total Low-Income Units in the Unit Mix Table above does not match the number of Total Low-Income Units on row #"&amp;TEXT(ROW(D440),"#"),"")</f>
        <v/>
      </c>
      <c r="D757" s="1862"/>
      <c r="E757" s="1862"/>
      <c r="F757" s="1862"/>
      <c r="G757" s="1862"/>
      <c r="H757" s="1862"/>
      <c r="I757" s="1862"/>
      <c r="J757" s="1862"/>
      <c r="K757" s="1862"/>
      <c r="L757" s="1862"/>
      <c r="M757" s="1862"/>
      <c r="N757" s="1862"/>
      <c r="O757" s="1862"/>
      <c r="P757" s="1862"/>
      <c r="Q757" s="1862"/>
      <c r="R757" s="1862"/>
      <c r="S757" s="1862"/>
      <c r="T757" s="1862"/>
      <c r="U757" s="1862"/>
      <c r="V757" s="1862"/>
      <c r="W757" s="1862"/>
      <c r="X757" s="1862"/>
      <c r="Y757" s="1862"/>
      <c r="Z757" s="1862"/>
      <c r="AA757" s="1862"/>
      <c r="AB757" s="1862"/>
      <c r="AC757" s="1862"/>
      <c r="AD757" s="1862"/>
      <c r="AE757" s="1862"/>
      <c r="AF757" s="1862"/>
      <c r="AG757" s="1862"/>
      <c r="AH757" s="1862"/>
      <c r="AI757" s="1862"/>
      <c r="AJ757" s="1862"/>
      <c r="AK757" s="1862"/>
      <c r="AL757" s="1862"/>
      <c r="AM757" s="1862"/>
      <c r="AP757" s="291"/>
      <c r="AQ757" s="291"/>
      <c r="AR757" s="291"/>
      <c r="AS757" s="291"/>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862"/>
      <c r="D758" s="1862"/>
      <c r="E758" s="1862"/>
      <c r="F758" s="1862"/>
      <c r="G758" s="1862"/>
      <c r="H758" s="1862"/>
      <c r="I758" s="1862"/>
      <c r="J758" s="1862"/>
      <c r="K758" s="1862"/>
      <c r="L758" s="1862"/>
      <c r="M758" s="1862"/>
      <c r="N758" s="1862"/>
      <c r="O758" s="1862"/>
      <c r="P758" s="1862"/>
      <c r="Q758" s="1862"/>
      <c r="R758" s="1862"/>
      <c r="S758" s="1862"/>
      <c r="T758" s="1862"/>
      <c r="U758" s="1862"/>
      <c r="V758" s="1862"/>
      <c r="W758" s="1862"/>
      <c r="X758" s="1862"/>
      <c r="Y758" s="1862"/>
      <c r="Z758" s="1862"/>
      <c r="AA758" s="1862"/>
      <c r="AB758" s="1862"/>
      <c r="AC758" s="1862"/>
      <c r="AD758" s="1862"/>
      <c r="AE758" s="1862"/>
      <c r="AF758" s="1862"/>
      <c r="AG758" s="1862"/>
      <c r="AH758" s="1862"/>
      <c r="AI758" s="1862"/>
      <c r="AJ758" s="1862"/>
      <c r="AK758" s="1862"/>
      <c r="AL758" s="1862"/>
      <c r="AM758" s="1862"/>
      <c r="AP758" s="291"/>
      <c r="AQ758" s="291"/>
      <c r="AR758" s="291"/>
      <c r="AS758" s="29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1891</v>
      </c>
      <c r="D759" s="1035"/>
      <c r="E759" s="1035"/>
      <c r="F759" s="1035"/>
      <c r="G759" s="1035"/>
      <c r="H759" s="1035"/>
      <c r="I759" s="1035"/>
      <c r="J759" s="1035"/>
      <c r="K759" s="1035"/>
      <c r="L759" s="1035"/>
      <c r="M759" s="1035"/>
      <c r="N759" s="1035"/>
      <c r="O759" s="1035"/>
      <c r="P759" s="1035"/>
      <c r="Q759" s="1035"/>
      <c r="R759" s="1035"/>
      <c r="S759" s="1035"/>
      <c r="T759" s="1035"/>
      <c r="U759" s="1035"/>
      <c r="V759" s="1035"/>
      <c r="W759" s="1035"/>
      <c r="X759" s="1035"/>
      <c r="Y759" s="1035"/>
      <c r="Z759" s="1035"/>
      <c r="AA759" s="1035"/>
      <c r="AB759" s="1035"/>
      <c r="AC759" s="1035"/>
      <c r="AD759" s="1730" t="s">
        <v>669</v>
      </c>
      <c r="AE759" s="1730"/>
      <c r="AF759" s="1730"/>
      <c r="AG759" s="1035"/>
      <c r="AH759" s="1035"/>
      <c r="AI759" s="1035"/>
      <c r="AJ759" s="1035"/>
      <c r="AK759" s="1035"/>
      <c r="AL759" s="1035"/>
      <c r="AM759" s="1035"/>
      <c r="AN759" s="1035"/>
      <c r="AO759" s="1035"/>
      <c r="AP759" s="1035"/>
      <c r="AQ759" s="1035"/>
      <c r="AR759" s="103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6" t="s">
        <v>2090</v>
      </c>
      <c r="D760" s="1035"/>
      <c r="E760" s="1035"/>
      <c r="F760" s="1035"/>
      <c r="G760" s="1035"/>
      <c r="H760" s="1035"/>
      <c r="I760" s="1035"/>
      <c r="J760" s="1035"/>
      <c r="K760" s="1035"/>
      <c r="L760" s="1035"/>
      <c r="M760" s="1035"/>
      <c r="N760" s="1035"/>
      <c r="O760" s="1035"/>
      <c r="P760" s="1035"/>
      <c r="Q760" s="1035"/>
      <c r="R760" s="1035"/>
      <c r="S760" s="1035"/>
      <c r="T760" s="1035"/>
      <c r="U760" s="1035"/>
      <c r="V760" s="1035"/>
      <c r="W760" s="1035"/>
      <c r="X760" s="1035"/>
      <c r="Y760" s="1035"/>
      <c r="Z760" s="1035"/>
      <c r="AA760" s="1035"/>
      <c r="AB760" s="1035"/>
      <c r="AC760" s="1035"/>
      <c r="AD760" s="1035"/>
      <c r="AE760" s="1035"/>
      <c r="AF760" s="1035"/>
      <c r="AG760" s="1035"/>
      <c r="AH760" s="1035"/>
      <c r="AI760" s="1035"/>
      <c r="AJ760" s="1035"/>
      <c r="AK760" s="1035"/>
      <c r="AL760" s="1035"/>
      <c r="AM760" s="1035"/>
      <c r="AN760" s="1035"/>
      <c r="AO760" s="1035"/>
      <c r="AP760" s="1035"/>
      <c r="AQ760" s="1035"/>
      <c r="AR760" s="103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576</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3"/>
      <c r="C762" s="118" t="s">
        <v>177</v>
      </c>
      <c r="D762" s="1033"/>
      <c r="E762" s="1033"/>
      <c r="F762" s="1033"/>
      <c r="G762" s="355"/>
      <c r="H762" s="355"/>
      <c r="I762" s="355"/>
      <c r="J762" s="355"/>
      <c r="K762" s="355"/>
      <c r="L762" s="1033"/>
      <c r="M762" s="1033"/>
      <c r="N762" s="1033"/>
      <c r="O762" s="1033"/>
      <c r="P762" s="1033"/>
      <c r="Q762" s="355"/>
      <c r="R762" s="355"/>
      <c r="S762" s="355"/>
      <c r="T762" s="355"/>
      <c r="U762" s="35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3"/>
      <c r="C763" s="1268" t="s">
        <v>2091</v>
      </c>
      <c r="D763" s="1268"/>
      <c r="E763" s="1268"/>
      <c r="F763" s="1268"/>
      <c r="G763" s="1268"/>
      <c r="H763" s="1268"/>
      <c r="I763" s="1268"/>
      <c r="J763" s="1268"/>
      <c r="K763" s="1268"/>
      <c r="L763" s="1268"/>
      <c r="M763" s="1268"/>
      <c r="N763" s="1268"/>
      <c r="O763" s="1268"/>
      <c r="P763" s="1268"/>
      <c r="Q763" s="1268"/>
      <c r="R763" s="1268"/>
      <c r="S763" s="1268"/>
      <c r="T763" s="1268"/>
      <c r="U763" s="1268"/>
      <c r="V763" s="1268"/>
      <c r="W763" s="1268"/>
      <c r="X763" s="1268"/>
      <c r="Y763" s="1268"/>
      <c r="Z763" s="1268"/>
      <c r="AA763" s="1268"/>
      <c r="AB763" s="1268"/>
      <c r="AC763" s="1268"/>
      <c r="AD763" s="1268"/>
      <c r="AE763" s="1268"/>
      <c r="AF763" s="1268"/>
      <c r="AG763" s="1268"/>
      <c r="AH763" s="1268"/>
      <c r="AI763" s="1268"/>
      <c r="AJ763" s="1268"/>
      <c r="AK763" s="1268"/>
      <c r="AL763" s="1268"/>
      <c r="AM763" s="1268"/>
      <c r="AN763" s="1268"/>
      <c r="AO763" s="1268"/>
      <c r="AP763" s="1268"/>
      <c r="AQ763" s="1268"/>
      <c r="AR763" s="1268"/>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3"/>
      <c r="C764" s="1268"/>
      <c r="D764" s="1268"/>
      <c r="E764" s="1268"/>
      <c r="F764" s="1268"/>
      <c r="G764" s="1268"/>
      <c r="H764" s="1268"/>
      <c r="I764" s="1268"/>
      <c r="J764" s="1268"/>
      <c r="K764" s="1268"/>
      <c r="L764" s="1268"/>
      <c r="M764" s="1268"/>
      <c r="N764" s="1268"/>
      <c r="O764" s="1268"/>
      <c r="P764" s="1268"/>
      <c r="Q764" s="1268"/>
      <c r="R764" s="1268"/>
      <c r="S764" s="1268"/>
      <c r="T764" s="1268"/>
      <c r="U764" s="1268"/>
      <c r="V764" s="1268"/>
      <c r="W764" s="1268"/>
      <c r="X764" s="1268"/>
      <c r="Y764" s="1268"/>
      <c r="Z764" s="1268"/>
      <c r="AA764" s="1268"/>
      <c r="AB764" s="1268"/>
      <c r="AC764" s="1268"/>
      <c r="AD764" s="1268"/>
      <c r="AE764" s="1268"/>
      <c r="AF764" s="1268"/>
      <c r="AG764" s="1268"/>
      <c r="AH764" s="1268"/>
      <c r="AI764" s="1268"/>
      <c r="AJ764" s="1268"/>
      <c r="AK764" s="1268"/>
      <c r="AL764" s="1268"/>
      <c r="AM764" s="1268"/>
      <c r="AN764" s="1268"/>
      <c r="AO764" s="1268"/>
      <c r="AP764" s="1268"/>
      <c r="AQ764" s="1268"/>
      <c r="AR764" s="1268"/>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3"/>
      <c r="C765" s="1268"/>
      <c r="D765" s="1268"/>
      <c r="E765" s="1268"/>
      <c r="F765" s="1268"/>
      <c r="G765" s="1268"/>
      <c r="H765" s="1268"/>
      <c r="I765" s="1268"/>
      <c r="J765" s="1268"/>
      <c r="K765" s="1268"/>
      <c r="L765" s="1268"/>
      <c r="M765" s="1268"/>
      <c r="N765" s="1268"/>
      <c r="O765" s="1268"/>
      <c r="P765" s="1268"/>
      <c r="Q765" s="1268"/>
      <c r="R765" s="1268"/>
      <c r="S765" s="1268"/>
      <c r="T765" s="1268"/>
      <c r="U765" s="1268"/>
      <c r="V765" s="1268"/>
      <c r="W765" s="1268"/>
      <c r="X765" s="1268"/>
      <c r="Y765" s="1268"/>
      <c r="Z765" s="1268"/>
      <c r="AA765" s="1268"/>
      <c r="AB765" s="1268"/>
      <c r="AC765" s="1268"/>
      <c r="AD765" s="1268"/>
      <c r="AE765" s="1268"/>
      <c r="AF765" s="1268"/>
      <c r="AG765" s="1268"/>
      <c r="AH765" s="1268"/>
      <c r="AI765" s="1268"/>
      <c r="AJ765" s="1268"/>
      <c r="AK765" s="1268"/>
      <c r="AL765" s="1268"/>
      <c r="AM765" s="1268"/>
      <c r="AN765" s="1268"/>
      <c r="AO765" s="1268"/>
      <c r="AP765" s="1268"/>
      <c r="AQ765" s="1268"/>
      <c r="AR765" s="1268"/>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3"/>
      <c r="C766" s="1268" t="s">
        <v>2092</v>
      </c>
      <c r="D766" s="1268"/>
      <c r="E766" s="1268"/>
      <c r="F766" s="1268"/>
      <c r="G766" s="1268"/>
      <c r="H766" s="1268"/>
      <c r="I766" s="1268"/>
      <c r="J766" s="1268"/>
      <c r="K766" s="1268"/>
      <c r="L766" s="1268"/>
      <c r="M766" s="1268"/>
      <c r="N766" s="1268"/>
      <c r="O766" s="1268"/>
      <c r="P766" s="1268"/>
      <c r="Q766" s="1268"/>
      <c r="R766" s="1268"/>
      <c r="S766" s="1268"/>
      <c r="T766" s="1268"/>
      <c r="U766" s="1268"/>
      <c r="V766" s="1268"/>
      <c r="W766" s="1268"/>
      <c r="X766" s="1268"/>
      <c r="Y766" s="1268"/>
      <c r="Z766" s="1268"/>
      <c r="AA766" s="1268"/>
      <c r="AB766" s="1268"/>
      <c r="AC766" s="1268"/>
      <c r="AD766" s="1268"/>
      <c r="AE766" s="1268"/>
      <c r="AF766" s="1268"/>
      <c r="AG766" s="1268"/>
      <c r="AH766" s="1268"/>
      <c r="AI766" s="1268"/>
      <c r="AJ766" s="1268"/>
      <c r="AK766" s="1268"/>
      <c r="AL766" s="1268"/>
      <c r="AM766" s="1268"/>
      <c r="AN766" s="1268"/>
      <c r="AO766" s="1268"/>
      <c r="AP766" s="1268"/>
      <c r="AQ766" s="1268"/>
      <c r="AR766" s="1268"/>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1"/>
      <c r="DY766" s="291"/>
      <c r="DZ766" s="291"/>
      <c r="EA766" s="291"/>
      <c r="EB766" s="291"/>
      <c r="EC766" s="291"/>
      <c r="ED766" s="291"/>
      <c r="EE766" s="291"/>
      <c r="EF766" s="291"/>
      <c r="EG766" s="291"/>
      <c r="EH766" s="291"/>
      <c r="EI766" s="291"/>
      <c r="EJ766" s="291"/>
      <c r="EK766" s="291"/>
      <c r="EL766" s="291"/>
      <c r="EM766" s="291"/>
      <c r="EN766" s="291"/>
      <c r="EO766" s="291"/>
      <c r="EP766" s="291"/>
      <c r="EQ766" s="291"/>
      <c r="ER766" s="291"/>
      <c r="ES766" s="291"/>
      <c r="ET766" s="291"/>
      <c r="EU766" s="291"/>
      <c r="EV766" s="291"/>
      <c r="EW766" s="291"/>
      <c r="EX766" s="291"/>
      <c r="EY766" s="291"/>
      <c r="EZ766" s="291"/>
      <c r="FA766" s="291"/>
    </row>
    <row r="767" spans="1:185" ht="12.95" customHeight="1">
      <c r="A767" s="3"/>
      <c r="B767" s="1033"/>
      <c r="C767" s="1268"/>
      <c r="D767" s="1268"/>
      <c r="E767" s="1268"/>
      <c r="F767" s="1268"/>
      <c r="G767" s="1268"/>
      <c r="H767" s="1268"/>
      <c r="I767" s="1268"/>
      <c r="J767" s="1268"/>
      <c r="K767" s="1268"/>
      <c r="L767" s="1268"/>
      <c r="M767" s="1268"/>
      <c r="N767" s="1268"/>
      <c r="O767" s="1268"/>
      <c r="P767" s="1268"/>
      <c r="Q767" s="1268"/>
      <c r="R767" s="1268"/>
      <c r="S767" s="1268"/>
      <c r="T767" s="1268"/>
      <c r="U767" s="1268"/>
      <c r="V767" s="1268"/>
      <c r="W767" s="1268"/>
      <c r="X767" s="1268"/>
      <c r="Y767" s="1268"/>
      <c r="Z767" s="1268"/>
      <c r="AA767" s="1268"/>
      <c r="AB767" s="1268"/>
      <c r="AC767" s="1268"/>
      <c r="AD767" s="1268"/>
      <c r="AE767" s="1268"/>
      <c r="AF767" s="1268"/>
      <c r="AG767" s="1268"/>
      <c r="AH767" s="1268"/>
      <c r="AI767" s="1268"/>
      <c r="AJ767" s="1268"/>
      <c r="AK767" s="1268"/>
      <c r="AL767" s="1268"/>
      <c r="AM767" s="1268"/>
      <c r="AN767" s="1268"/>
      <c r="AO767" s="1268"/>
      <c r="AP767" s="1268"/>
      <c r="AQ767" s="1268"/>
      <c r="AR767" s="1268"/>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3"/>
      <c r="C768" s="1268"/>
      <c r="D768" s="1268"/>
      <c r="E768" s="1268"/>
      <c r="F768" s="1268"/>
      <c r="G768" s="1268"/>
      <c r="H768" s="1268"/>
      <c r="I768" s="1268"/>
      <c r="J768" s="1268"/>
      <c r="K768" s="1268"/>
      <c r="L768" s="1268"/>
      <c r="M768" s="1268"/>
      <c r="N768" s="1268"/>
      <c r="O768" s="1268"/>
      <c r="P768" s="1268"/>
      <c r="Q768" s="1268"/>
      <c r="R768" s="1268"/>
      <c r="S768" s="1268"/>
      <c r="T768" s="1268"/>
      <c r="U768" s="1268"/>
      <c r="V768" s="1268"/>
      <c r="W768" s="1268"/>
      <c r="X768" s="1268"/>
      <c r="Y768" s="1268"/>
      <c r="Z768" s="1268"/>
      <c r="AA768" s="1268"/>
      <c r="AB768" s="1268"/>
      <c r="AC768" s="1268"/>
      <c r="AD768" s="1268"/>
      <c r="AE768" s="1268"/>
      <c r="AF768" s="1268"/>
      <c r="AG768" s="1268"/>
      <c r="AH768" s="1268"/>
      <c r="AI768" s="1268"/>
      <c r="AJ768" s="1268"/>
      <c r="AK768" s="1268"/>
      <c r="AL768" s="1268"/>
      <c r="AM768" s="1268"/>
      <c r="AN768" s="1268"/>
      <c r="AO768" s="1268"/>
      <c r="AP768" s="1268"/>
      <c r="AQ768" s="1268"/>
      <c r="AR768" s="1268"/>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501" t="s">
        <v>389</v>
      </c>
      <c r="K769" s="1481"/>
      <c r="L769" s="1481"/>
      <c r="M769" s="1481"/>
      <c r="N769" s="1482"/>
      <c r="O769" s="1616" t="s">
        <v>285</v>
      </c>
      <c r="P769" s="1616"/>
      <c r="Q769" s="1616"/>
      <c r="R769" s="1616"/>
      <c r="S769" s="1616"/>
      <c r="T769" s="1621" t="s">
        <v>1679</v>
      </c>
      <c r="U769" s="1622"/>
      <c r="V769" s="1622"/>
      <c r="W769" s="1623"/>
      <c r="X769" s="1501" t="s">
        <v>447</v>
      </c>
      <c r="Y769" s="1481"/>
      <c r="Z769" s="1481"/>
      <c r="AA769" s="1481"/>
      <c r="AB769" s="1482"/>
      <c r="AC769" s="1501" t="s">
        <v>286</v>
      </c>
      <c r="AD769" s="1481"/>
      <c r="AE769" s="1481"/>
      <c r="AF769" s="1481"/>
      <c r="AG769" s="1482"/>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483"/>
      <c r="K770" s="1484"/>
      <c r="L770" s="1484"/>
      <c r="M770" s="1484"/>
      <c r="N770" s="1485"/>
      <c r="O770" s="1616"/>
      <c r="P770" s="1616"/>
      <c r="Q770" s="1616"/>
      <c r="R770" s="1616"/>
      <c r="S770" s="1616"/>
      <c r="T770" s="1624"/>
      <c r="U770" s="1625"/>
      <c r="V770" s="1625"/>
      <c r="W770" s="1626"/>
      <c r="X770" s="1483"/>
      <c r="Y770" s="1484"/>
      <c r="Z770" s="1484"/>
      <c r="AA770" s="1484"/>
      <c r="AB770" s="1485"/>
      <c r="AC770" s="1483"/>
      <c r="AD770" s="1484"/>
      <c r="AE770" s="1484"/>
      <c r="AF770" s="1484"/>
      <c r="AG770" s="1485"/>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483"/>
      <c r="K771" s="1484"/>
      <c r="L771" s="1484"/>
      <c r="M771" s="1484"/>
      <c r="N771" s="1485"/>
      <c r="O771" s="1616"/>
      <c r="P771" s="1616"/>
      <c r="Q771" s="1616"/>
      <c r="R771" s="1616"/>
      <c r="S771" s="1616"/>
      <c r="T771" s="1624"/>
      <c r="U771" s="1625"/>
      <c r="V771" s="1625"/>
      <c r="W771" s="1626"/>
      <c r="X771" s="1483"/>
      <c r="Y771" s="1484"/>
      <c r="Z771" s="1484"/>
      <c r="AA771" s="1484"/>
      <c r="AB771" s="1485"/>
      <c r="AC771" s="1483"/>
      <c r="AD771" s="1484"/>
      <c r="AE771" s="1484"/>
      <c r="AF771" s="1484"/>
      <c r="AG771" s="1485"/>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486"/>
      <c r="K772" s="1487"/>
      <c r="L772" s="1487"/>
      <c r="M772" s="1487"/>
      <c r="N772" s="1488"/>
      <c r="O772" s="1616"/>
      <c r="P772" s="1616"/>
      <c r="Q772" s="1616"/>
      <c r="R772" s="1616"/>
      <c r="S772" s="1616"/>
      <c r="T772" s="1627"/>
      <c r="U772" s="1628"/>
      <c r="V772" s="1628"/>
      <c r="W772" s="1629"/>
      <c r="X772" s="1486"/>
      <c r="Y772" s="1487"/>
      <c r="Z772" s="1487"/>
      <c r="AA772" s="1487"/>
      <c r="AB772" s="1488"/>
      <c r="AC772" s="1486"/>
      <c r="AD772" s="1487"/>
      <c r="AE772" s="1487"/>
      <c r="AF772" s="1487"/>
      <c r="AG772" s="1488"/>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57" t="s">
        <v>325</v>
      </c>
      <c r="K773" s="1358"/>
      <c r="L773" s="1358"/>
      <c r="M773" s="1358"/>
      <c r="N773" s="1359"/>
      <c r="O773" s="1435">
        <v>1</v>
      </c>
      <c r="P773" s="1435"/>
      <c r="Q773" s="1435"/>
      <c r="R773" s="1435"/>
      <c r="S773" s="1435"/>
      <c r="T773" s="1370">
        <v>520</v>
      </c>
      <c r="U773" s="1371"/>
      <c r="V773" s="1371"/>
      <c r="W773" s="1372"/>
      <c r="X773" s="1490">
        <v>0</v>
      </c>
      <c r="Y773" s="1491"/>
      <c r="Z773" s="1491"/>
      <c r="AA773" s="1491"/>
      <c r="AB773" s="1492"/>
      <c r="AC773" s="1360">
        <f>X773*O773</f>
        <v>0</v>
      </c>
      <c r="AD773" s="1361"/>
      <c r="AE773" s="1361"/>
      <c r="AF773" s="1361"/>
      <c r="AG773" s="1362"/>
      <c r="AH773" s="1022"/>
      <c r="AI773" s="116"/>
      <c r="AJ773" s="116"/>
      <c r="AK773" s="1022"/>
      <c r="AL773" s="102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4">
        <f>IF(J773="SRO/Studio",O773,0)</f>
        <v>0</v>
      </c>
      <c r="CQ773" s="1335"/>
      <c r="CR773" s="1335"/>
      <c r="CS773" s="1335"/>
      <c r="CT773" s="1336"/>
      <c r="CU773" s="1356">
        <f>IF(J773="1 Bedroom",O773,0)</f>
        <v>1</v>
      </c>
      <c r="CV773" s="1356"/>
      <c r="CW773" s="1356"/>
      <c r="CX773" s="1356"/>
      <c r="CY773" s="1356"/>
      <c r="CZ773" s="1356">
        <f>IF(J773="2 Bedrooms",O773,0)</f>
        <v>0</v>
      </c>
      <c r="DA773" s="1356"/>
      <c r="DB773" s="1356"/>
      <c r="DC773" s="1356"/>
      <c r="DD773" s="1356"/>
      <c r="DE773" s="1356">
        <f>IF(J773="3 Bedrooms",O773,0)</f>
        <v>0</v>
      </c>
      <c r="DF773" s="1356"/>
      <c r="DG773" s="1356"/>
      <c r="DH773" s="1356"/>
      <c r="DI773" s="1356"/>
      <c r="DJ773" s="1356">
        <f>IF(J773="4 Bedrooms",O773,0)</f>
        <v>0</v>
      </c>
      <c r="DK773" s="1356"/>
      <c r="DL773" s="1356"/>
      <c r="DM773" s="1356"/>
      <c r="DN773" s="1356"/>
      <c r="DO773" s="1356">
        <f>IF(J773="5 Bedrooms",O773,0)</f>
        <v>0</v>
      </c>
      <c r="DP773" s="1356"/>
      <c r="DQ773" s="1356"/>
      <c r="DR773" s="1356"/>
      <c r="DS773" s="1356"/>
      <c r="DT773" s="6"/>
      <c r="DU773" s="3"/>
      <c r="DV773" s="3"/>
    </row>
    <row r="774" spans="1:126" ht="12.95" customHeight="1">
      <c r="J774" s="1357" t="s">
        <v>164</v>
      </c>
      <c r="K774" s="1358"/>
      <c r="L774" s="1358"/>
      <c r="M774" s="1358"/>
      <c r="N774" s="1359"/>
      <c r="O774" s="1435">
        <v>1</v>
      </c>
      <c r="P774" s="1435"/>
      <c r="Q774" s="1435"/>
      <c r="R774" s="1435"/>
      <c r="S774" s="1435"/>
      <c r="T774" s="1370">
        <v>1018</v>
      </c>
      <c r="U774" s="1371"/>
      <c r="V774" s="1371"/>
      <c r="W774" s="1372"/>
      <c r="X774" s="1490">
        <v>0</v>
      </c>
      <c r="Y774" s="1491"/>
      <c r="Z774" s="1491"/>
      <c r="AA774" s="1491"/>
      <c r="AB774" s="1492"/>
      <c r="AC774" s="1360">
        <f>X774*O774</f>
        <v>0</v>
      </c>
      <c r="AD774" s="1361"/>
      <c r="AE774" s="1361"/>
      <c r="AF774" s="1361"/>
      <c r="AG774" s="1362"/>
      <c r="AH774" s="1022"/>
      <c r="AI774" s="1022"/>
      <c r="AJ774" s="1022"/>
      <c r="AK774" s="1022"/>
      <c r="AL774" s="102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4">
        <f>IF(J774="SRO/Studio",O774,0)</f>
        <v>0</v>
      </c>
      <c r="CQ774" s="1335"/>
      <c r="CR774" s="1335"/>
      <c r="CS774" s="1335"/>
      <c r="CT774" s="1336"/>
      <c r="CU774" s="1356">
        <f>IF(J774="1 Bedroom",O774,0)</f>
        <v>0</v>
      </c>
      <c r="CV774" s="1356"/>
      <c r="CW774" s="1356"/>
      <c r="CX774" s="1356"/>
      <c r="CY774" s="1356"/>
      <c r="CZ774" s="1356">
        <f>IF(J774="2 Bedrooms",O774,0)</f>
        <v>0</v>
      </c>
      <c r="DA774" s="1356"/>
      <c r="DB774" s="1356"/>
      <c r="DC774" s="1356"/>
      <c r="DD774" s="1356"/>
      <c r="DE774" s="1356">
        <f>IF(J774="3 Bedrooms",O774,0)</f>
        <v>1</v>
      </c>
      <c r="DF774" s="1356"/>
      <c r="DG774" s="1356"/>
      <c r="DH774" s="1356"/>
      <c r="DI774" s="1356"/>
      <c r="DJ774" s="1356">
        <f>IF(J774="4 Bedrooms",O774,0)</f>
        <v>0</v>
      </c>
      <c r="DK774" s="1356"/>
      <c r="DL774" s="1356"/>
      <c r="DM774" s="1356"/>
      <c r="DN774" s="1356"/>
      <c r="DO774" s="1356">
        <f>IF(J774="5 Bedrooms",O774,0)</f>
        <v>0</v>
      </c>
      <c r="DP774" s="1356"/>
      <c r="DQ774" s="1356"/>
      <c r="DR774" s="1356"/>
      <c r="DS774" s="1356"/>
      <c r="DT774" s="6"/>
      <c r="DU774" s="3"/>
      <c r="DV774" s="3"/>
    </row>
    <row r="775" spans="1:126" ht="12.95" customHeight="1">
      <c r="J775" s="1357"/>
      <c r="K775" s="1358"/>
      <c r="L775" s="1358"/>
      <c r="M775" s="1358"/>
      <c r="N775" s="1359"/>
      <c r="O775" s="1435"/>
      <c r="P775" s="1435"/>
      <c r="Q775" s="1435"/>
      <c r="R775" s="1435"/>
      <c r="S775" s="1435"/>
      <c r="T775" s="1370"/>
      <c r="U775" s="1371"/>
      <c r="V775" s="1371"/>
      <c r="W775" s="1372"/>
      <c r="X775" s="1490"/>
      <c r="Y775" s="1491"/>
      <c r="Z775" s="1491"/>
      <c r="AA775" s="1491"/>
      <c r="AB775" s="1492"/>
      <c r="AC775" s="1360">
        <f>X775*O775</f>
        <v>0</v>
      </c>
      <c r="AD775" s="1361"/>
      <c r="AE775" s="1361"/>
      <c r="AF775" s="1361"/>
      <c r="AG775" s="1362"/>
      <c r="AH775" s="1022"/>
      <c r="AI775" s="1022"/>
      <c r="AJ775" s="1022"/>
      <c r="AK775" s="1022"/>
      <c r="AL775" s="1022"/>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4">
        <f>IF(J775="SRO/Studio",O775,0)</f>
        <v>0</v>
      </c>
      <c r="CQ775" s="1335"/>
      <c r="CR775" s="1335"/>
      <c r="CS775" s="1335"/>
      <c r="CT775" s="1336"/>
      <c r="CU775" s="1356">
        <f>IF(J775="1 Bedroom",O775,0)</f>
        <v>0</v>
      </c>
      <c r="CV775" s="1356"/>
      <c r="CW775" s="1356"/>
      <c r="CX775" s="1356"/>
      <c r="CY775" s="1356"/>
      <c r="CZ775" s="1356">
        <f>IF(J775="2 Bedrooms",O775,0)</f>
        <v>0</v>
      </c>
      <c r="DA775" s="1356"/>
      <c r="DB775" s="1356"/>
      <c r="DC775" s="1356"/>
      <c r="DD775" s="1356"/>
      <c r="DE775" s="1356">
        <f>IF(J775="3 Bedrooms",O775,0)</f>
        <v>0</v>
      </c>
      <c r="DF775" s="1356"/>
      <c r="DG775" s="1356"/>
      <c r="DH775" s="1356"/>
      <c r="DI775" s="1356"/>
      <c r="DJ775" s="1356">
        <f>IF(J775="4 Bedrooms",O775,0)</f>
        <v>0</v>
      </c>
      <c r="DK775" s="1356"/>
      <c r="DL775" s="1356"/>
      <c r="DM775" s="1356"/>
      <c r="DN775" s="1356"/>
      <c r="DO775" s="1356">
        <f>IF(J775="5 Bedrooms",O775,0)</f>
        <v>0</v>
      </c>
      <c r="DP775" s="1356"/>
      <c r="DQ775" s="1356"/>
      <c r="DR775" s="1356"/>
      <c r="DS775" s="1356"/>
      <c r="DT775" s="1013"/>
    </row>
    <row r="776" spans="1:126" ht="12.95" customHeight="1">
      <c r="J776" s="1357"/>
      <c r="K776" s="1358"/>
      <c r="L776" s="1358"/>
      <c r="M776" s="1358"/>
      <c r="N776" s="1359"/>
      <c r="O776" s="1435"/>
      <c r="P776" s="1435"/>
      <c r="Q776" s="1435"/>
      <c r="R776" s="1435"/>
      <c r="S776" s="1435"/>
      <c r="T776" s="1370"/>
      <c r="U776" s="1371"/>
      <c r="V776" s="1371"/>
      <c r="W776" s="1372"/>
      <c r="X776" s="1490"/>
      <c r="Y776" s="1491"/>
      <c r="Z776" s="1491"/>
      <c r="AA776" s="1491"/>
      <c r="AB776" s="1492"/>
      <c r="AC776" s="1360">
        <f>X776*O776</f>
        <v>0</v>
      </c>
      <c r="AD776" s="1361"/>
      <c r="AE776" s="1361"/>
      <c r="AF776" s="1361"/>
      <c r="AG776" s="1362"/>
      <c r="AH776" s="1022"/>
      <c r="AI776" s="1022"/>
      <c r="AJ776" s="1022"/>
      <c r="AK776" s="1022"/>
      <c r="AL776" s="102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4">
        <f>IF(J776="SRO/Studio",O776,0)</f>
        <v>0</v>
      </c>
      <c r="CQ776" s="1335"/>
      <c r="CR776" s="1335"/>
      <c r="CS776" s="1335"/>
      <c r="CT776" s="1336"/>
      <c r="CU776" s="1356">
        <f>IF(J776="1 Bedroom",O776,0)</f>
        <v>0</v>
      </c>
      <c r="CV776" s="1356"/>
      <c r="CW776" s="1356"/>
      <c r="CX776" s="1356"/>
      <c r="CY776" s="1356"/>
      <c r="CZ776" s="1356">
        <f>IF(J776="2 Bedrooms",O776,0)</f>
        <v>0</v>
      </c>
      <c r="DA776" s="1356"/>
      <c r="DB776" s="1356"/>
      <c r="DC776" s="1356"/>
      <c r="DD776" s="1356"/>
      <c r="DE776" s="1356">
        <f>IF(J776="3 Bedrooms",O776,0)</f>
        <v>0</v>
      </c>
      <c r="DF776" s="1356"/>
      <c r="DG776" s="1356"/>
      <c r="DH776" s="1356"/>
      <c r="DI776" s="1356"/>
      <c r="DJ776" s="1356">
        <f>IF(J776="4 Bedrooms",O776,0)</f>
        <v>0</v>
      </c>
      <c r="DK776" s="1356"/>
      <c r="DL776" s="1356"/>
      <c r="DM776" s="1356"/>
      <c r="DN776" s="1356"/>
      <c r="DO776" s="1356">
        <f>IF(J776="5 Bedrooms",O776,0)</f>
        <v>0</v>
      </c>
      <c r="DP776" s="1356"/>
      <c r="DQ776" s="1356"/>
      <c r="DR776" s="1356"/>
      <c r="DS776" s="1356"/>
    </row>
    <row r="777" spans="1:126" ht="12.95" customHeight="1">
      <c r="J777" s="1411" t="s">
        <v>125</v>
      </c>
      <c r="K777" s="1412"/>
      <c r="L777" s="1412"/>
      <c r="M777" s="1412"/>
      <c r="N777" s="1414"/>
      <c r="O777" s="1337">
        <f>SUM(O773:S776)</f>
        <v>2</v>
      </c>
      <c r="P777" s="1338"/>
      <c r="Q777" s="1338"/>
      <c r="R777" s="1338"/>
      <c r="S777" s="1339"/>
      <c r="X777" s="1411" t="s">
        <v>124</v>
      </c>
      <c r="Y777" s="1412"/>
      <c r="Z777" s="1412"/>
      <c r="AA777" s="1412"/>
      <c r="AB777" s="1414"/>
      <c r="AC777" s="1360">
        <f>SUM(AC773:AG776)</f>
        <v>0</v>
      </c>
      <c r="AD777" s="1361"/>
      <c r="AE777" s="1361"/>
      <c r="AF777" s="1361"/>
      <c r="AG777" s="1362"/>
      <c r="AI777" s="1022"/>
      <c r="AJ777" s="102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7">
        <f>SUM(CP773:CT776)</f>
        <v>0</v>
      </c>
      <c r="CQ777" s="1338"/>
      <c r="CR777" s="1338"/>
      <c r="CS777" s="1338"/>
      <c r="CT777" s="1339"/>
      <c r="CU777" s="1350">
        <f>SUM(CU773:CY776)</f>
        <v>1</v>
      </c>
      <c r="CV777" s="1351"/>
      <c r="CW777" s="1351"/>
      <c r="CX777" s="1351"/>
      <c r="CY777" s="1352"/>
      <c r="CZ777" s="1350">
        <f>SUM(CZ773:DD776)</f>
        <v>0</v>
      </c>
      <c r="DA777" s="1351"/>
      <c r="DB777" s="1351"/>
      <c r="DC777" s="1351"/>
      <c r="DD777" s="1352"/>
      <c r="DE777" s="1350">
        <f>SUM(DE773:DI776)</f>
        <v>1</v>
      </c>
      <c r="DF777" s="1351"/>
      <c r="DG777" s="1351"/>
      <c r="DH777" s="1351"/>
      <c r="DI777" s="1352"/>
      <c r="DJ777" s="1350">
        <f>SUM(DJ773:DN776)</f>
        <v>0</v>
      </c>
      <c r="DK777" s="1351"/>
      <c r="DL777" s="1351"/>
      <c r="DM777" s="1351"/>
      <c r="DN777" s="1352"/>
      <c r="DO777" s="1350">
        <f>SUM(DO773:DS776)</f>
        <v>0</v>
      </c>
      <c r="DP777" s="1351"/>
      <c r="DQ777" s="1351"/>
      <c r="DR777" s="1351"/>
      <c r="DS777" s="1352"/>
      <c r="DU777" s="862">
        <f>CP777+CU777+CZ777+DE777+DJ777+DO777</f>
        <v>2</v>
      </c>
      <c r="DV777" s="57" t="s">
        <v>1860</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2">
        <f>CP777*1</f>
        <v>0</v>
      </c>
      <c r="CU778" s="3"/>
      <c r="CV778" s="3"/>
      <c r="CW778" s="3"/>
      <c r="CX778" s="3"/>
      <c r="CY778" s="862">
        <f>CU777*1</f>
        <v>1</v>
      </c>
      <c r="CZ778" s="3"/>
      <c r="DA778" s="3"/>
      <c r="DB778" s="3"/>
      <c r="DC778" s="3"/>
      <c r="DD778" s="862">
        <f>CZ777*2</f>
        <v>0</v>
      </c>
      <c r="DE778" s="3"/>
      <c r="DF778" s="3"/>
      <c r="DG778" s="3"/>
      <c r="DH778" s="3"/>
      <c r="DI778" s="862">
        <f>DE777*3</f>
        <v>3</v>
      </c>
      <c r="DJ778" s="3"/>
      <c r="DK778" s="3"/>
      <c r="DL778" s="3"/>
      <c r="DM778" s="3"/>
      <c r="DN778" s="862">
        <f>DJ777*4</f>
        <v>0</v>
      </c>
      <c r="DO778" s="3"/>
      <c r="DP778" s="3"/>
      <c r="DQ778" s="3"/>
      <c r="DR778" s="3"/>
      <c r="DS778" s="862">
        <f>DO777*5</f>
        <v>0</v>
      </c>
      <c r="DU778" s="862">
        <f>CT778+CY778+DD778+DI778+DN778+DS778</f>
        <v>4</v>
      </c>
      <c r="DV778" s="57" t="s">
        <v>1862</v>
      </c>
    </row>
    <row r="779" spans="1:126" ht="12.95" customHeight="1">
      <c r="B779" s="56"/>
      <c r="C779" s="56"/>
      <c r="D779" s="56"/>
      <c r="E779" s="56"/>
      <c r="F779" s="56"/>
      <c r="G779" s="6"/>
      <c r="H779" s="6"/>
      <c r="I779" s="6"/>
      <c r="J779" s="1369" t="s">
        <v>669</v>
      </c>
      <c r="K779" s="1369"/>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2093</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586</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3"/>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501" t="s">
        <v>389</v>
      </c>
      <c r="K783" s="1481"/>
      <c r="L783" s="1481"/>
      <c r="M783" s="1481"/>
      <c r="N783" s="1482"/>
      <c r="O783" s="1616" t="s">
        <v>285</v>
      </c>
      <c r="P783" s="1616"/>
      <c r="Q783" s="1616"/>
      <c r="R783" s="1616"/>
      <c r="S783" s="1616"/>
      <c r="T783" s="1621" t="s">
        <v>1679</v>
      </c>
      <c r="U783" s="1622"/>
      <c r="V783" s="1622"/>
      <c r="W783" s="1623"/>
      <c r="X783" s="1501" t="s">
        <v>447</v>
      </c>
      <c r="Y783" s="1481"/>
      <c r="Z783" s="1481"/>
      <c r="AA783" s="1481"/>
      <c r="AB783" s="1482"/>
      <c r="AC783" s="1501" t="s">
        <v>286</v>
      </c>
      <c r="AD783" s="1481"/>
      <c r="AE783" s="1481"/>
      <c r="AF783" s="1481"/>
      <c r="AG783" s="1482"/>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483"/>
      <c r="K784" s="1484"/>
      <c r="L784" s="1484"/>
      <c r="M784" s="1484"/>
      <c r="N784" s="1485"/>
      <c r="O784" s="1616"/>
      <c r="P784" s="1616"/>
      <c r="Q784" s="1616"/>
      <c r="R784" s="1616"/>
      <c r="S784" s="1616"/>
      <c r="T784" s="1624"/>
      <c r="U784" s="1625"/>
      <c r="V784" s="1625"/>
      <c r="W784" s="1626"/>
      <c r="X784" s="1483"/>
      <c r="Y784" s="1484"/>
      <c r="Z784" s="1484"/>
      <c r="AA784" s="1484"/>
      <c r="AB784" s="1485"/>
      <c r="AC784" s="1483"/>
      <c r="AD784" s="1484"/>
      <c r="AE784" s="1484"/>
      <c r="AF784" s="1484"/>
      <c r="AG784" s="1485"/>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483"/>
      <c r="K785" s="1484"/>
      <c r="L785" s="1484"/>
      <c r="M785" s="1484"/>
      <c r="N785" s="1485"/>
      <c r="O785" s="1616"/>
      <c r="P785" s="1616"/>
      <c r="Q785" s="1616"/>
      <c r="R785" s="1616"/>
      <c r="S785" s="1616"/>
      <c r="T785" s="1624"/>
      <c r="U785" s="1625"/>
      <c r="V785" s="1625"/>
      <c r="W785" s="1626"/>
      <c r="X785" s="1483"/>
      <c r="Y785" s="1484"/>
      <c r="Z785" s="1484"/>
      <c r="AA785" s="1484"/>
      <c r="AB785" s="1485"/>
      <c r="AC785" s="1483"/>
      <c r="AD785" s="1484"/>
      <c r="AE785" s="1484"/>
      <c r="AF785" s="1484"/>
      <c r="AG785" s="1485"/>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486"/>
      <c r="K786" s="1487"/>
      <c r="L786" s="1487"/>
      <c r="M786" s="1487"/>
      <c r="N786" s="1488"/>
      <c r="O786" s="1616"/>
      <c r="P786" s="1616"/>
      <c r="Q786" s="1616"/>
      <c r="R786" s="1616"/>
      <c r="S786" s="1616"/>
      <c r="T786" s="1627"/>
      <c r="U786" s="1628"/>
      <c r="V786" s="1628"/>
      <c r="W786" s="1629"/>
      <c r="X786" s="1486"/>
      <c r="Y786" s="1487"/>
      <c r="Z786" s="1487"/>
      <c r="AA786" s="1487"/>
      <c r="AB786" s="1488"/>
      <c r="AC786" s="1486"/>
      <c r="AD786" s="1487"/>
      <c r="AE786" s="1487"/>
      <c r="AF786" s="1487"/>
      <c r="AG786" s="1488"/>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2.95" customHeight="1">
      <c r="J787" s="1357"/>
      <c r="K787" s="1358"/>
      <c r="L787" s="1358"/>
      <c r="M787" s="1358"/>
      <c r="N787" s="1359"/>
      <c r="O787" s="1435"/>
      <c r="P787" s="1435"/>
      <c r="Q787" s="1435"/>
      <c r="R787" s="1435"/>
      <c r="S787" s="1435"/>
      <c r="T787" s="1370"/>
      <c r="U787" s="1371"/>
      <c r="V787" s="1371"/>
      <c r="W787" s="1372"/>
      <c r="X787" s="1490"/>
      <c r="Y787" s="1491"/>
      <c r="Z787" s="1491"/>
      <c r="AA787" s="1491"/>
      <c r="AB787" s="1492"/>
      <c r="AC787" s="1360">
        <f t="shared" ref="AC787:AC796" si="51">X787*O787</f>
        <v>0</v>
      </c>
      <c r="AD787" s="1361"/>
      <c r="AE787" s="1361"/>
      <c r="AF787" s="1361"/>
      <c r="AG787" s="1362"/>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4">
        <f t="shared" ref="CP787:CP796" si="52">IF(J787="SRO/Studio",O787,0)</f>
        <v>0</v>
      </c>
      <c r="CQ787" s="1335"/>
      <c r="CR787" s="1335"/>
      <c r="CS787" s="1335"/>
      <c r="CT787" s="1336"/>
      <c r="CU787" s="1334">
        <f t="shared" ref="CU787:CU796" si="53">IF(J787="1 Bedroom",O787,0)</f>
        <v>0</v>
      </c>
      <c r="CV787" s="1335"/>
      <c r="CW787" s="1335"/>
      <c r="CX787" s="1335"/>
      <c r="CY787" s="1336"/>
      <c r="CZ787" s="1334">
        <f t="shared" ref="CZ787:CZ796" si="54">IF(J787="2 Bedrooms",O787,0)</f>
        <v>0</v>
      </c>
      <c r="DA787" s="1335"/>
      <c r="DB787" s="1335"/>
      <c r="DC787" s="1335"/>
      <c r="DD787" s="1336"/>
      <c r="DE787" s="1334">
        <f t="shared" ref="DE787:DE796" si="55">IF(J787="3 Bedrooms",O787,0)</f>
        <v>0</v>
      </c>
      <c r="DF787" s="1335"/>
      <c r="DG787" s="1335"/>
      <c r="DH787" s="1335"/>
      <c r="DI787" s="1336"/>
      <c r="DJ787" s="1334">
        <f t="shared" ref="DJ787:DJ796" si="56">IF(J787="4 Bedrooms",O787,0)</f>
        <v>0</v>
      </c>
      <c r="DK787" s="1335"/>
      <c r="DL787" s="1335"/>
      <c r="DM787" s="1335"/>
      <c r="DN787" s="1336"/>
      <c r="DO787" s="1334">
        <f t="shared" ref="DO787:DO796" si="57">IF(J787="5 Bedrooms",O787,0)</f>
        <v>0</v>
      </c>
      <c r="DP787" s="1335"/>
      <c r="DQ787" s="1335"/>
      <c r="DR787" s="1335"/>
      <c r="DS787" s="1336"/>
      <c r="DT787" s="6"/>
      <c r="DU787" s="1334">
        <f t="shared" ref="DU787:DU796" si="58">IF(AND(CP787&gt;=1,AH787&gt;=0.1,AH787&lt;=1),O787,0)</f>
        <v>0</v>
      </c>
      <c r="DV787" s="1335"/>
      <c r="DW787" s="1335"/>
      <c r="DX787" s="1335"/>
      <c r="DY787" s="1336"/>
      <c r="DZ787" s="1334">
        <f t="shared" ref="DZ787:DZ796" si="59">IF(AND(CU787&gt;=1,AH787&gt;=0.1,AH787&lt;=1),O787,0)</f>
        <v>0</v>
      </c>
      <c r="EA787" s="1335"/>
      <c r="EB787" s="1335"/>
      <c r="EC787" s="1335"/>
      <c r="ED787" s="1336"/>
      <c r="EE787" s="1334">
        <f t="shared" ref="EE787:EE796" si="60">IF(AND(CZ787&gt;=1,AH787&gt;=0.1,AH787&lt;=1),O787,0)</f>
        <v>0</v>
      </c>
      <c r="EF787" s="1335"/>
      <c r="EG787" s="1335"/>
      <c r="EH787" s="1335"/>
      <c r="EI787" s="1336"/>
      <c r="EJ787" s="1334">
        <f t="shared" ref="EJ787:EJ796" si="61">IF(AND(DE787&gt;=1,AH787&gt;=0.1,AH787&lt;=1),O787,0)</f>
        <v>0</v>
      </c>
      <c r="EK787" s="1335"/>
      <c r="EL787" s="1335"/>
      <c r="EM787" s="1335"/>
      <c r="EN787" s="1336"/>
      <c r="EO787" s="1334">
        <f t="shared" ref="EO787:EO796" si="62">IF(AND(DJ787&gt;=1,AH787&gt;=0.1,AH787&lt;=1),O787,0)</f>
        <v>0</v>
      </c>
      <c r="EP787" s="1335"/>
      <c r="EQ787" s="1335"/>
      <c r="ER787" s="1335"/>
      <c r="ES787" s="1336"/>
      <c r="ET787" s="1334">
        <f t="shared" ref="ET787:ET796" si="63">IF(AND(DO787&gt;=1,AH787&gt;=0.1,AH787&lt;=1),O787,0)</f>
        <v>0</v>
      </c>
      <c r="EU787" s="1335"/>
      <c r="EV787" s="1335"/>
      <c r="EW787" s="1335"/>
      <c r="EX787" s="1336"/>
    </row>
    <row r="788" spans="1:154" s="14" customFormat="1" ht="12.95" customHeight="1">
      <c r="A788"/>
      <c r="B788"/>
      <c r="C788"/>
      <c r="D788"/>
      <c r="E788"/>
      <c r="F788"/>
      <c r="G788"/>
      <c r="H788"/>
      <c r="I788"/>
      <c r="J788" s="1357"/>
      <c r="K788" s="1358"/>
      <c r="L788" s="1358"/>
      <c r="M788" s="1358"/>
      <c r="N788" s="1359"/>
      <c r="O788" s="1435"/>
      <c r="P788" s="1435"/>
      <c r="Q788" s="1435"/>
      <c r="R788" s="1435"/>
      <c r="S788" s="1435"/>
      <c r="T788" s="1370"/>
      <c r="U788" s="1371"/>
      <c r="V788" s="1371"/>
      <c r="W788" s="1372"/>
      <c r="X788" s="1490"/>
      <c r="Y788" s="1491"/>
      <c r="Z788" s="1491"/>
      <c r="AA788" s="1491"/>
      <c r="AB788" s="1492"/>
      <c r="AC788" s="1360">
        <f t="shared" si="51"/>
        <v>0</v>
      </c>
      <c r="AD788" s="1361"/>
      <c r="AE788" s="1361"/>
      <c r="AF788" s="1361"/>
      <c r="AG788" s="1362"/>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4">
        <f t="shared" si="52"/>
        <v>0</v>
      </c>
      <c r="CQ788" s="1335"/>
      <c r="CR788" s="1335"/>
      <c r="CS788" s="1335"/>
      <c r="CT788" s="1336"/>
      <c r="CU788" s="1334">
        <f t="shared" si="53"/>
        <v>0</v>
      </c>
      <c r="CV788" s="1335"/>
      <c r="CW788" s="1335"/>
      <c r="CX788" s="1335"/>
      <c r="CY788" s="1336"/>
      <c r="CZ788" s="1334">
        <f t="shared" si="54"/>
        <v>0</v>
      </c>
      <c r="DA788" s="1335"/>
      <c r="DB788" s="1335"/>
      <c r="DC788" s="1335"/>
      <c r="DD788" s="1336"/>
      <c r="DE788" s="1334">
        <f t="shared" si="55"/>
        <v>0</v>
      </c>
      <c r="DF788" s="1335"/>
      <c r="DG788" s="1335"/>
      <c r="DH788" s="1335"/>
      <c r="DI788" s="1336"/>
      <c r="DJ788" s="1334">
        <f t="shared" si="56"/>
        <v>0</v>
      </c>
      <c r="DK788" s="1335"/>
      <c r="DL788" s="1335"/>
      <c r="DM788" s="1335"/>
      <c r="DN788" s="1336"/>
      <c r="DO788" s="1334">
        <f t="shared" si="57"/>
        <v>0</v>
      </c>
      <c r="DP788" s="1335"/>
      <c r="DQ788" s="1335"/>
      <c r="DR788" s="1335"/>
      <c r="DS788" s="1336"/>
      <c r="DT788" s="6"/>
      <c r="DU788" s="1334">
        <f t="shared" si="58"/>
        <v>0</v>
      </c>
      <c r="DV788" s="1335"/>
      <c r="DW788" s="1335"/>
      <c r="DX788" s="1335"/>
      <c r="DY788" s="1336"/>
      <c r="DZ788" s="1334">
        <f t="shared" si="59"/>
        <v>0</v>
      </c>
      <c r="EA788" s="1335"/>
      <c r="EB788" s="1335"/>
      <c r="EC788" s="1335"/>
      <c r="ED788" s="1336"/>
      <c r="EE788" s="1334">
        <f t="shared" si="60"/>
        <v>0</v>
      </c>
      <c r="EF788" s="1335"/>
      <c r="EG788" s="1335"/>
      <c r="EH788" s="1335"/>
      <c r="EI788" s="1336"/>
      <c r="EJ788" s="1334">
        <f t="shared" si="61"/>
        <v>0</v>
      </c>
      <c r="EK788" s="1335"/>
      <c r="EL788" s="1335"/>
      <c r="EM788" s="1335"/>
      <c r="EN788" s="1336"/>
      <c r="EO788" s="1334">
        <f t="shared" si="62"/>
        <v>0</v>
      </c>
      <c r="EP788" s="1335"/>
      <c r="EQ788" s="1335"/>
      <c r="ER788" s="1335"/>
      <c r="ES788" s="1336"/>
      <c r="ET788" s="1334">
        <f t="shared" si="63"/>
        <v>0</v>
      </c>
      <c r="EU788" s="1335"/>
      <c r="EV788" s="1335"/>
      <c r="EW788" s="1335"/>
      <c r="EX788" s="1336"/>
    </row>
    <row r="789" spans="1:154" s="14" customFormat="1" ht="12.95" customHeight="1">
      <c r="A789"/>
      <c r="B789"/>
      <c r="C789"/>
      <c r="D789"/>
      <c r="E789"/>
      <c r="F789"/>
      <c r="G789"/>
      <c r="H789"/>
      <c r="I789"/>
      <c r="J789" s="1357"/>
      <c r="K789" s="1358"/>
      <c r="L789" s="1358"/>
      <c r="M789" s="1358"/>
      <c r="N789" s="1359"/>
      <c r="O789" s="1435"/>
      <c r="P789" s="1435"/>
      <c r="Q789" s="1435"/>
      <c r="R789" s="1435"/>
      <c r="S789" s="1435"/>
      <c r="T789" s="1370"/>
      <c r="U789" s="1371"/>
      <c r="V789" s="1371"/>
      <c r="W789" s="1372"/>
      <c r="X789" s="1490"/>
      <c r="Y789" s="1491"/>
      <c r="Z789" s="1491"/>
      <c r="AA789" s="1491"/>
      <c r="AB789" s="1492"/>
      <c r="AC789" s="1360">
        <f t="shared" si="51"/>
        <v>0</v>
      </c>
      <c r="AD789" s="1361"/>
      <c r="AE789" s="1361"/>
      <c r="AF789" s="1361"/>
      <c r="AG789" s="1362"/>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4">
        <f t="shared" si="52"/>
        <v>0</v>
      </c>
      <c r="CQ789" s="1335"/>
      <c r="CR789" s="1335"/>
      <c r="CS789" s="1335"/>
      <c r="CT789" s="1336"/>
      <c r="CU789" s="1334">
        <f t="shared" si="53"/>
        <v>0</v>
      </c>
      <c r="CV789" s="1335"/>
      <c r="CW789" s="1335"/>
      <c r="CX789" s="1335"/>
      <c r="CY789" s="1336"/>
      <c r="CZ789" s="1334">
        <f t="shared" si="54"/>
        <v>0</v>
      </c>
      <c r="DA789" s="1335"/>
      <c r="DB789" s="1335"/>
      <c r="DC789" s="1335"/>
      <c r="DD789" s="1336"/>
      <c r="DE789" s="1334">
        <f t="shared" si="55"/>
        <v>0</v>
      </c>
      <c r="DF789" s="1335"/>
      <c r="DG789" s="1335"/>
      <c r="DH789" s="1335"/>
      <c r="DI789" s="1336"/>
      <c r="DJ789" s="1334">
        <f t="shared" si="56"/>
        <v>0</v>
      </c>
      <c r="DK789" s="1335"/>
      <c r="DL789" s="1335"/>
      <c r="DM789" s="1335"/>
      <c r="DN789" s="1336"/>
      <c r="DO789" s="1334">
        <f t="shared" si="57"/>
        <v>0</v>
      </c>
      <c r="DP789" s="1335"/>
      <c r="DQ789" s="1335"/>
      <c r="DR789" s="1335"/>
      <c r="DS789" s="1336"/>
      <c r="DT789" s="6"/>
      <c r="DU789" s="1334">
        <f t="shared" si="58"/>
        <v>0</v>
      </c>
      <c r="DV789" s="1335"/>
      <c r="DW789" s="1335"/>
      <c r="DX789" s="1335"/>
      <c r="DY789" s="1336"/>
      <c r="DZ789" s="1334">
        <f t="shared" si="59"/>
        <v>0</v>
      </c>
      <c r="EA789" s="1335"/>
      <c r="EB789" s="1335"/>
      <c r="EC789" s="1335"/>
      <c r="ED789" s="1336"/>
      <c r="EE789" s="1334">
        <f t="shared" si="60"/>
        <v>0</v>
      </c>
      <c r="EF789" s="1335"/>
      <c r="EG789" s="1335"/>
      <c r="EH789" s="1335"/>
      <c r="EI789" s="1336"/>
      <c r="EJ789" s="1334">
        <f t="shared" si="61"/>
        <v>0</v>
      </c>
      <c r="EK789" s="1335"/>
      <c r="EL789" s="1335"/>
      <c r="EM789" s="1335"/>
      <c r="EN789" s="1336"/>
      <c r="EO789" s="1334">
        <f t="shared" si="62"/>
        <v>0</v>
      </c>
      <c r="EP789" s="1335"/>
      <c r="EQ789" s="1335"/>
      <c r="ER789" s="1335"/>
      <c r="ES789" s="1336"/>
      <c r="ET789" s="1334">
        <f t="shared" si="63"/>
        <v>0</v>
      </c>
      <c r="EU789" s="1335"/>
      <c r="EV789" s="1335"/>
      <c r="EW789" s="1335"/>
      <c r="EX789" s="1336"/>
    </row>
    <row r="790" spans="1:154" s="14" customFormat="1" ht="12.95" customHeight="1">
      <c r="A790"/>
      <c r="B790"/>
      <c r="C790"/>
      <c r="D790"/>
      <c r="E790"/>
      <c r="F790"/>
      <c r="G790"/>
      <c r="H790"/>
      <c r="I790"/>
      <c r="J790" s="1357"/>
      <c r="K790" s="1358"/>
      <c r="L790" s="1358"/>
      <c r="M790" s="1358"/>
      <c r="N790" s="1359"/>
      <c r="O790" s="1435"/>
      <c r="P790" s="1435"/>
      <c r="Q790" s="1435"/>
      <c r="R790" s="1435"/>
      <c r="S790" s="1435"/>
      <c r="T790" s="1370"/>
      <c r="U790" s="1371"/>
      <c r="V790" s="1371"/>
      <c r="W790" s="1372"/>
      <c r="X790" s="1490"/>
      <c r="Y790" s="1491"/>
      <c r="Z790" s="1491"/>
      <c r="AA790" s="1491"/>
      <c r="AB790" s="1492"/>
      <c r="AC790" s="1360">
        <f t="shared" si="51"/>
        <v>0</v>
      </c>
      <c r="AD790" s="1361"/>
      <c r="AE790" s="1361"/>
      <c r="AF790" s="1361"/>
      <c r="AG790" s="1362"/>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4">
        <f t="shared" si="52"/>
        <v>0</v>
      </c>
      <c r="CQ790" s="1335"/>
      <c r="CR790" s="1335"/>
      <c r="CS790" s="1335"/>
      <c r="CT790" s="1336"/>
      <c r="CU790" s="1334">
        <f t="shared" si="53"/>
        <v>0</v>
      </c>
      <c r="CV790" s="1335"/>
      <c r="CW790" s="1335"/>
      <c r="CX790" s="1335"/>
      <c r="CY790" s="1336"/>
      <c r="CZ790" s="1334">
        <f t="shared" si="54"/>
        <v>0</v>
      </c>
      <c r="DA790" s="1335"/>
      <c r="DB790" s="1335"/>
      <c r="DC790" s="1335"/>
      <c r="DD790" s="1336"/>
      <c r="DE790" s="1334">
        <f t="shared" si="55"/>
        <v>0</v>
      </c>
      <c r="DF790" s="1335"/>
      <c r="DG790" s="1335"/>
      <c r="DH790" s="1335"/>
      <c r="DI790" s="1336"/>
      <c r="DJ790" s="1334">
        <f t="shared" si="56"/>
        <v>0</v>
      </c>
      <c r="DK790" s="1335"/>
      <c r="DL790" s="1335"/>
      <c r="DM790" s="1335"/>
      <c r="DN790" s="1336"/>
      <c r="DO790" s="1334">
        <f t="shared" si="57"/>
        <v>0</v>
      </c>
      <c r="DP790" s="1335"/>
      <c r="DQ790" s="1335"/>
      <c r="DR790" s="1335"/>
      <c r="DS790" s="1336"/>
      <c r="DT790" s="6"/>
      <c r="DU790" s="1334">
        <f t="shared" si="58"/>
        <v>0</v>
      </c>
      <c r="DV790" s="1335"/>
      <c r="DW790" s="1335"/>
      <c r="DX790" s="1335"/>
      <c r="DY790" s="1336"/>
      <c r="DZ790" s="1334">
        <f t="shared" si="59"/>
        <v>0</v>
      </c>
      <c r="EA790" s="1335"/>
      <c r="EB790" s="1335"/>
      <c r="EC790" s="1335"/>
      <c r="ED790" s="1336"/>
      <c r="EE790" s="1334">
        <f t="shared" si="60"/>
        <v>0</v>
      </c>
      <c r="EF790" s="1335"/>
      <c r="EG790" s="1335"/>
      <c r="EH790" s="1335"/>
      <c r="EI790" s="1336"/>
      <c r="EJ790" s="1334">
        <f t="shared" si="61"/>
        <v>0</v>
      </c>
      <c r="EK790" s="1335"/>
      <c r="EL790" s="1335"/>
      <c r="EM790" s="1335"/>
      <c r="EN790" s="1336"/>
      <c r="EO790" s="1334">
        <f t="shared" si="62"/>
        <v>0</v>
      </c>
      <c r="EP790" s="1335"/>
      <c r="EQ790" s="1335"/>
      <c r="ER790" s="1335"/>
      <c r="ES790" s="1336"/>
      <c r="ET790" s="1334">
        <f t="shared" si="63"/>
        <v>0</v>
      </c>
      <c r="EU790" s="1335"/>
      <c r="EV790" s="1335"/>
      <c r="EW790" s="1335"/>
      <c r="EX790" s="1336"/>
    </row>
    <row r="791" spans="1:154" s="14" customFormat="1" ht="12.95" customHeight="1">
      <c r="A791"/>
      <c r="B791"/>
      <c r="C791"/>
      <c r="D791"/>
      <c r="E791"/>
      <c r="F791"/>
      <c r="G791"/>
      <c r="H791"/>
      <c r="I791"/>
      <c r="J791" s="1357"/>
      <c r="K791" s="1358"/>
      <c r="L791" s="1358"/>
      <c r="M791" s="1358"/>
      <c r="N791" s="1359"/>
      <c r="O791" s="1435"/>
      <c r="P791" s="1435"/>
      <c r="Q791" s="1435"/>
      <c r="R791" s="1435"/>
      <c r="S791" s="1435"/>
      <c r="T791" s="1370"/>
      <c r="U791" s="1371"/>
      <c r="V791" s="1371"/>
      <c r="W791" s="1372"/>
      <c r="X791" s="1490"/>
      <c r="Y791" s="1491"/>
      <c r="Z791" s="1491"/>
      <c r="AA791" s="1491"/>
      <c r="AB791" s="1492"/>
      <c r="AC791" s="1360">
        <f t="shared" si="51"/>
        <v>0</v>
      </c>
      <c r="AD791" s="1361"/>
      <c r="AE791" s="1361"/>
      <c r="AF791" s="1361"/>
      <c r="AG791" s="1362"/>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4">
        <f t="shared" si="52"/>
        <v>0</v>
      </c>
      <c r="CQ791" s="1335"/>
      <c r="CR791" s="1335"/>
      <c r="CS791" s="1335"/>
      <c r="CT791" s="1336"/>
      <c r="CU791" s="1334">
        <f t="shared" si="53"/>
        <v>0</v>
      </c>
      <c r="CV791" s="1335"/>
      <c r="CW791" s="1335"/>
      <c r="CX791" s="1335"/>
      <c r="CY791" s="1336"/>
      <c r="CZ791" s="1334">
        <f t="shared" si="54"/>
        <v>0</v>
      </c>
      <c r="DA791" s="1335"/>
      <c r="DB791" s="1335"/>
      <c r="DC791" s="1335"/>
      <c r="DD791" s="1336"/>
      <c r="DE791" s="1334">
        <f t="shared" si="55"/>
        <v>0</v>
      </c>
      <c r="DF791" s="1335"/>
      <c r="DG791" s="1335"/>
      <c r="DH791" s="1335"/>
      <c r="DI791" s="1336"/>
      <c r="DJ791" s="1334">
        <f t="shared" si="56"/>
        <v>0</v>
      </c>
      <c r="DK791" s="1335"/>
      <c r="DL791" s="1335"/>
      <c r="DM791" s="1335"/>
      <c r="DN791" s="1336"/>
      <c r="DO791" s="1334">
        <f t="shared" si="57"/>
        <v>0</v>
      </c>
      <c r="DP791" s="1335"/>
      <c r="DQ791" s="1335"/>
      <c r="DR791" s="1335"/>
      <c r="DS791" s="1336"/>
      <c r="DT791" s="6"/>
      <c r="DU791" s="1334">
        <f t="shared" si="58"/>
        <v>0</v>
      </c>
      <c r="DV791" s="1335"/>
      <c r="DW791" s="1335"/>
      <c r="DX791" s="1335"/>
      <c r="DY791" s="1336"/>
      <c r="DZ791" s="1334">
        <f t="shared" si="59"/>
        <v>0</v>
      </c>
      <c r="EA791" s="1335"/>
      <c r="EB791" s="1335"/>
      <c r="EC791" s="1335"/>
      <c r="ED791" s="1336"/>
      <c r="EE791" s="1334">
        <f t="shared" si="60"/>
        <v>0</v>
      </c>
      <c r="EF791" s="1335"/>
      <c r="EG791" s="1335"/>
      <c r="EH791" s="1335"/>
      <c r="EI791" s="1336"/>
      <c r="EJ791" s="1334">
        <f t="shared" si="61"/>
        <v>0</v>
      </c>
      <c r="EK791" s="1335"/>
      <c r="EL791" s="1335"/>
      <c r="EM791" s="1335"/>
      <c r="EN791" s="1336"/>
      <c r="EO791" s="1334">
        <f t="shared" si="62"/>
        <v>0</v>
      </c>
      <c r="EP791" s="1335"/>
      <c r="EQ791" s="1335"/>
      <c r="ER791" s="1335"/>
      <c r="ES791" s="1336"/>
      <c r="ET791" s="1334">
        <f t="shared" si="63"/>
        <v>0</v>
      </c>
      <c r="EU791" s="1335"/>
      <c r="EV791" s="1335"/>
      <c r="EW791" s="1335"/>
      <c r="EX791" s="1336"/>
    </row>
    <row r="792" spans="1:154" s="14" customFormat="1" ht="12.95" customHeight="1">
      <c r="A792"/>
      <c r="B792"/>
      <c r="C792"/>
      <c r="D792"/>
      <c r="E792"/>
      <c r="F792"/>
      <c r="G792"/>
      <c r="H792"/>
      <c r="I792"/>
      <c r="J792" s="1357"/>
      <c r="K792" s="1358"/>
      <c r="L792" s="1358"/>
      <c r="M792" s="1358"/>
      <c r="N792" s="1359"/>
      <c r="O792" s="1435"/>
      <c r="P792" s="1435"/>
      <c r="Q792" s="1435"/>
      <c r="R792" s="1435"/>
      <c r="S792" s="1435"/>
      <c r="T792" s="1370"/>
      <c r="U792" s="1371"/>
      <c r="V792" s="1371"/>
      <c r="W792" s="1372"/>
      <c r="X792" s="1490"/>
      <c r="Y792" s="1491"/>
      <c r="Z792" s="1491"/>
      <c r="AA792" s="1491"/>
      <c r="AB792" s="1492"/>
      <c r="AC792" s="1360">
        <f t="shared" si="51"/>
        <v>0</v>
      </c>
      <c r="AD792" s="1361"/>
      <c r="AE792" s="1361"/>
      <c r="AF792" s="1361"/>
      <c r="AG792" s="1362"/>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4">
        <f t="shared" si="52"/>
        <v>0</v>
      </c>
      <c r="CQ792" s="1335"/>
      <c r="CR792" s="1335"/>
      <c r="CS792" s="1335"/>
      <c r="CT792" s="1336"/>
      <c r="CU792" s="1334">
        <f t="shared" si="53"/>
        <v>0</v>
      </c>
      <c r="CV792" s="1335"/>
      <c r="CW792" s="1335"/>
      <c r="CX792" s="1335"/>
      <c r="CY792" s="1336"/>
      <c r="CZ792" s="1334">
        <f t="shared" si="54"/>
        <v>0</v>
      </c>
      <c r="DA792" s="1335"/>
      <c r="DB792" s="1335"/>
      <c r="DC792" s="1335"/>
      <c r="DD792" s="1336"/>
      <c r="DE792" s="1334">
        <f t="shared" si="55"/>
        <v>0</v>
      </c>
      <c r="DF792" s="1335"/>
      <c r="DG792" s="1335"/>
      <c r="DH792" s="1335"/>
      <c r="DI792" s="1336"/>
      <c r="DJ792" s="1334">
        <f t="shared" si="56"/>
        <v>0</v>
      </c>
      <c r="DK792" s="1335"/>
      <c r="DL792" s="1335"/>
      <c r="DM792" s="1335"/>
      <c r="DN792" s="1336"/>
      <c r="DO792" s="1334">
        <f t="shared" si="57"/>
        <v>0</v>
      </c>
      <c r="DP792" s="1335"/>
      <c r="DQ792" s="1335"/>
      <c r="DR792" s="1335"/>
      <c r="DS792" s="1336"/>
      <c r="DT792" s="6"/>
      <c r="DU792" s="1334">
        <f t="shared" si="58"/>
        <v>0</v>
      </c>
      <c r="DV792" s="1335"/>
      <c r="DW792" s="1335"/>
      <c r="DX792" s="1335"/>
      <c r="DY792" s="1336"/>
      <c r="DZ792" s="1334">
        <f t="shared" si="59"/>
        <v>0</v>
      </c>
      <c r="EA792" s="1335"/>
      <c r="EB792" s="1335"/>
      <c r="EC792" s="1335"/>
      <c r="ED792" s="1336"/>
      <c r="EE792" s="1334">
        <f t="shared" si="60"/>
        <v>0</v>
      </c>
      <c r="EF792" s="1335"/>
      <c r="EG792" s="1335"/>
      <c r="EH792" s="1335"/>
      <c r="EI792" s="1336"/>
      <c r="EJ792" s="1334">
        <f t="shared" si="61"/>
        <v>0</v>
      </c>
      <c r="EK792" s="1335"/>
      <c r="EL792" s="1335"/>
      <c r="EM792" s="1335"/>
      <c r="EN792" s="1336"/>
      <c r="EO792" s="1334">
        <f t="shared" si="62"/>
        <v>0</v>
      </c>
      <c r="EP792" s="1335"/>
      <c r="EQ792" s="1335"/>
      <c r="ER792" s="1335"/>
      <c r="ES792" s="1336"/>
      <c r="ET792" s="1334">
        <f t="shared" si="63"/>
        <v>0</v>
      </c>
      <c r="EU792" s="1335"/>
      <c r="EV792" s="1335"/>
      <c r="EW792" s="1335"/>
      <c r="EX792" s="1336"/>
    </row>
    <row r="793" spans="1:154" s="14" customFormat="1" ht="12.95" customHeight="1">
      <c r="A793"/>
      <c r="B793"/>
      <c r="C793"/>
      <c r="D793"/>
      <c r="E793"/>
      <c r="F793"/>
      <c r="G793"/>
      <c r="H793"/>
      <c r="I793"/>
      <c r="J793" s="1357"/>
      <c r="K793" s="1358"/>
      <c r="L793" s="1358"/>
      <c r="M793" s="1358"/>
      <c r="N793" s="1359"/>
      <c r="O793" s="1435"/>
      <c r="P793" s="1435"/>
      <c r="Q793" s="1435"/>
      <c r="R793" s="1435"/>
      <c r="S793" s="1435"/>
      <c r="T793" s="1370"/>
      <c r="U793" s="1371"/>
      <c r="V793" s="1371"/>
      <c r="W793" s="1372"/>
      <c r="X793" s="1490"/>
      <c r="Y793" s="1491"/>
      <c r="Z793" s="1491"/>
      <c r="AA793" s="1491"/>
      <c r="AB793" s="1492"/>
      <c r="AC793" s="1360">
        <f t="shared" si="51"/>
        <v>0</v>
      </c>
      <c r="AD793" s="1361"/>
      <c r="AE793" s="1361"/>
      <c r="AF793" s="1361"/>
      <c r="AG793" s="1362"/>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4">
        <f t="shared" si="52"/>
        <v>0</v>
      </c>
      <c r="CQ793" s="1335"/>
      <c r="CR793" s="1335"/>
      <c r="CS793" s="1335"/>
      <c r="CT793" s="1336"/>
      <c r="CU793" s="1334">
        <f t="shared" si="53"/>
        <v>0</v>
      </c>
      <c r="CV793" s="1335"/>
      <c r="CW793" s="1335"/>
      <c r="CX793" s="1335"/>
      <c r="CY793" s="1336"/>
      <c r="CZ793" s="1334">
        <f t="shared" si="54"/>
        <v>0</v>
      </c>
      <c r="DA793" s="1335"/>
      <c r="DB793" s="1335"/>
      <c r="DC793" s="1335"/>
      <c r="DD793" s="1336"/>
      <c r="DE793" s="1334">
        <f t="shared" si="55"/>
        <v>0</v>
      </c>
      <c r="DF793" s="1335"/>
      <c r="DG793" s="1335"/>
      <c r="DH793" s="1335"/>
      <c r="DI793" s="1336"/>
      <c r="DJ793" s="1334">
        <f t="shared" si="56"/>
        <v>0</v>
      </c>
      <c r="DK793" s="1335"/>
      <c r="DL793" s="1335"/>
      <c r="DM793" s="1335"/>
      <c r="DN793" s="1336"/>
      <c r="DO793" s="1334">
        <f t="shared" si="57"/>
        <v>0</v>
      </c>
      <c r="DP793" s="1335"/>
      <c r="DQ793" s="1335"/>
      <c r="DR793" s="1335"/>
      <c r="DS793" s="1336"/>
      <c r="DT793" s="6"/>
      <c r="DU793" s="1334">
        <f t="shared" si="58"/>
        <v>0</v>
      </c>
      <c r="DV793" s="1335"/>
      <c r="DW793" s="1335"/>
      <c r="DX793" s="1335"/>
      <c r="DY793" s="1336"/>
      <c r="DZ793" s="1334">
        <f t="shared" si="59"/>
        <v>0</v>
      </c>
      <c r="EA793" s="1335"/>
      <c r="EB793" s="1335"/>
      <c r="EC793" s="1335"/>
      <c r="ED793" s="1336"/>
      <c r="EE793" s="1334">
        <f t="shared" si="60"/>
        <v>0</v>
      </c>
      <c r="EF793" s="1335"/>
      <c r="EG793" s="1335"/>
      <c r="EH793" s="1335"/>
      <c r="EI793" s="1336"/>
      <c r="EJ793" s="1334">
        <f t="shared" si="61"/>
        <v>0</v>
      </c>
      <c r="EK793" s="1335"/>
      <c r="EL793" s="1335"/>
      <c r="EM793" s="1335"/>
      <c r="EN793" s="1336"/>
      <c r="EO793" s="1334">
        <f t="shared" si="62"/>
        <v>0</v>
      </c>
      <c r="EP793" s="1335"/>
      <c r="EQ793" s="1335"/>
      <c r="ER793" s="1335"/>
      <c r="ES793" s="1336"/>
      <c r="ET793" s="1334">
        <f t="shared" si="63"/>
        <v>0</v>
      </c>
      <c r="EU793" s="1335"/>
      <c r="EV793" s="1335"/>
      <c r="EW793" s="1335"/>
      <c r="EX793" s="1336"/>
    </row>
    <row r="794" spans="1:154" s="14" customFormat="1" ht="12.95" customHeight="1">
      <c r="A794"/>
      <c r="B794"/>
      <c r="C794"/>
      <c r="D794"/>
      <c r="E794"/>
      <c r="F794"/>
      <c r="G794"/>
      <c r="H794"/>
      <c r="I794"/>
      <c r="J794" s="1357"/>
      <c r="K794" s="1358"/>
      <c r="L794" s="1358"/>
      <c r="M794" s="1358"/>
      <c r="N794" s="1359"/>
      <c r="O794" s="1435"/>
      <c r="P794" s="1435"/>
      <c r="Q794" s="1435"/>
      <c r="R794" s="1435"/>
      <c r="S794" s="1435"/>
      <c r="T794" s="1370"/>
      <c r="U794" s="1371"/>
      <c r="V794" s="1371"/>
      <c r="W794" s="1372"/>
      <c r="X794" s="1490"/>
      <c r="Y794" s="1491"/>
      <c r="Z794" s="1491"/>
      <c r="AA794" s="1491"/>
      <c r="AB794" s="1492"/>
      <c r="AC794" s="1360">
        <f t="shared" si="51"/>
        <v>0</v>
      </c>
      <c r="AD794" s="1361"/>
      <c r="AE794" s="1361"/>
      <c r="AF794" s="1361"/>
      <c r="AG794" s="1362"/>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4">
        <f t="shared" si="52"/>
        <v>0</v>
      </c>
      <c r="CQ794" s="1335"/>
      <c r="CR794" s="1335"/>
      <c r="CS794" s="1335"/>
      <c r="CT794" s="1336"/>
      <c r="CU794" s="1334">
        <f t="shared" si="53"/>
        <v>0</v>
      </c>
      <c r="CV794" s="1335"/>
      <c r="CW794" s="1335"/>
      <c r="CX794" s="1335"/>
      <c r="CY794" s="1336"/>
      <c r="CZ794" s="1334">
        <f t="shared" si="54"/>
        <v>0</v>
      </c>
      <c r="DA794" s="1335"/>
      <c r="DB794" s="1335"/>
      <c r="DC794" s="1335"/>
      <c r="DD794" s="1336"/>
      <c r="DE794" s="1334">
        <f t="shared" si="55"/>
        <v>0</v>
      </c>
      <c r="DF794" s="1335"/>
      <c r="DG794" s="1335"/>
      <c r="DH794" s="1335"/>
      <c r="DI794" s="1336"/>
      <c r="DJ794" s="1334">
        <f t="shared" si="56"/>
        <v>0</v>
      </c>
      <c r="DK794" s="1335"/>
      <c r="DL794" s="1335"/>
      <c r="DM794" s="1335"/>
      <c r="DN794" s="1336"/>
      <c r="DO794" s="1334">
        <f t="shared" si="57"/>
        <v>0</v>
      </c>
      <c r="DP794" s="1335"/>
      <c r="DQ794" s="1335"/>
      <c r="DR794" s="1335"/>
      <c r="DS794" s="1336"/>
      <c r="DT794" s="6"/>
      <c r="DU794" s="1334">
        <f t="shared" si="58"/>
        <v>0</v>
      </c>
      <c r="DV794" s="1335"/>
      <c r="DW794" s="1335"/>
      <c r="DX794" s="1335"/>
      <c r="DY794" s="1336"/>
      <c r="DZ794" s="1334">
        <f t="shared" si="59"/>
        <v>0</v>
      </c>
      <c r="EA794" s="1335"/>
      <c r="EB794" s="1335"/>
      <c r="EC794" s="1335"/>
      <c r="ED794" s="1336"/>
      <c r="EE794" s="1334">
        <f t="shared" si="60"/>
        <v>0</v>
      </c>
      <c r="EF794" s="1335"/>
      <c r="EG794" s="1335"/>
      <c r="EH794" s="1335"/>
      <c r="EI794" s="1336"/>
      <c r="EJ794" s="1334">
        <f t="shared" si="61"/>
        <v>0</v>
      </c>
      <c r="EK794" s="1335"/>
      <c r="EL794" s="1335"/>
      <c r="EM794" s="1335"/>
      <c r="EN794" s="1336"/>
      <c r="EO794" s="1334">
        <f t="shared" si="62"/>
        <v>0</v>
      </c>
      <c r="EP794" s="1335"/>
      <c r="EQ794" s="1335"/>
      <c r="ER794" s="1335"/>
      <c r="ES794" s="1336"/>
      <c r="ET794" s="1334">
        <f t="shared" si="63"/>
        <v>0</v>
      </c>
      <c r="EU794" s="1335"/>
      <c r="EV794" s="1335"/>
      <c r="EW794" s="1335"/>
      <c r="EX794" s="1336"/>
    </row>
    <row r="795" spans="1:154" s="14" customFormat="1" ht="12.95" customHeight="1">
      <c r="A795"/>
      <c r="B795"/>
      <c r="C795"/>
      <c r="D795"/>
      <c r="E795"/>
      <c r="F795"/>
      <c r="G795"/>
      <c r="H795"/>
      <c r="I795"/>
      <c r="J795" s="1357"/>
      <c r="K795" s="1358"/>
      <c r="L795" s="1358"/>
      <c r="M795" s="1358"/>
      <c r="N795" s="1359"/>
      <c r="O795" s="1435"/>
      <c r="P795" s="1435"/>
      <c r="Q795" s="1435"/>
      <c r="R795" s="1435"/>
      <c r="S795" s="1435"/>
      <c r="T795" s="1370"/>
      <c r="U795" s="1371"/>
      <c r="V795" s="1371"/>
      <c r="W795" s="1372"/>
      <c r="X795" s="1490"/>
      <c r="Y795" s="1491"/>
      <c r="Z795" s="1491"/>
      <c r="AA795" s="1491"/>
      <c r="AB795" s="1492"/>
      <c r="AC795" s="1360">
        <f t="shared" si="51"/>
        <v>0</v>
      </c>
      <c r="AD795" s="1361"/>
      <c r="AE795" s="1361"/>
      <c r="AF795" s="1361"/>
      <c r="AG795" s="1362"/>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4">
        <f t="shared" si="52"/>
        <v>0</v>
      </c>
      <c r="CQ795" s="1335"/>
      <c r="CR795" s="1335"/>
      <c r="CS795" s="1335"/>
      <c r="CT795" s="1336"/>
      <c r="CU795" s="1334">
        <f t="shared" si="53"/>
        <v>0</v>
      </c>
      <c r="CV795" s="1335"/>
      <c r="CW795" s="1335"/>
      <c r="CX795" s="1335"/>
      <c r="CY795" s="1336"/>
      <c r="CZ795" s="1334">
        <f t="shared" si="54"/>
        <v>0</v>
      </c>
      <c r="DA795" s="1335"/>
      <c r="DB795" s="1335"/>
      <c r="DC795" s="1335"/>
      <c r="DD795" s="1336"/>
      <c r="DE795" s="1334">
        <f t="shared" si="55"/>
        <v>0</v>
      </c>
      <c r="DF795" s="1335"/>
      <c r="DG795" s="1335"/>
      <c r="DH795" s="1335"/>
      <c r="DI795" s="1336"/>
      <c r="DJ795" s="1334">
        <f t="shared" si="56"/>
        <v>0</v>
      </c>
      <c r="DK795" s="1335"/>
      <c r="DL795" s="1335"/>
      <c r="DM795" s="1335"/>
      <c r="DN795" s="1336"/>
      <c r="DO795" s="1334">
        <f t="shared" si="57"/>
        <v>0</v>
      </c>
      <c r="DP795" s="1335"/>
      <c r="DQ795" s="1335"/>
      <c r="DR795" s="1335"/>
      <c r="DS795" s="1336"/>
      <c r="DT795" s="6"/>
      <c r="DU795" s="1334">
        <f t="shared" si="58"/>
        <v>0</v>
      </c>
      <c r="DV795" s="1335"/>
      <c r="DW795" s="1335"/>
      <c r="DX795" s="1335"/>
      <c r="DY795" s="1336"/>
      <c r="DZ795" s="1334">
        <f t="shared" si="59"/>
        <v>0</v>
      </c>
      <c r="EA795" s="1335"/>
      <c r="EB795" s="1335"/>
      <c r="EC795" s="1335"/>
      <c r="ED795" s="1336"/>
      <c r="EE795" s="1334">
        <f t="shared" si="60"/>
        <v>0</v>
      </c>
      <c r="EF795" s="1335"/>
      <c r="EG795" s="1335"/>
      <c r="EH795" s="1335"/>
      <c r="EI795" s="1336"/>
      <c r="EJ795" s="1334">
        <f t="shared" si="61"/>
        <v>0</v>
      </c>
      <c r="EK795" s="1335"/>
      <c r="EL795" s="1335"/>
      <c r="EM795" s="1335"/>
      <c r="EN795" s="1336"/>
      <c r="EO795" s="1334">
        <f t="shared" si="62"/>
        <v>0</v>
      </c>
      <c r="EP795" s="1335"/>
      <c r="EQ795" s="1335"/>
      <c r="ER795" s="1335"/>
      <c r="ES795" s="1336"/>
      <c r="ET795" s="1334">
        <f t="shared" si="63"/>
        <v>0</v>
      </c>
      <c r="EU795" s="1335"/>
      <c r="EV795" s="1335"/>
      <c r="EW795" s="1335"/>
      <c r="EX795" s="1336"/>
    </row>
    <row r="796" spans="1:154" s="4" customFormat="1" ht="12.95" customHeight="1">
      <c r="A796"/>
      <c r="B796"/>
      <c r="C796"/>
      <c r="D796"/>
      <c r="E796"/>
      <c r="F796"/>
      <c r="G796"/>
      <c r="H796"/>
      <c r="I796"/>
      <c r="J796" s="1357"/>
      <c r="K796" s="1358"/>
      <c r="L796" s="1358"/>
      <c r="M796" s="1358"/>
      <c r="N796" s="1359"/>
      <c r="O796" s="1435"/>
      <c r="P796" s="1435"/>
      <c r="Q796" s="1435"/>
      <c r="R796" s="1435"/>
      <c r="S796" s="1435"/>
      <c r="T796" s="1370"/>
      <c r="U796" s="1371"/>
      <c r="V796" s="1371"/>
      <c r="W796" s="1372"/>
      <c r="X796" s="1490"/>
      <c r="Y796" s="1491"/>
      <c r="Z796" s="1491"/>
      <c r="AA796" s="1491"/>
      <c r="AB796" s="1492"/>
      <c r="AC796" s="1360">
        <f t="shared" si="51"/>
        <v>0</v>
      </c>
      <c r="AD796" s="1361"/>
      <c r="AE796" s="1361"/>
      <c r="AF796" s="1361"/>
      <c r="AG796" s="1362"/>
      <c r="AH796"/>
      <c r="AI796"/>
      <c r="AJ796"/>
      <c r="AK796"/>
      <c r="AL796"/>
      <c r="AM796"/>
      <c r="AN796"/>
      <c r="AO796"/>
      <c r="AP796"/>
      <c r="AQ796"/>
      <c r="AR796"/>
      <c r="AS796"/>
      <c r="AT796"/>
      <c r="AU796"/>
      <c r="AV796"/>
      <c r="AW796"/>
      <c r="AX796"/>
      <c r="AY796"/>
      <c r="AZ796" s="3"/>
      <c r="CP796" s="1334">
        <f t="shared" si="52"/>
        <v>0</v>
      </c>
      <c r="CQ796" s="1335"/>
      <c r="CR796" s="1335"/>
      <c r="CS796" s="1335"/>
      <c r="CT796" s="1336"/>
      <c r="CU796" s="1334">
        <f t="shared" si="53"/>
        <v>0</v>
      </c>
      <c r="CV796" s="1335"/>
      <c r="CW796" s="1335"/>
      <c r="CX796" s="1335"/>
      <c r="CY796" s="1336"/>
      <c r="CZ796" s="1334">
        <f t="shared" si="54"/>
        <v>0</v>
      </c>
      <c r="DA796" s="1335"/>
      <c r="DB796" s="1335"/>
      <c r="DC796" s="1335"/>
      <c r="DD796" s="1336"/>
      <c r="DE796" s="1334">
        <f t="shared" si="55"/>
        <v>0</v>
      </c>
      <c r="DF796" s="1335"/>
      <c r="DG796" s="1335"/>
      <c r="DH796" s="1335"/>
      <c r="DI796" s="1336"/>
      <c r="DJ796" s="1334">
        <f t="shared" si="56"/>
        <v>0</v>
      </c>
      <c r="DK796" s="1335"/>
      <c r="DL796" s="1335"/>
      <c r="DM796" s="1335"/>
      <c r="DN796" s="1336"/>
      <c r="DO796" s="1334">
        <f t="shared" si="57"/>
        <v>0</v>
      </c>
      <c r="DP796" s="1335"/>
      <c r="DQ796" s="1335"/>
      <c r="DR796" s="1335"/>
      <c r="DS796" s="1336"/>
      <c r="DT796" s="6"/>
      <c r="DU796" s="1334">
        <f t="shared" si="58"/>
        <v>0</v>
      </c>
      <c r="DV796" s="1335"/>
      <c r="DW796" s="1335"/>
      <c r="DX796" s="1335"/>
      <c r="DY796" s="1336"/>
      <c r="DZ796" s="1334">
        <f t="shared" si="59"/>
        <v>0</v>
      </c>
      <c r="EA796" s="1335"/>
      <c r="EB796" s="1335"/>
      <c r="EC796" s="1335"/>
      <c r="ED796" s="1336"/>
      <c r="EE796" s="1334">
        <f t="shared" si="60"/>
        <v>0</v>
      </c>
      <c r="EF796" s="1335"/>
      <c r="EG796" s="1335"/>
      <c r="EH796" s="1335"/>
      <c r="EI796" s="1336"/>
      <c r="EJ796" s="1334">
        <f t="shared" si="61"/>
        <v>0</v>
      </c>
      <c r="EK796" s="1335"/>
      <c r="EL796" s="1335"/>
      <c r="EM796" s="1335"/>
      <c r="EN796" s="1336"/>
      <c r="EO796" s="1334">
        <f t="shared" si="62"/>
        <v>0</v>
      </c>
      <c r="EP796" s="1335"/>
      <c r="EQ796" s="1335"/>
      <c r="ER796" s="1335"/>
      <c r="ES796" s="1336"/>
      <c r="ET796" s="1334">
        <f t="shared" si="63"/>
        <v>0</v>
      </c>
      <c r="EU796" s="1335"/>
      <c r="EV796" s="1335"/>
      <c r="EW796" s="1335"/>
      <c r="EX796" s="1336"/>
    </row>
    <row r="797" spans="1:154" s="4" customFormat="1" ht="12.95" customHeight="1">
      <c r="A797"/>
      <c r="B797"/>
      <c r="C797"/>
      <c r="D797"/>
      <c r="E797"/>
      <c r="F797"/>
      <c r="G797"/>
      <c r="H797"/>
      <c r="I797"/>
      <c r="J797" s="1411" t="s">
        <v>125</v>
      </c>
      <c r="K797" s="1412"/>
      <c r="L797" s="1412"/>
      <c r="M797" s="1412"/>
      <c r="N797" s="1414"/>
      <c r="O797" s="1641">
        <f>SUM(O787:S796)</f>
        <v>0</v>
      </c>
      <c r="P797" s="1641"/>
      <c r="Q797" s="1641"/>
      <c r="R797" s="1641"/>
      <c r="S797" s="1641"/>
      <c r="T797"/>
      <c r="U797"/>
      <c r="V797"/>
      <c r="W797"/>
      <c r="X797" s="903" t="s">
        <v>124</v>
      </c>
      <c r="Y797" s="11"/>
      <c r="Z797" s="11"/>
      <c r="AA797" s="11"/>
      <c r="AB797" s="910"/>
      <c r="AC797" s="1360">
        <f>SUM(AC787:AG796)</f>
        <v>0</v>
      </c>
      <c r="AD797" s="1361"/>
      <c r="AE797" s="1361"/>
      <c r="AF797" s="1361"/>
      <c r="AG797" s="1362"/>
      <c r="AH797"/>
      <c r="AI797"/>
      <c r="AJ797"/>
      <c r="AK797"/>
      <c r="AL797"/>
      <c r="AM797"/>
      <c r="AN797"/>
      <c r="AO797"/>
      <c r="AP797"/>
      <c r="AQ797"/>
      <c r="AR797"/>
      <c r="AS797"/>
      <c r="AT797"/>
      <c r="AU797"/>
      <c r="AV797"/>
      <c r="AW797"/>
      <c r="AX797"/>
      <c r="AY797"/>
      <c r="AZ797" s="3"/>
      <c r="BA797"/>
      <c r="CP797" s="1337">
        <f>SUM(CP787:CT796)</f>
        <v>0</v>
      </c>
      <c r="CQ797" s="1338"/>
      <c r="CR797" s="1338"/>
      <c r="CS797" s="1338"/>
      <c r="CT797" s="1339"/>
      <c r="CU797" s="1350">
        <f>SUM(CU787:CY796)</f>
        <v>0</v>
      </c>
      <c r="CV797" s="1351"/>
      <c r="CW797" s="1351"/>
      <c r="CX797" s="1351"/>
      <c r="CY797" s="1352"/>
      <c r="CZ797" s="1350">
        <f>SUM(CZ787:DD796)</f>
        <v>0</v>
      </c>
      <c r="DA797" s="1351"/>
      <c r="DB797" s="1351"/>
      <c r="DC797" s="1351"/>
      <c r="DD797" s="1352"/>
      <c r="DE797" s="1350">
        <f>SUM(DE787:DI796)</f>
        <v>0</v>
      </c>
      <c r="DF797" s="1351"/>
      <c r="DG797" s="1351"/>
      <c r="DH797" s="1351"/>
      <c r="DI797" s="1352"/>
      <c r="DJ797" s="1350">
        <f>SUM(DJ787:DN796)</f>
        <v>0</v>
      </c>
      <c r="DK797" s="1351"/>
      <c r="DL797" s="1351"/>
      <c r="DM797" s="1351"/>
      <c r="DN797" s="1352"/>
      <c r="DO797" s="1350">
        <f>SUM(DO787:DS796)</f>
        <v>0</v>
      </c>
      <c r="DP797" s="1351"/>
      <c r="DQ797" s="1351"/>
      <c r="DR797" s="1351"/>
      <c r="DS797" s="1352"/>
      <c r="DT797" s="1013"/>
      <c r="DU797" s="1337">
        <f>SUM(DU787:DY796)</f>
        <v>0</v>
      </c>
      <c r="DV797" s="1338"/>
      <c r="DW797" s="1338"/>
      <c r="DX797" s="1338"/>
      <c r="DY797" s="1339"/>
      <c r="DZ797" s="1337">
        <f>SUM(DZ787:ED796)</f>
        <v>0</v>
      </c>
      <c r="EA797" s="1338"/>
      <c r="EB797" s="1338"/>
      <c r="EC797" s="1338"/>
      <c r="ED797" s="1339"/>
      <c r="EE797" s="1337">
        <f>SUM(EE787:EI796)</f>
        <v>0</v>
      </c>
      <c r="EF797" s="1338"/>
      <c r="EG797" s="1338"/>
      <c r="EH797" s="1338"/>
      <c r="EI797" s="1339"/>
      <c r="EJ797" s="1337">
        <f>SUM(EJ787:EN796)</f>
        <v>0</v>
      </c>
      <c r="EK797" s="1338"/>
      <c r="EL797" s="1338"/>
      <c r="EM797" s="1338"/>
      <c r="EN797" s="1339"/>
      <c r="EO797" s="1337">
        <f>SUM(EO787:ES796)</f>
        <v>0</v>
      </c>
      <c r="EP797" s="1338"/>
      <c r="EQ797" s="1338"/>
      <c r="ER797" s="1338"/>
      <c r="ES797" s="1339"/>
      <c r="ET797" s="1337">
        <f>SUM(ET787:EX796)</f>
        <v>0</v>
      </c>
      <c r="EU797" s="1338"/>
      <c r="EV797" s="1338"/>
      <c r="EW797" s="1338"/>
      <c r="EX797" s="1339"/>
    </row>
    <row r="798" spans="1:154" s="4" customFormat="1" ht="12.95" customHeight="1">
      <c r="A798"/>
      <c r="B798"/>
      <c r="C798" s="1423" t="str">
        <f>IF(O797&lt;&gt;AG438,"! Total market rate units in the Unit Mix Table above does not match the number of  market rate units on row #"&amp;TEXT(ROW(D438),"#"),"")</f>
        <v/>
      </c>
      <c r="D798" s="1423"/>
      <c r="E798" s="1423"/>
      <c r="F798" s="1423"/>
      <c r="G798" s="1423"/>
      <c r="H798" s="1423"/>
      <c r="I798" s="1423"/>
      <c r="J798" s="1423"/>
      <c r="K798" s="1423"/>
      <c r="L798" s="1423"/>
      <c r="M798" s="1423"/>
      <c r="N798" s="1423"/>
      <c r="O798" s="1423"/>
      <c r="P798" s="1423"/>
      <c r="Q798" s="1423"/>
      <c r="R798" s="1423"/>
      <c r="S798" s="1423"/>
      <c r="T798" s="1423"/>
      <c r="U798" s="1423"/>
      <c r="V798" s="1423"/>
      <c r="W798" s="1423"/>
      <c r="X798" s="1423"/>
      <c r="Y798" s="1423"/>
      <c r="Z798" s="1423"/>
      <c r="AA798" s="1423"/>
      <c r="AB798" s="1423"/>
      <c r="AC798" s="1423"/>
      <c r="AD798" s="1423"/>
      <c r="AE798" s="1423"/>
      <c r="AF798" s="1423"/>
      <c r="AG798" s="1423"/>
      <c r="AH798" s="1423"/>
      <c r="AI798" s="1423"/>
      <c r="AJ798" s="1423"/>
      <c r="AK798" s="1423"/>
      <c r="AL798" s="1423"/>
      <c r="AM798" s="1423"/>
      <c r="AN798" s="1423"/>
      <c r="AO798"/>
      <c r="AP798"/>
      <c r="AQ798"/>
      <c r="AR798"/>
      <c r="AS798"/>
      <c r="AT798"/>
      <c r="AU798"/>
      <c r="AV798"/>
      <c r="AW798"/>
      <c r="AX798"/>
      <c r="AY798"/>
      <c r="AZ798" s="30"/>
      <c r="BA798" s="30"/>
      <c r="CP798"/>
      <c r="CQ798"/>
      <c r="CR798"/>
      <c r="CS798"/>
      <c r="CT798" s="862">
        <f>CP797*1</f>
        <v>0</v>
      </c>
      <c r="CU798" s="3"/>
      <c r="CV798" s="3"/>
      <c r="CW798" s="3"/>
      <c r="CX798" s="3"/>
      <c r="CY798" s="862">
        <f>CU797*1</f>
        <v>0</v>
      </c>
      <c r="CZ798" s="3"/>
      <c r="DA798" s="3"/>
      <c r="DB798" s="3"/>
      <c r="DC798" s="3"/>
      <c r="DD798" s="862">
        <f>CZ797*2</f>
        <v>0</v>
      </c>
      <c r="DE798" s="3"/>
      <c r="DF798" s="3"/>
      <c r="DG798" s="3"/>
      <c r="DH798" s="3"/>
      <c r="DI798" s="862">
        <f>DE797*3</f>
        <v>0</v>
      </c>
      <c r="DJ798" s="3"/>
      <c r="DK798" s="3"/>
      <c r="DL798" s="3"/>
      <c r="DM798" s="3"/>
      <c r="DN798" s="862">
        <f>DJ797*4</f>
        <v>0</v>
      </c>
      <c r="DO798" s="3"/>
      <c r="DP798" s="3"/>
      <c r="DQ798" s="3"/>
      <c r="DR798" s="3"/>
      <c r="DS798" s="862">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423"/>
      <c r="D799" s="1423"/>
      <c r="E799" s="1423"/>
      <c r="F799" s="1423"/>
      <c r="G799" s="1423"/>
      <c r="H799" s="1423"/>
      <c r="I799" s="1423"/>
      <c r="J799" s="1423"/>
      <c r="K799" s="1423"/>
      <c r="L799" s="1423"/>
      <c r="M799" s="1423"/>
      <c r="N799" s="1423"/>
      <c r="O799" s="1423"/>
      <c r="P799" s="1423"/>
      <c r="Q799" s="1423"/>
      <c r="R799" s="1423"/>
      <c r="S799" s="1423"/>
      <c r="T799" s="1423"/>
      <c r="U799" s="1423"/>
      <c r="V799" s="1423"/>
      <c r="W799" s="1423"/>
      <c r="X799" s="1423"/>
      <c r="Y799" s="1423"/>
      <c r="Z799" s="1423"/>
      <c r="AA799" s="1423"/>
      <c r="AB799" s="1423"/>
      <c r="AC799" s="1423"/>
      <c r="AD799" s="1423"/>
      <c r="AE799" s="1423"/>
      <c r="AF799" s="1423"/>
      <c r="AG799" s="1423"/>
      <c r="AH799" s="1423"/>
      <c r="AI799" s="1423"/>
      <c r="AJ799" s="1423"/>
      <c r="AK799" s="1423"/>
      <c r="AL799" s="1423"/>
      <c r="AM799" s="1423"/>
      <c r="AN799" s="1423"/>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2">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347">
        <f>SUM(DU797:EX797)</f>
        <v>0</v>
      </c>
      <c r="EU799" s="1348"/>
      <c r="EV799" s="1348"/>
      <c r="EW799" s="1348"/>
      <c r="EX799" s="1349"/>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15">
        <f>O753+AC777+AC797</f>
        <v>123527</v>
      </c>
      <c r="Z800" s="1615"/>
      <c r="AA800" s="1615"/>
      <c r="AB800" s="1615"/>
      <c r="AC800" s="1615"/>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2">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15">
        <f>(O753+AC777+AC797)*12</f>
        <v>1482324</v>
      </c>
      <c r="Z801" s="1615"/>
      <c r="AA801" s="1615"/>
      <c r="AB801" s="1615"/>
      <c r="AC801" s="1615"/>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50">
        <f>CP753+CP777+CP797</f>
        <v>13</v>
      </c>
      <c r="CQ802" s="1351"/>
      <c r="CR802" s="1351"/>
      <c r="CS802" s="1351"/>
      <c r="CT802" s="1352"/>
      <c r="CU802" s="1350">
        <f>CU753+CU777+CU797</f>
        <v>28</v>
      </c>
      <c r="CV802" s="1351"/>
      <c r="CW802" s="1351"/>
      <c r="CX802" s="1351"/>
      <c r="CY802" s="1352"/>
      <c r="CZ802" s="1350">
        <f>CZ753+CZ777+CZ797</f>
        <v>15</v>
      </c>
      <c r="DA802" s="1351"/>
      <c r="DB802" s="1351"/>
      <c r="DC802" s="1351"/>
      <c r="DD802" s="1352"/>
      <c r="DE802" s="1350">
        <f>DE753+DE777+DE797</f>
        <v>30</v>
      </c>
      <c r="DF802" s="1351"/>
      <c r="DG802" s="1351"/>
      <c r="DH802" s="1351"/>
      <c r="DI802" s="1352"/>
      <c r="DJ802" s="1350">
        <f>DJ753+DJ777+DJ797</f>
        <v>0</v>
      </c>
      <c r="DK802" s="1351"/>
      <c r="DL802" s="1351"/>
      <c r="DM802" s="1351"/>
      <c r="DN802" s="1352"/>
      <c r="DO802" s="1353">
        <f>DO797+DO777+DO753</f>
        <v>0</v>
      </c>
      <c r="DP802" s="1354"/>
      <c r="DQ802" s="1354"/>
      <c r="DR802" s="1354"/>
      <c r="DS802" s="1355"/>
      <c r="DT802" s="3"/>
      <c r="DU802" s="862">
        <f>DU755+DU800</f>
        <v>157</v>
      </c>
      <c r="DV802" s="57" t="s">
        <v>1864</v>
      </c>
    </row>
    <row r="803" spans="1:126" s="4" customFormat="1" ht="12.95"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33">
        <v>0</v>
      </c>
      <c r="AA806" s="1619"/>
      <c r="AB806" s="1619"/>
      <c r="AC806" s="1619"/>
      <c r="AD806" s="1619"/>
      <c r="AE806" s="1620"/>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18">
        <v>0</v>
      </c>
      <c r="AA807" s="1619"/>
      <c r="AB807" s="1619"/>
      <c r="AC807" s="1619"/>
      <c r="AD807" s="1619"/>
      <c r="AE807" s="1620"/>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39">
        <v>0</v>
      </c>
      <c r="AA808" s="1503"/>
      <c r="AB808" s="1503"/>
      <c r="AC808" s="1503"/>
      <c r="AD808" s="1503"/>
      <c r="AE808" s="1640"/>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36">
        <f>'Subsidy Contract Calculation'!J40</f>
        <v>0</v>
      </c>
      <c r="AA809" s="1437"/>
      <c r="AB809" s="1437"/>
      <c r="AC809" s="1437"/>
      <c r="AD809" s="1437"/>
      <c r="AE809" s="1438"/>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590</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39">
        <v>10836</v>
      </c>
      <c r="AA813" s="1340"/>
      <c r="AB813" s="1340"/>
      <c r="AC813" s="1340"/>
      <c r="AD813" s="1340"/>
      <c r="AE813" s="1341"/>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39"/>
      <c r="AA814" s="1340"/>
      <c r="AB814" s="1340"/>
      <c r="AC814" s="1340"/>
      <c r="AD814" s="1340"/>
      <c r="AE814" s="1341"/>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39"/>
      <c r="AA815" s="1340"/>
      <c r="AB815" s="1340"/>
      <c r="AC815" s="1340"/>
      <c r="AD815" s="1340"/>
      <c r="AE815" s="1341"/>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659" t="s">
        <v>2637</v>
      </c>
      <c r="Q816" s="1660"/>
      <c r="R816" s="1660"/>
      <c r="S816" s="1660"/>
      <c r="T816" s="1660"/>
      <c r="U816" s="1660"/>
      <c r="V816" s="1660"/>
      <c r="W816" s="1660"/>
      <c r="X816" s="1660"/>
      <c r="Y816" s="1661"/>
      <c r="Z816" s="1439">
        <v>38000</v>
      </c>
      <c r="AA816" s="1340"/>
      <c r="AB816" s="1340"/>
      <c r="AC816" s="1340"/>
      <c r="AD816" s="1340"/>
      <c r="AE816" s="1341"/>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36">
        <f>SUM(Z813:AE816)</f>
        <v>48836</v>
      </c>
      <c r="AA817" s="1437"/>
      <c r="AB817" s="1437"/>
      <c r="AC817" s="1437"/>
      <c r="AD817" s="1437"/>
      <c r="AE817" s="1438"/>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436">
        <f>Z817+Y801+Z809</f>
        <v>1531160</v>
      </c>
      <c r="AA818" s="1437"/>
      <c r="AB818" s="1437"/>
      <c r="AC818" s="1437"/>
      <c r="AD818" s="1437"/>
      <c r="AE818" s="1438"/>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592</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666" t="s">
        <v>126</v>
      </c>
      <c r="N823" s="1666"/>
      <c r="O823" s="1666"/>
      <c r="P823" s="1667"/>
      <c r="Q823" s="1638" t="s">
        <v>290</v>
      </c>
      <c r="R823" s="1638"/>
      <c r="S823" s="1638"/>
      <c r="T823" s="1638"/>
      <c r="U823" s="1638" t="s">
        <v>291</v>
      </c>
      <c r="V823" s="1638"/>
      <c r="W823" s="1638"/>
      <c r="X823" s="1638"/>
      <c r="Y823" s="1638" t="s">
        <v>292</v>
      </c>
      <c r="Z823" s="1638"/>
      <c r="AA823" s="1638"/>
      <c r="AB823" s="1638"/>
      <c r="AC823" s="1638" t="s">
        <v>361</v>
      </c>
      <c r="AD823" s="1638"/>
      <c r="AE823" s="1638"/>
      <c r="AF823" s="1638"/>
      <c r="AG823" s="1633" t="s">
        <v>335</v>
      </c>
      <c r="AH823" s="1633"/>
      <c r="AI823" s="1633"/>
      <c r="AJ823" s="1633"/>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668"/>
      <c r="N824" s="1668"/>
      <c r="O824" s="1668"/>
      <c r="P824" s="1669"/>
      <c r="Q824" s="1638"/>
      <c r="R824" s="1638"/>
      <c r="S824" s="1638"/>
      <c r="T824" s="1638"/>
      <c r="U824" s="1638"/>
      <c r="V824" s="1638"/>
      <c r="W824" s="1638"/>
      <c r="X824" s="1638"/>
      <c r="Y824" s="1638"/>
      <c r="Z824" s="1638"/>
      <c r="AA824" s="1638"/>
      <c r="AB824" s="1638"/>
      <c r="AC824" s="1638"/>
      <c r="AD824" s="1638"/>
      <c r="AE824" s="1638"/>
      <c r="AF824" s="1638"/>
      <c r="AG824" s="1633"/>
      <c r="AH824" s="1633"/>
      <c r="AI824" s="1633"/>
      <c r="AJ824" s="1633"/>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617" t="s">
        <v>40</v>
      </c>
      <c r="D825" s="1489"/>
      <c r="E825" s="1489"/>
      <c r="F825" s="1489"/>
      <c r="G825" s="1489"/>
      <c r="H825" s="1489"/>
      <c r="I825" s="48"/>
      <c r="J825" s="48"/>
      <c r="K825" s="48"/>
      <c r="L825" s="49"/>
      <c r="M825" s="1610">
        <v>14</v>
      </c>
      <c r="N825" s="1610"/>
      <c r="O825" s="1610"/>
      <c r="P825" s="1610"/>
      <c r="Q825" s="1610">
        <v>16</v>
      </c>
      <c r="R825" s="1610"/>
      <c r="S825" s="1610"/>
      <c r="T825" s="1610"/>
      <c r="U825" s="1610">
        <v>20</v>
      </c>
      <c r="V825" s="1610"/>
      <c r="W825" s="1610"/>
      <c r="X825" s="1610"/>
      <c r="Y825" s="1610">
        <v>24</v>
      </c>
      <c r="Z825" s="1610"/>
      <c r="AA825" s="1610"/>
      <c r="AB825" s="1610"/>
      <c r="AC825" s="1440"/>
      <c r="AD825" s="1441"/>
      <c r="AE825" s="1441"/>
      <c r="AF825" s="1442"/>
      <c r="AG825" s="1440"/>
      <c r="AH825" s="1441"/>
      <c r="AI825" s="1441"/>
      <c r="AJ825" s="1442"/>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509" t="s">
        <v>41</v>
      </c>
      <c r="D826" s="1464"/>
      <c r="E826" s="1464"/>
      <c r="F826" s="1464"/>
      <c r="G826" s="1464"/>
      <c r="H826" s="1464"/>
      <c r="I826" s="5"/>
      <c r="J826" s="5"/>
      <c r="K826" s="5"/>
      <c r="L826" s="46"/>
      <c r="M826" s="1610">
        <v>8</v>
      </c>
      <c r="N826" s="1610"/>
      <c r="O826" s="1610"/>
      <c r="P826" s="1610"/>
      <c r="Q826" s="1610">
        <v>9</v>
      </c>
      <c r="R826" s="1610"/>
      <c r="S826" s="1610"/>
      <c r="T826" s="1610"/>
      <c r="U826" s="1610">
        <v>13</v>
      </c>
      <c r="V826" s="1610"/>
      <c r="W826" s="1610"/>
      <c r="X826" s="1610"/>
      <c r="Y826" s="1610">
        <v>17</v>
      </c>
      <c r="Z826" s="1610"/>
      <c r="AA826" s="1610"/>
      <c r="AB826" s="1610"/>
      <c r="AC826" s="1440"/>
      <c r="AD826" s="1441"/>
      <c r="AE826" s="1441"/>
      <c r="AF826" s="1442"/>
      <c r="AG826" s="1440"/>
      <c r="AH826" s="1441"/>
      <c r="AI826" s="1441"/>
      <c r="AJ826" s="1442"/>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509" t="s">
        <v>42</v>
      </c>
      <c r="D827" s="1464"/>
      <c r="E827" s="1464"/>
      <c r="F827" s="1464"/>
      <c r="G827" s="1464"/>
      <c r="H827" s="1464"/>
      <c r="I827" s="60"/>
      <c r="J827" s="60"/>
      <c r="K827" s="60"/>
      <c r="L827" s="61"/>
      <c r="M827" s="1610">
        <v>7</v>
      </c>
      <c r="N827" s="1610"/>
      <c r="O827" s="1610"/>
      <c r="P827" s="1610"/>
      <c r="Q827" s="1610">
        <v>8</v>
      </c>
      <c r="R827" s="1610"/>
      <c r="S827" s="1610"/>
      <c r="T827" s="1610"/>
      <c r="U827" s="1610">
        <v>12</v>
      </c>
      <c r="V827" s="1610"/>
      <c r="W827" s="1610"/>
      <c r="X827" s="1610"/>
      <c r="Y827" s="1610">
        <v>15</v>
      </c>
      <c r="Z827" s="1610"/>
      <c r="AA827" s="1610"/>
      <c r="AB827" s="1610"/>
      <c r="AC827" s="1440"/>
      <c r="AD827" s="1441"/>
      <c r="AE827" s="1441"/>
      <c r="AF827" s="1442"/>
      <c r="AG827" s="1440"/>
      <c r="AH827" s="1441"/>
      <c r="AI827" s="1441"/>
      <c r="AJ827" s="1442"/>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509" t="s">
        <v>762</v>
      </c>
      <c r="D828" s="1464"/>
      <c r="E828" s="1464"/>
      <c r="F828" s="1464"/>
      <c r="G828" s="1464"/>
      <c r="H828" s="1464"/>
      <c r="I828" s="60"/>
      <c r="J828" s="60"/>
      <c r="K828" s="60"/>
      <c r="L828" s="61"/>
      <c r="M828" s="1610"/>
      <c r="N828" s="1610"/>
      <c r="O828" s="1610"/>
      <c r="P828" s="1610"/>
      <c r="Q828" s="1610"/>
      <c r="R828" s="1610"/>
      <c r="S828" s="1610"/>
      <c r="T828" s="1610"/>
      <c r="U828" s="1610"/>
      <c r="V828" s="1610"/>
      <c r="W828" s="1610"/>
      <c r="X828" s="1610"/>
      <c r="Y828" s="1610"/>
      <c r="Z828" s="1610"/>
      <c r="AA828" s="1610"/>
      <c r="AB828" s="1610"/>
      <c r="AC828" s="1440"/>
      <c r="AD828" s="1441"/>
      <c r="AE828" s="1441"/>
      <c r="AF828" s="1442"/>
      <c r="AG828" s="1440"/>
      <c r="AH828" s="1441"/>
      <c r="AI828" s="1441"/>
      <c r="AJ828" s="1442"/>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509" t="s">
        <v>459</v>
      </c>
      <c r="D829" s="1464"/>
      <c r="E829" s="1464"/>
      <c r="F829" s="1464"/>
      <c r="G829" s="1464"/>
      <c r="H829" s="1464"/>
      <c r="I829" s="60"/>
      <c r="J829" s="60"/>
      <c r="K829" s="60"/>
      <c r="L829" s="61"/>
      <c r="M829" s="1610">
        <v>25</v>
      </c>
      <c r="N829" s="1610"/>
      <c r="O829" s="1610"/>
      <c r="P829" s="1610"/>
      <c r="Q829" s="1610">
        <v>29</v>
      </c>
      <c r="R829" s="1610"/>
      <c r="S829" s="1610"/>
      <c r="T829" s="1610"/>
      <c r="U829" s="1610">
        <v>41</v>
      </c>
      <c r="V829" s="1610"/>
      <c r="W829" s="1610"/>
      <c r="X829" s="1610"/>
      <c r="Y829" s="1610">
        <v>53</v>
      </c>
      <c r="Z829" s="1610"/>
      <c r="AA829" s="1610"/>
      <c r="AB829" s="1610"/>
      <c r="AC829" s="1440"/>
      <c r="AD829" s="1441"/>
      <c r="AE829" s="1441"/>
      <c r="AF829" s="1442"/>
      <c r="AG829" s="1440"/>
      <c r="AH829" s="1441"/>
      <c r="AI829" s="1441"/>
      <c r="AJ829" s="1442"/>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708" t="s">
        <v>783</v>
      </c>
      <c r="D830" s="1464"/>
      <c r="E830" s="1464"/>
      <c r="F830" s="1464"/>
      <c r="G830" s="1464"/>
      <c r="H830" s="1464"/>
      <c r="I830" s="60"/>
      <c r="J830" s="60"/>
      <c r="K830" s="60"/>
      <c r="L830" s="61"/>
      <c r="M830" s="1610"/>
      <c r="N830" s="1610"/>
      <c r="O830" s="1610"/>
      <c r="P830" s="1610"/>
      <c r="Q830" s="1610"/>
      <c r="R830" s="1610"/>
      <c r="S830" s="1610"/>
      <c r="T830" s="1610"/>
      <c r="U830" s="1610"/>
      <c r="V830" s="1610"/>
      <c r="W830" s="1610"/>
      <c r="X830" s="1610"/>
      <c r="Y830" s="1610"/>
      <c r="Z830" s="1610"/>
      <c r="AA830" s="1610"/>
      <c r="AB830" s="1610"/>
      <c r="AC830" s="1440"/>
      <c r="AD830" s="1441"/>
      <c r="AE830" s="1441"/>
      <c r="AF830" s="1442"/>
      <c r="AG830" s="1440"/>
      <c r="AH830" s="1441"/>
      <c r="AI830" s="1441"/>
      <c r="AJ830" s="1442"/>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659" t="s">
        <v>334</v>
      </c>
      <c r="G831" s="1660"/>
      <c r="H831" s="1660"/>
      <c r="I831" s="1660"/>
      <c r="J831" s="1660"/>
      <c r="K831" s="1660"/>
      <c r="L831" s="1660"/>
      <c r="M831" s="1610"/>
      <c r="N831" s="1610"/>
      <c r="O831" s="1610"/>
      <c r="P831" s="1610"/>
      <c r="Q831" s="1610"/>
      <c r="R831" s="1610"/>
      <c r="S831" s="1610"/>
      <c r="T831" s="1610"/>
      <c r="U831" s="1610"/>
      <c r="V831" s="1610"/>
      <c r="W831" s="1610"/>
      <c r="X831" s="1610"/>
      <c r="Y831" s="1610"/>
      <c r="Z831" s="1610"/>
      <c r="AA831" s="1610"/>
      <c r="AB831" s="1610"/>
      <c r="AC831" s="1440"/>
      <c r="AD831" s="1441"/>
      <c r="AE831" s="1441"/>
      <c r="AF831" s="1442"/>
      <c r="AG831" s="1440"/>
      <c r="AH831" s="1441"/>
      <c r="AI831" s="1441"/>
      <c r="AJ831" s="1442"/>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11" t="s">
        <v>124</v>
      </c>
      <c r="D832" s="1412"/>
      <c r="E832" s="1412"/>
      <c r="F832" s="1412"/>
      <c r="G832" s="1412"/>
      <c r="H832" s="1412"/>
      <c r="I832" s="1412"/>
      <c r="J832" s="1412"/>
      <c r="K832" s="1412"/>
      <c r="L832" s="1414"/>
      <c r="M832" s="1682">
        <f>SUM(M825:P831)</f>
        <v>54</v>
      </c>
      <c r="N832" s="1682"/>
      <c r="O832" s="1682"/>
      <c r="P832" s="1682"/>
      <c r="Q832" s="1682">
        <f>SUM(Q825:T831)</f>
        <v>62</v>
      </c>
      <c r="R832" s="1682"/>
      <c r="S832" s="1682"/>
      <c r="T832" s="1682"/>
      <c r="U832" s="1682">
        <f>SUM(U825:X831)</f>
        <v>86</v>
      </c>
      <c r="V832" s="1682"/>
      <c r="W832" s="1682"/>
      <c r="X832" s="1682"/>
      <c r="Y832" s="1682">
        <f>SUM(Y825:AB831)</f>
        <v>109</v>
      </c>
      <c r="Z832" s="1682"/>
      <c r="AA832" s="1682"/>
      <c r="AB832" s="1682"/>
      <c r="AC832" s="1682">
        <f>SUM(AC825:AF831)</f>
        <v>0</v>
      </c>
      <c r="AD832" s="1682"/>
      <c r="AE832" s="1682"/>
      <c r="AF832" s="1682"/>
      <c r="AG832" s="1682">
        <f>SUM(AG825:AJ831)</f>
        <v>0</v>
      </c>
      <c r="AH832" s="1682"/>
      <c r="AI832" s="1682"/>
      <c r="AJ832" s="1682"/>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673" t="s">
        <v>2638</v>
      </c>
      <c r="D837" s="1674"/>
      <c r="E837" s="1674"/>
      <c r="F837" s="1674"/>
      <c r="G837" s="1674"/>
      <c r="H837" s="1674"/>
      <c r="I837" s="1674"/>
      <c r="J837" s="1674"/>
      <c r="K837" s="1674"/>
      <c r="L837" s="1674"/>
      <c r="M837" s="1674"/>
      <c r="N837" s="1674"/>
      <c r="O837" s="1674"/>
      <c r="P837" s="1674"/>
      <c r="Q837" s="1674"/>
      <c r="R837" s="1674"/>
      <c r="S837" s="1674"/>
      <c r="T837" s="1674"/>
      <c r="U837" s="1674"/>
      <c r="V837" s="1674"/>
      <c r="W837" s="1674"/>
      <c r="X837" s="1674"/>
      <c r="Y837" s="1674"/>
      <c r="Z837" s="1674"/>
      <c r="AA837" s="1674"/>
      <c r="AB837" s="1674"/>
      <c r="AC837" s="1674"/>
      <c r="AD837" s="1674"/>
      <c r="AE837" s="1674"/>
      <c r="AF837" s="1674"/>
      <c r="AG837" s="1674"/>
      <c r="AH837" s="1674"/>
      <c r="AI837" s="1674"/>
      <c r="AJ837" s="1675"/>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71"/>
      <c r="BJ841" s="1671"/>
      <c r="BK841" s="1671"/>
      <c r="BL841" s="1671"/>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655"/>
      <c r="X842" s="1655"/>
      <c r="Y842" s="1655"/>
      <c r="Z842" s="1655"/>
      <c r="AA842" s="1655"/>
      <c r="AB842" s="1655"/>
      <c r="AC842" s="1655"/>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655">
        <v>3000</v>
      </c>
      <c r="X843" s="1655"/>
      <c r="Y843" s="1655"/>
      <c r="Z843" s="1655"/>
      <c r="AA843" s="1655"/>
      <c r="AB843" s="1655"/>
      <c r="AC843" s="1655"/>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655">
        <v>16000</v>
      </c>
      <c r="X844" s="1655"/>
      <c r="Y844" s="1655"/>
      <c r="Z844" s="1655"/>
      <c r="AA844" s="1655"/>
      <c r="AB844" s="1655"/>
      <c r="AC844" s="1655"/>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655">
        <v>100000</v>
      </c>
      <c r="X845" s="1655"/>
      <c r="Y845" s="1655"/>
      <c r="Z845" s="1655"/>
      <c r="AA845" s="1655"/>
      <c r="AB845" s="1655"/>
      <c r="AC845" s="1655"/>
      <c r="AZ845" s="30"/>
      <c r="BA845" s="30"/>
      <c r="BB845" s="14"/>
      <c r="BC845" s="14"/>
      <c r="BD845" s="14"/>
      <c r="BE845" s="14"/>
      <c r="BF845" s="14"/>
      <c r="BG845" s="14"/>
      <c r="BH845" s="14"/>
      <c r="BI845" s="14"/>
      <c r="BJ845" s="14"/>
      <c r="BK845" s="14"/>
      <c r="BL845" s="14"/>
    </row>
    <row r="846" spans="1:64" ht="12.95" customHeight="1">
      <c r="J846" s="45" t="s">
        <v>170</v>
      </c>
      <c r="K846" s="5"/>
      <c r="L846" s="5"/>
      <c r="M846" s="1659" t="s">
        <v>2639</v>
      </c>
      <c r="N846" s="1660"/>
      <c r="O846" s="1660"/>
      <c r="P846" s="1660"/>
      <c r="Q846" s="1660"/>
      <c r="R846" s="1660"/>
      <c r="S846" s="1660"/>
      <c r="T846" s="1660"/>
      <c r="U846" s="1660"/>
      <c r="V846" s="1661"/>
      <c r="W846" s="1655">
        <v>35000</v>
      </c>
      <c r="X846" s="1655"/>
      <c r="Y846" s="1655"/>
      <c r="Z846" s="1655"/>
      <c r="AA846" s="1655"/>
      <c r="AB846" s="1655"/>
      <c r="AC846" s="1655"/>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436">
        <f>SUM(W842:AC846)</f>
        <v>154000</v>
      </c>
      <c r="X847" s="1437"/>
      <c r="Y847" s="1437"/>
      <c r="Z847" s="1437"/>
      <c r="AA847" s="1437"/>
      <c r="AB847" s="1437"/>
      <c r="AC847" s="1438"/>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51"/>
      <c r="BH848" s="1651"/>
      <c r="BI848" s="1651"/>
      <c r="BJ848" s="1651"/>
      <c r="BK848" s="1651"/>
      <c r="BL848" s="1651"/>
    </row>
    <row r="849" spans="3:55" ht="12.95" customHeight="1">
      <c r="C849" s="2" t="s">
        <v>344</v>
      </c>
      <c r="J849" s="1411" t="s">
        <v>345</v>
      </c>
      <c r="K849" s="1412"/>
      <c r="L849" s="1412"/>
      <c r="M849" s="1412"/>
      <c r="N849" s="1412"/>
      <c r="O849" s="1412"/>
      <c r="P849" s="1412"/>
      <c r="Q849" s="1412"/>
      <c r="R849" s="1412"/>
      <c r="S849" s="1412"/>
      <c r="T849" s="1412"/>
      <c r="U849" s="1412"/>
      <c r="V849" s="1414"/>
      <c r="W849" s="1439">
        <v>66048</v>
      </c>
      <c r="X849" s="1340"/>
      <c r="Y849" s="1340"/>
      <c r="Z849" s="1340"/>
      <c r="AA849" s="1340"/>
      <c r="AB849" s="1340"/>
      <c r="AC849" s="1341"/>
      <c r="AD849" s="534"/>
      <c r="AZ849" s="30"/>
      <c r="BA849" s="30"/>
      <c r="BB849" s="14"/>
      <c r="BC849" s="14"/>
    </row>
    <row r="850" spans="3:55" ht="12.95" customHeight="1">
      <c r="AD850" s="534"/>
      <c r="AZ850" s="30"/>
      <c r="BA850" s="30"/>
      <c r="BB850" s="14"/>
      <c r="BC850" s="14"/>
    </row>
    <row r="851" spans="3:55" ht="12.95" customHeight="1">
      <c r="C851" s="2" t="s">
        <v>561</v>
      </c>
      <c r="J851" s="45" t="s">
        <v>352</v>
      </c>
      <c r="K851" s="5"/>
      <c r="L851" s="5"/>
      <c r="M851" s="5"/>
      <c r="N851" s="5"/>
      <c r="O851" s="5"/>
      <c r="P851" s="5"/>
      <c r="Q851" s="5"/>
      <c r="R851" s="5"/>
      <c r="S851" s="5"/>
      <c r="T851" s="5"/>
      <c r="U851" s="5"/>
      <c r="V851" s="46"/>
      <c r="W851" s="1712"/>
      <c r="X851" s="1712"/>
      <c r="Y851" s="1712"/>
      <c r="Z851" s="1712"/>
      <c r="AA851" s="1712"/>
      <c r="AB851" s="1712"/>
      <c r="AC851" s="1712"/>
      <c r="AZ851" s="1637"/>
      <c r="BA851" s="1637"/>
      <c r="BB851" s="14"/>
      <c r="BC851" s="14"/>
    </row>
    <row r="852" spans="3:55" ht="12.95" customHeight="1">
      <c r="J852" s="45" t="s">
        <v>351</v>
      </c>
      <c r="K852" s="5"/>
      <c r="L852" s="5"/>
      <c r="M852" s="5"/>
      <c r="N852" s="5"/>
      <c r="O852" s="5"/>
      <c r="P852" s="5"/>
      <c r="Q852" s="5"/>
      <c r="R852" s="5"/>
      <c r="S852" s="5"/>
      <c r="T852" s="5"/>
      <c r="U852" s="5"/>
      <c r="V852" s="46"/>
      <c r="W852" s="1712">
        <v>3000</v>
      </c>
      <c r="X852" s="1712"/>
      <c r="Y852" s="1712"/>
      <c r="Z852" s="1712"/>
      <c r="AA852" s="1712"/>
      <c r="AB852" s="1712"/>
      <c r="AC852" s="1712"/>
      <c r="AZ852" s="30"/>
      <c r="BA852" s="30"/>
      <c r="BB852" s="14"/>
      <c r="BC852" s="14"/>
    </row>
    <row r="853" spans="3:55" ht="12.95" customHeight="1">
      <c r="J853" s="45" t="s">
        <v>459</v>
      </c>
      <c r="K853" s="5"/>
      <c r="L853" s="5"/>
      <c r="M853" s="5"/>
      <c r="N853" s="5"/>
      <c r="O853" s="5"/>
      <c r="P853" s="5"/>
      <c r="Q853" s="5"/>
      <c r="R853" s="5"/>
      <c r="S853" s="5"/>
      <c r="T853" s="5"/>
      <c r="U853" s="5"/>
      <c r="V853" s="46"/>
      <c r="W853" s="1712">
        <v>79000</v>
      </c>
      <c r="X853" s="1712"/>
      <c r="Y853" s="1712"/>
      <c r="Z853" s="1712"/>
      <c r="AA853" s="1712"/>
      <c r="AB853" s="1712"/>
      <c r="AC853" s="1712"/>
      <c r="AZ853" s="30"/>
      <c r="BA853" s="30"/>
      <c r="BB853" s="14"/>
      <c r="BC853" s="14"/>
    </row>
    <row r="854" spans="3:55" ht="12.95" customHeight="1">
      <c r="J854" s="62" t="s">
        <v>620</v>
      </c>
      <c r="K854" s="5"/>
      <c r="L854" s="5"/>
      <c r="M854" s="5"/>
      <c r="N854" s="5"/>
      <c r="O854" s="5"/>
      <c r="P854" s="5"/>
      <c r="Q854" s="5"/>
      <c r="R854" s="5"/>
      <c r="S854" s="5"/>
      <c r="T854" s="5"/>
      <c r="U854" s="5"/>
      <c r="V854" s="46"/>
      <c r="W854" s="1712">
        <v>70000</v>
      </c>
      <c r="X854" s="1712"/>
      <c r="Y854" s="1712"/>
      <c r="Z854" s="1712"/>
      <c r="AA854" s="1712"/>
      <c r="AB854" s="1712"/>
      <c r="AC854" s="1712"/>
      <c r="AZ854" s="34"/>
      <c r="BA854" s="34"/>
      <c r="BB854" s="34"/>
      <c r="BC854" s="34"/>
    </row>
    <row r="855" spans="3:55" ht="12.95" customHeight="1">
      <c r="J855" s="63"/>
      <c r="K855" s="48"/>
      <c r="L855" s="48"/>
      <c r="M855" s="48"/>
      <c r="N855" s="48"/>
      <c r="O855" s="48"/>
      <c r="P855" s="48"/>
      <c r="Q855" s="48"/>
      <c r="R855" s="48"/>
      <c r="S855" s="48"/>
      <c r="T855" s="48"/>
      <c r="U855" s="48"/>
      <c r="V855" s="54" t="s">
        <v>272</v>
      </c>
      <c r="W855" s="1713">
        <f>SUM(W851:AC854)</f>
        <v>152000</v>
      </c>
      <c r="X855" s="1713"/>
      <c r="Y855" s="1713"/>
      <c r="Z855" s="1713"/>
      <c r="AA855" s="1713"/>
      <c r="AB855" s="1713"/>
      <c r="AC855" s="1713"/>
      <c r="AZ855" s="34"/>
      <c r="BA855" s="34"/>
      <c r="BB855" s="34"/>
      <c r="BC855" s="34"/>
    </row>
    <row r="856" spans="3:55" ht="12.95" customHeight="1">
      <c r="AZ856" s="34"/>
      <c r="BA856" s="34"/>
      <c r="BB856" s="34"/>
      <c r="BC856" s="34"/>
    </row>
    <row r="857" spans="3:55" ht="12.95" customHeight="1">
      <c r="C857" s="2" t="s">
        <v>346</v>
      </c>
      <c r="J857" s="45" t="s">
        <v>619</v>
      </c>
      <c r="K857" s="5"/>
      <c r="L857" s="5"/>
      <c r="M857" s="5"/>
      <c r="N857" s="5"/>
      <c r="O857" s="5"/>
      <c r="P857" s="5"/>
      <c r="Q857" s="5"/>
      <c r="R857" s="5"/>
      <c r="S857" s="5"/>
      <c r="T857" s="5"/>
      <c r="U857" s="5"/>
      <c r="V857" s="46"/>
      <c r="W857" s="1676">
        <v>40000</v>
      </c>
      <c r="X857" s="1677"/>
      <c r="Y857" s="1677"/>
      <c r="Z857" s="1677"/>
      <c r="AA857" s="1677"/>
      <c r="AB857" s="1677"/>
      <c r="AC857" s="1678"/>
      <c r="AD857" s="529"/>
      <c r="AZ857" s="34"/>
      <c r="BA857" s="34"/>
      <c r="BB857" s="34"/>
      <c r="BC857" s="34"/>
    </row>
    <row r="858" spans="3:55" ht="12.95" customHeight="1">
      <c r="C858" s="2" t="s">
        <v>347</v>
      </c>
      <c r="J858" s="121" t="s">
        <v>1655</v>
      </c>
      <c r="K858" s="5"/>
      <c r="L858" s="5"/>
      <c r="M858" s="5"/>
      <c r="N858" s="5"/>
      <c r="O858" s="5"/>
      <c r="P858" s="5"/>
      <c r="Q858" s="5"/>
      <c r="R858" s="5"/>
      <c r="S858" s="5"/>
      <c r="T858" s="1653">
        <v>1</v>
      </c>
      <c r="U858" s="1614"/>
      <c r="V858" s="1654"/>
      <c r="W858" s="875"/>
      <c r="X858" s="876"/>
      <c r="Y858" s="876"/>
      <c r="Z858" s="876"/>
      <c r="AA858" s="876"/>
      <c r="AB858" s="876"/>
      <c r="AC858" s="877"/>
      <c r="AD858" s="529"/>
      <c r="AZ858" s="34"/>
      <c r="BA858" s="34"/>
      <c r="BB858" s="34"/>
      <c r="BC858" s="34"/>
    </row>
    <row r="859" spans="3:55" ht="12.95" customHeight="1">
      <c r="C859" s="2"/>
      <c r="J859" s="45" t="s">
        <v>618</v>
      </c>
      <c r="K859" s="5"/>
      <c r="L859" s="5"/>
      <c r="M859" s="5"/>
      <c r="N859" s="5"/>
      <c r="O859" s="5"/>
      <c r="P859" s="5"/>
      <c r="Q859" s="5"/>
      <c r="R859" s="5"/>
      <c r="S859" s="5"/>
      <c r="T859" s="5"/>
      <c r="U859" s="5"/>
      <c r="V859" s="46"/>
      <c r="W859" s="1676">
        <v>30000</v>
      </c>
      <c r="X859" s="1677"/>
      <c r="Y859" s="1677"/>
      <c r="Z859" s="1677"/>
      <c r="AA859" s="1677"/>
      <c r="AB859" s="1677"/>
      <c r="AC859" s="1678"/>
      <c r="AD859" s="534"/>
      <c r="AZ859" s="34"/>
      <c r="BA859" s="34"/>
      <c r="BB859" s="34"/>
      <c r="BC859" s="34"/>
    </row>
    <row r="860" spans="3:55" ht="12.95" customHeight="1">
      <c r="C860" s="2"/>
      <c r="J860" s="121" t="s">
        <v>1656</v>
      </c>
      <c r="K860" s="5"/>
      <c r="L860" s="5"/>
      <c r="M860" s="5"/>
      <c r="N860" s="5"/>
      <c r="O860" s="5"/>
      <c r="P860" s="5"/>
      <c r="Q860" s="5"/>
      <c r="R860" s="5"/>
      <c r="S860" s="5"/>
      <c r="T860" s="1653">
        <v>2</v>
      </c>
      <c r="U860" s="1614"/>
      <c r="V860" s="1654"/>
      <c r="W860" s="875"/>
      <c r="X860" s="876"/>
      <c r="Y860" s="876"/>
      <c r="Z860" s="876"/>
      <c r="AA860" s="876"/>
      <c r="AB860" s="876"/>
      <c r="AC860" s="877"/>
      <c r="AD860" s="534"/>
      <c r="AZ860" s="34"/>
      <c r="BA860" s="34"/>
      <c r="BB860" s="34"/>
      <c r="BC860" s="34"/>
    </row>
    <row r="861" spans="3:55" ht="12.95" customHeight="1">
      <c r="J861" s="45" t="s">
        <v>170</v>
      </c>
      <c r="K861" s="5"/>
      <c r="L861" s="5"/>
      <c r="M861" s="1659" t="s">
        <v>2640</v>
      </c>
      <c r="N861" s="1660"/>
      <c r="O861" s="1660"/>
      <c r="P861" s="1660"/>
      <c r="Q861" s="1660"/>
      <c r="R861" s="1660"/>
      <c r="S861" s="1660"/>
      <c r="T861" s="1660"/>
      <c r="U861" s="1660"/>
      <c r="V861" s="1661"/>
      <c r="W861" s="1676">
        <v>21000</v>
      </c>
      <c r="X861" s="1677"/>
      <c r="Y861" s="1677"/>
      <c r="Z861" s="1677"/>
      <c r="AA861" s="1677"/>
      <c r="AB861" s="1677"/>
      <c r="AC861" s="1678"/>
      <c r="AD861" s="529"/>
      <c r="AU861" s="14"/>
      <c r="AZ861" s="34"/>
      <c r="BA861" s="34"/>
      <c r="BB861" s="34"/>
      <c r="BC861" s="34"/>
    </row>
    <row r="862" spans="3:55" ht="12.95" customHeight="1">
      <c r="J862" s="45"/>
      <c r="K862" s="5"/>
      <c r="L862" s="5"/>
      <c r="M862" s="5"/>
      <c r="N862" s="5"/>
      <c r="O862" s="5"/>
      <c r="P862" s="5"/>
      <c r="Q862" s="5"/>
      <c r="R862" s="5"/>
      <c r="S862" s="5"/>
      <c r="T862" s="5"/>
      <c r="U862" s="5"/>
      <c r="V862" s="54" t="s">
        <v>273</v>
      </c>
      <c r="W862" s="1656">
        <f>SUM(W857:AC861)</f>
        <v>91000</v>
      </c>
      <c r="X862" s="1657"/>
      <c r="Y862" s="1657"/>
      <c r="Z862" s="1657"/>
      <c r="AA862" s="1657"/>
      <c r="AB862" s="1657"/>
      <c r="AC862" s="1658"/>
      <c r="AD862" s="534"/>
      <c r="AU862" s="14"/>
      <c r="AZ862" s="34"/>
      <c r="BA862" s="34"/>
      <c r="BB862" s="34"/>
      <c r="BC862" s="34"/>
    </row>
    <row r="863" spans="3:55" ht="12.95" customHeight="1">
      <c r="J863" s="45"/>
      <c r="K863" s="5"/>
      <c r="L863" s="5"/>
      <c r="M863" s="5"/>
      <c r="N863" s="5"/>
      <c r="O863" s="5"/>
      <c r="P863" s="5"/>
      <c r="Q863" s="5"/>
      <c r="R863" s="5"/>
      <c r="S863" s="5"/>
      <c r="T863" s="5"/>
      <c r="U863" s="5"/>
      <c r="V863" s="54" t="s">
        <v>274</v>
      </c>
      <c r="W863" s="1676">
        <v>144254</v>
      </c>
      <c r="X863" s="1677"/>
      <c r="Y863" s="1677"/>
      <c r="Z863" s="1677"/>
      <c r="AA863" s="1677"/>
      <c r="AB863" s="1677"/>
      <c r="AC863" s="1678"/>
      <c r="AU863" s="14"/>
      <c r="AZ863" s="34"/>
      <c r="BA863" s="34"/>
      <c r="BB863" s="34"/>
      <c r="BC863" s="34"/>
    </row>
    <row r="864" spans="3:55" ht="12.95" customHeight="1">
      <c r="J864" s="513"/>
      <c r="AU864" s="14"/>
      <c r="AZ864" s="34"/>
      <c r="BA864" s="34"/>
      <c r="BB864" s="34"/>
      <c r="BC864" s="34"/>
    </row>
    <row r="865" spans="3:55" ht="12.95" customHeight="1">
      <c r="C865" s="2" t="s">
        <v>390</v>
      </c>
      <c r="J865" s="45" t="s">
        <v>617</v>
      </c>
      <c r="K865" s="5"/>
      <c r="L865" s="5"/>
      <c r="M865" s="5"/>
      <c r="N865" s="5"/>
      <c r="O865" s="5"/>
      <c r="P865" s="5"/>
      <c r="Q865" s="5"/>
      <c r="R865" s="5"/>
      <c r="S865" s="5"/>
      <c r="T865" s="5"/>
      <c r="U865" s="5"/>
      <c r="V865" s="46"/>
      <c r="W865" s="1655">
        <v>1000</v>
      </c>
      <c r="X865" s="1655"/>
      <c r="Y865" s="1655"/>
      <c r="Z865" s="1655"/>
      <c r="AA865" s="1655"/>
      <c r="AB865" s="1655"/>
      <c r="AC865" s="1655"/>
      <c r="AU865" s="14"/>
      <c r="AZ865" s="34"/>
      <c r="BA865" s="34"/>
      <c r="BB865" s="34"/>
      <c r="BC865" s="34"/>
    </row>
    <row r="866" spans="3:55" ht="12.95" customHeight="1">
      <c r="J866" s="45" t="s">
        <v>522</v>
      </c>
      <c r="K866" s="5"/>
      <c r="L866" s="5"/>
      <c r="M866" s="5"/>
      <c r="N866" s="5"/>
      <c r="O866" s="5"/>
      <c r="P866" s="5"/>
      <c r="Q866" s="5"/>
      <c r="R866" s="5"/>
      <c r="S866" s="5"/>
      <c r="T866" s="5"/>
      <c r="U866" s="5"/>
      <c r="V866" s="46"/>
      <c r="W866" s="1655">
        <v>35000</v>
      </c>
      <c r="X866" s="1655"/>
      <c r="Y866" s="1655"/>
      <c r="Z866" s="1655"/>
      <c r="AA866" s="1655"/>
      <c r="AB866" s="1655"/>
      <c r="AC866" s="1655"/>
      <c r="AU866" s="4"/>
      <c r="AZ866" s="34"/>
      <c r="BA866" s="34"/>
      <c r="BB866" s="34"/>
      <c r="BC866" s="34"/>
    </row>
    <row r="867" spans="3:55" ht="12.95" customHeight="1">
      <c r="J867" s="45" t="s">
        <v>521</v>
      </c>
      <c r="K867" s="5"/>
      <c r="L867" s="5"/>
      <c r="M867" s="5"/>
      <c r="N867" s="5"/>
      <c r="O867" s="5"/>
      <c r="P867" s="5"/>
      <c r="Q867" s="5"/>
      <c r="R867" s="5"/>
      <c r="S867" s="5"/>
      <c r="T867" s="5"/>
      <c r="U867" s="5"/>
      <c r="V867" s="46"/>
      <c r="W867" s="1655">
        <v>39000</v>
      </c>
      <c r="X867" s="1655"/>
      <c r="Y867" s="1655"/>
      <c r="Z867" s="1655"/>
      <c r="AA867" s="1655"/>
      <c r="AB867" s="1655"/>
      <c r="AC867" s="1655"/>
      <c r="AU867" s="4"/>
      <c r="AZ867" s="34"/>
      <c r="BA867" s="34"/>
      <c r="BB867" s="34"/>
      <c r="BC867" s="34"/>
    </row>
    <row r="868" spans="3:55" ht="12.95" customHeight="1">
      <c r="J868" s="45" t="s">
        <v>520</v>
      </c>
      <c r="K868" s="5"/>
      <c r="L868" s="5"/>
      <c r="M868" s="5"/>
      <c r="N868" s="5"/>
      <c r="O868" s="5"/>
      <c r="P868" s="5"/>
      <c r="Q868" s="5"/>
      <c r="R868" s="5"/>
      <c r="S868" s="5"/>
      <c r="T868" s="5"/>
      <c r="U868" s="5"/>
      <c r="V868" s="46"/>
      <c r="W868" s="1655">
        <v>5000</v>
      </c>
      <c r="X868" s="1655"/>
      <c r="Y868" s="1655"/>
      <c r="Z868" s="1655"/>
      <c r="AA868" s="1655"/>
      <c r="AB868" s="1655"/>
      <c r="AC868" s="1655"/>
      <c r="AU868" s="4"/>
      <c r="AZ868" s="34"/>
      <c r="BA868" s="34"/>
      <c r="BB868" s="34"/>
      <c r="BC868" s="34"/>
    </row>
    <row r="869" spans="3:55" ht="12.95" customHeight="1">
      <c r="J869" s="45" t="s">
        <v>519</v>
      </c>
      <c r="K869" s="5"/>
      <c r="L869" s="5"/>
      <c r="M869" s="5"/>
      <c r="N869" s="5"/>
      <c r="O869" s="5"/>
      <c r="P869" s="5"/>
      <c r="Q869" s="5"/>
      <c r="R869" s="5"/>
      <c r="S869" s="5"/>
      <c r="T869" s="5"/>
      <c r="U869" s="5"/>
      <c r="V869" s="46"/>
      <c r="W869" s="1655">
        <v>18000</v>
      </c>
      <c r="X869" s="1655"/>
      <c r="Y869" s="1655"/>
      <c r="Z869" s="1655"/>
      <c r="AA869" s="1655"/>
      <c r="AB869" s="1655"/>
      <c r="AC869" s="1655"/>
      <c r="AU869" s="4"/>
      <c r="AZ869" s="34"/>
      <c r="BA869" s="34"/>
      <c r="BB869" s="34"/>
      <c r="BC869" s="34"/>
    </row>
    <row r="870" spans="3:55" ht="12.95" customHeight="1">
      <c r="J870" s="45" t="s">
        <v>518</v>
      </c>
      <c r="K870" s="5"/>
      <c r="L870" s="5"/>
      <c r="M870" s="5"/>
      <c r="N870" s="5"/>
      <c r="O870" s="5"/>
      <c r="P870" s="5"/>
      <c r="Q870" s="5"/>
      <c r="R870" s="5"/>
      <c r="S870" s="5"/>
      <c r="T870" s="5"/>
      <c r="U870" s="5"/>
      <c r="V870" s="46"/>
      <c r="W870" s="1655">
        <v>15000</v>
      </c>
      <c r="X870" s="1655"/>
      <c r="Y870" s="1655"/>
      <c r="Z870" s="1655"/>
      <c r="AA870" s="1655"/>
      <c r="AB870" s="1655"/>
      <c r="AC870" s="1655"/>
      <c r="AU870" s="4"/>
      <c r="AZ870" s="34"/>
      <c r="BA870" s="34"/>
      <c r="BB870" s="34"/>
      <c r="BC870" s="34"/>
    </row>
    <row r="871" spans="3:55" ht="12.95" customHeight="1">
      <c r="J871" s="45" t="s">
        <v>170</v>
      </c>
      <c r="K871" s="5"/>
      <c r="L871" s="5"/>
      <c r="M871" s="1659" t="s">
        <v>334</v>
      </c>
      <c r="N871" s="1660"/>
      <c r="O871" s="1660"/>
      <c r="P871" s="1660"/>
      <c r="Q871" s="1660"/>
      <c r="R871" s="1660"/>
      <c r="S871" s="1660"/>
      <c r="T871" s="1660"/>
      <c r="U871" s="1660"/>
      <c r="V871" s="1661"/>
      <c r="W871" s="1655"/>
      <c r="X871" s="1655"/>
      <c r="Y871" s="1655"/>
      <c r="Z871" s="1655"/>
      <c r="AA871" s="1655"/>
      <c r="AB871" s="1655"/>
      <c r="AC871" s="1655"/>
      <c r="AD871" s="534"/>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615">
        <f>SUM(W865:AC871)</f>
        <v>113000</v>
      </c>
      <c r="X872" s="1615"/>
      <c r="Y872" s="1615"/>
      <c r="Z872" s="1615"/>
      <c r="AA872" s="1615"/>
      <c r="AB872" s="1615"/>
      <c r="AC872" s="1615"/>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1243</v>
      </c>
      <c r="J874" s="45" t="s">
        <v>170</v>
      </c>
      <c r="K874" s="5"/>
      <c r="L874" s="5"/>
      <c r="M874" s="1659" t="s">
        <v>2736</v>
      </c>
      <c r="N874" s="1660"/>
      <c r="O874" s="1660"/>
      <c r="P874" s="1660"/>
      <c r="Q874" s="1660"/>
      <c r="R874" s="1660"/>
      <c r="S874" s="1660"/>
      <c r="T874" s="1660"/>
      <c r="U874" s="1660"/>
      <c r="V874" s="1661"/>
      <c r="W874" s="1439"/>
      <c r="X874" s="1340"/>
      <c r="Y874" s="1340"/>
      <c r="Z874" s="1340"/>
      <c r="AA874" s="1340"/>
      <c r="AB874" s="1340"/>
      <c r="AC874" s="1341"/>
      <c r="AD874" s="534"/>
      <c r="AV874" s="14"/>
      <c r="AW874" s="14"/>
      <c r="AX874" s="14"/>
      <c r="AY874" s="14"/>
      <c r="AZ874" s="34"/>
      <c r="BA874" s="34"/>
      <c r="BB874" s="34"/>
      <c r="BC874" s="34"/>
    </row>
    <row r="875" spans="3:55" ht="12.95" customHeight="1">
      <c r="C875" s="2" t="s">
        <v>1244</v>
      </c>
      <c r="J875" s="45" t="s">
        <v>170</v>
      </c>
      <c r="K875" s="5"/>
      <c r="L875" s="5"/>
      <c r="M875" s="1659" t="s">
        <v>334</v>
      </c>
      <c r="N875" s="1660"/>
      <c r="O875" s="1660"/>
      <c r="P875" s="1660"/>
      <c r="Q875" s="1660"/>
      <c r="R875" s="1660"/>
      <c r="S875" s="1660"/>
      <c r="T875" s="1660"/>
      <c r="U875" s="1660"/>
      <c r="V875" s="1661"/>
      <c r="W875" s="1439"/>
      <c r="X875" s="1340"/>
      <c r="Y875" s="1340"/>
      <c r="Z875" s="1340"/>
      <c r="AA875" s="1340"/>
      <c r="AB875" s="1340"/>
      <c r="AC875" s="1341"/>
      <c r="AD875" s="534"/>
      <c r="AV875" s="14"/>
      <c r="AW875" s="14"/>
      <c r="AX875" s="14"/>
      <c r="AY875" s="14"/>
      <c r="AZ875" s="34"/>
      <c r="BA875" s="34"/>
      <c r="BB875" s="34"/>
      <c r="BC875" s="34"/>
    </row>
    <row r="876" spans="3:55" ht="12.95" customHeight="1">
      <c r="J876" s="45" t="s">
        <v>170</v>
      </c>
      <c r="K876" s="5"/>
      <c r="L876" s="5"/>
      <c r="M876" s="1659" t="s">
        <v>334</v>
      </c>
      <c r="N876" s="1660"/>
      <c r="O876" s="1660"/>
      <c r="P876" s="1660"/>
      <c r="Q876" s="1660"/>
      <c r="R876" s="1660"/>
      <c r="S876" s="1660"/>
      <c r="T876" s="1660"/>
      <c r="U876" s="1660"/>
      <c r="V876" s="1661"/>
      <c r="W876" s="1439"/>
      <c r="X876" s="1340"/>
      <c r="Y876" s="1340"/>
      <c r="Z876" s="1340"/>
      <c r="AA876" s="1340"/>
      <c r="AB876" s="1340"/>
      <c r="AC876" s="1341"/>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659" t="s">
        <v>334</v>
      </c>
      <c r="N877" s="1660"/>
      <c r="O877" s="1660"/>
      <c r="P877" s="1660"/>
      <c r="Q877" s="1660"/>
      <c r="R877" s="1660"/>
      <c r="S877" s="1660"/>
      <c r="T877" s="1660"/>
      <c r="U877" s="1660"/>
      <c r="V877" s="1661"/>
      <c r="W877" s="1439"/>
      <c r="X877" s="1340"/>
      <c r="Y877" s="1340"/>
      <c r="Z877" s="1340"/>
      <c r="AA877" s="1340"/>
      <c r="AB877" s="1340"/>
      <c r="AC877" s="1341"/>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659" t="s">
        <v>334</v>
      </c>
      <c r="N878" s="1660"/>
      <c r="O878" s="1660"/>
      <c r="P878" s="1660"/>
      <c r="Q878" s="1660"/>
      <c r="R878" s="1660"/>
      <c r="S878" s="1660"/>
      <c r="T878" s="1660"/>
      <c r="U878" s="1660"/>
      <c r="V878" s="1661"/>
      <c r="W878" s="1439"/>
      <c r="X878" s="1340"/>
      <c r="Y878" s="1340"/>
      <c r="Z878" s="1340"/>
      <c r="AA878" s="1340"/>
      <c r="AB878" s="1340"/>
      <c r="AC878" s="1341"/>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436">
        <f>SUM(W874:AC878)</f>
        <v>0</v>
      </c>
      <c r="X879" s="1437"/>
      <c r="Y879" s="1437"/>
      <c r="Z879" s="1437"/>
      <c r="AA879" s="1437"/>
      <c r="AB879" s="1437"/>
      <c r="AC879" s="1438"/>
      <c r="AL879" s="14"/>
      <c r="AM879" s="14"/>
      <c r="AN879" s="14"/>
      <c r="AO879" s="14"/>
      <c r="AP879" s="14"/>
      <c r="AQ879" s="14"/>
      <c r="AR879" s="14"/>
      <c r="AS879" s="14"/>
      <c r="AT879" s="14"/>
      <c r="AV879" s="4"/>
      <c r="AW879" s="4"/>
      <c r="AX879" s="4"/>
      <c r="AY879" s="4"/>
      <c r="AZ879" s="34"/>
      <c r="BA879" s="34"/>
      <c r="BB879" s="34"/>
      <c r="BC879" s="34"/>
    </row>
    <row r="880" spans="3:55" ht="12.95" customHeight="1">
      <c r="E880" s="513"/>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4"/>
      <c r="J881" s="534"/>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3"/>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4" t="s">
        <v>277</v>
      </c>
      <c r="AC883" s="1437">
        <f>W847+W855+W862+W863+W872+W879+W849</f>
        <v>720302</v>
      </c>
      <c r="AD883" s="1437"/>
      <c r="AE883" s="1437"/>
      <c r="AF883" s="1437"/>
      <c r="AG883" s="1437"/>
      <c r="AH883" s="1438"/>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4" t="s">
        <v>511</v>
      </c>
      <c r="AC884" s="1662">
        <f>O797+O777+G753</f>
        <v>86</v>
      </c>
      <c r="AD884" s="1662"/>
      <c r="AE884" s="1662"/>
      <c r="AF884" s="1662"/>
      <c r="AG884" s="1662"/>
      <c r="AH884" s="1663"/>
      <c r="AL884" s="4"/>
      <c r="AM884" s="4"/>
      <c r="AN884" s="4"/>
      <c r="AO884" s="4"/>
      <c r="AP884" s="4"/>
      <c r="AQ884" s="4"/>
      <c r="AR884" s="4"/>
      <c r="AS884" s="4"/>
      <c r="AT884" s="4"/>
      <c r="AZ884" s="34"/>
      <c r="BA884" s="34"/>
      <c r="BB884" s="34"/>
      <c r="BC884" s="34"/>
    </row>
    <row r="885" spans="3:55" ht="12.95" customHeight="1">
      <c r="C885" s="41"/>
      <c r="D885" s="42"/>
      <c r="E885" s="1720" t="s">
        <v>32</v>
      </c>
      <c r="F885" s="1720"/>
      <c r="G885" s="1720"/>
      <c r="H885" s="1720"/>
      <c r="I885" s="1720"/>
      <c r="J885" s="1720"/>
      <c r="K885" s="1720"/>
      <c r="L885" s="1720"/>
      <c r="M885" s="1720"/>
      <c r="N885" s="1720"/>
      <c r="O885" s="1720"/>
      <c r="P885" s="1720"/>
      <c r="Q885" s="1720"/>
      <c r="R885" s="1720"/>
      <c r="S885" s="1720"/>
      <c r="T885" s="1720"/>
      <c r="U885" s="1720"/>
      <c r="V885" s="1720"/>
      <c r="W885" s="1720"/>
      <c r="X885" s="1720"/>
      <c r="Y885" s="1720"/>
      <c r="Z885" s="1720"/>
      <c r="AA885" s="1720"/>
      <c r="AB885" s="1721"/>
      <c r="AC885" s="1615">
        <f>IF(ISERROR((ROUNDDOWN(AC883/AC884,0))),0,(ROUNDDOWN(AC883/AC884,0)))</f>
        <v>8375</v>
      </c>
      <c r="AD885" s="1615"/>
      <c r="AE885" s="1615"/>
      <c r="AF885" s="1615"/>
      <c r="AG885" s="1615"/>
      <c r="AH885" s="1615"/>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664">
        <f>'Sources and Uses Budget'!C75</f>
        <v>334782</v>
      </c>
      <c r="AD886" s="1665"/>
      <c r="AE886" s="1665"/>
      <c r="AF886" s="1665"/>
      <c r="AG886" s="1665"/>
      <c r="AH886" s="1665"/>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341"/>
      <c r="AD887" s="1655"/>
      <c r="AE887" s="1655"/>
      <c r="AF887" s="1655"/>
      <c r="AG887" s="1655"/>
      <c r="AH887" s="1655"/>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340">
        <v>80000</v>
      </c>
      <c r="AD888" s="1340"/>
      <c r="AE888" s="1340"/>
      <c r="AF888" s="1340"/>
      <c r="AG888" s="1340"/>
      <c r="AH888" s="1341"/>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40">
        <v>25800</v>
      </c>
      <c r="AD889" s="1340"/>
      <c r="AE889" s="1340"/>
      <c r="AF889" s="1340"/>
      <c r="AG889" s="1340"/>
      <c r="AH889" s="1341"/>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40">
        <v>9764</v>
      </c>
      <c r="AD890" s="1441"/>
      <c r="AE890" s="1441"/>
      <c r="AF890" s="1441"/>
      <c r="AG890" s="1441"/>
      <c r="AH890" s="1442"/>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40">
        <v>8000</v>
      </c>
      <c r="AD891" s="1340"/>
      <c r="AE891" s="1340"/>
      <c r="AF891" s="1340"/>
      <c r="AG891" s="1340"/>
      <c r="AH891" s="1341"/>
      <c r="AZ891" s="34"/>
      <c r="BA891" s="34"/>
      <c r="BB891" s="34"/>
      <c r="BC891" s="34"/>
    </row>
    <row r="892" spans="3:55" ht="12.95" hidden="1" customHeight="1">
      <c r="C892" s="1411" t="s">
        <v>2236</v>
      </c>
      <c r="D892" s="1412"/>
      <c r="E892" s="1412"/>
      <c r="F892" s="1412"/>
      <c r="G892" s="1412"/>
      <c r="H892" s="1412"/>
      <c r="I892" s="1412"/>
      <c r="J892" s="1412"/>
      <c r="K892" s="1412"/>
      <c r="L892" s="1412"/>
      <c r="M892" s="1412"/>
      <c r="N892" s="1412"/>
      <c r="O892" s="1412"/>
      <c r="P892" s="1412"/>
      <c r="Q892" s="1412"/>
      <c r="R892" s="1412"/>
      <c r="S892" s="1412"/>
      <c r="T892" s="1412"/>
      <c r="U892" s="1412"/>
      <c r="V892" s="1412"/>
      <c r="W892" s="1412"/>
      <c r="X892" s="1412"/>
      <c r="Y892" s="1412"/>
      <c r="Z892" s="1412"/>
      <c r="AA892" s="1412"/>
      <c r="AB892" s="1414"/>
      <c r="AC892" s="1340"/>
      <c r="AD892" s="1340"/>
      <c r="AE892" s="1340"/>
      <c r="AF892" s="1340"/>
      <c r="AG892" s="1340"/>
      <c r="AH892" s="1341"/>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340"/>
      <c r="AD893" s="1340"/>
      <c r="AE893" s="1340"/>
      <c r="AF893" s="1340"/>
      <c r="AG893" s="1340"/>
      <c r="AH893" s="1341"/>
      <c r="AZ893" s="34"/>
      <c r="BA893" s="34"/>
      <c r="BB893" s="34"/>
      <c r="BC893" s="34"/>
    </row>
    <row r="894" spans="3:55" ht="12.95" customHeight="1">
      <c r="C894" s="1679" t="s">
        <v>956</v>
      </c>
      <c r="D894" s="1680"/>
      <c r="E894" s="1680"/>
      <c r="F894" s="1680"/>
      <c r="G894" s="1680"/>
      <c r="H894" s="1680"/>
      <c r="I894" s="1680"/>
      <c r="J894" s="1680"/>
      <c r="K894" s="1680"/>
      <c r="L894" s="1680"/>
      <c r="M894" s="1680"/>
      <c r="N894" s="1680"/>
      <c r="O894" s="1680"/>
      <c r="P894" s="1680"/>
      <c r="Q894" s="1680"/>
      <c r="R894" s="1680"/>
      <c r="S894" s="1680"/>
      <c r="T894" s="1680"/>
      <c r="U894" s="1680"/>
      <c r="V894" s="1680"/>
      <c r="W894" s="1680"/>
      <c r="X894" s="1680"/>
      <c r="Y894" s="1680"/>
      <c r="Z894" s="1680"/>
      <c r="AA894" s="1680"/>
      <c r="AB894" s="1681"/>
      <c r="AC894" s="1655"/>
      <c r="AD894" s="1655"/>
      <c r="AE894" s="1655"/>
      <c r="AF894" s="1655"/>
      <c r="AG894" s="1655"/>
      <c r="AH894" s="1655"/>
      <c r="AZ894" s="34"/>
      <c r="BA894" s="34"/>
      <c r="BB894" s="34"/>
      <c r="BC894" s="34"/>
    </row>
    <row r="895" spans="3:55" ht="12.95" customHeight="1">
      <c r="C895" s="1679" t="s">
        <v>956</v>
      </c>
      <c r="D895" s="1680"/>
      <c r="E895" s="1680"/>
      <c r="F895" s="1680"/>
      <c r="G895" s="1680"/>
      <c r="H895" s="1680"/>
      <c r="I895" s="1680"/>
      <c r="J895" s="1680"/>
      <c r="K895" s="1680"/>
      <c r="L895" s="1680"/>
      <c r="M895" s="1680"/>
      <c r="N895" s="1680"/>
      <c r="O895" s="1680"/>
      <c r="P895" s="1680"/>
      <c r="Q895" s="1680"/>
      <c r="R895" s="1680"/>
      <c r="S895" s="1680"/>
      <c r="T895" s="1680"/>
      <c r="U895" s="1680"/>
      <c r="V895" s="1680"/>
      <c r="W895" s="1680"/>
      <c r="X895" s="1680"/>
      <c r="Y895" s="1680"/>
      <c r="Z895" s="1680"/>
      <c r="AA895" s="1680"/>
      <c r="AB895" s="1681"/>
      <c r="AC895" s="1655"/>
      <c r="AD895" s="1655"/>
      <c r="AE895" s="1655"/>
      <c r="AF895" s="1655"/>
      <c r="AG895" s="1655"/>
      <c r="AH895" s="1655"/>
      <c r="AU895" s="95"/>
      <c r="AZ895" s="34"/>
      <c r="BA895" s="34"/>
      <c r="BB895" s="34"/>
      <c r="BC895" s="34"/>
    </row>
    <row r="896" spans="3:55" ht="12.95" customHeight="1">
      <c r="E896" s="513"/>
      <c r="AB896" s="56"/>
      <c r="AC896" s="123"/>
      <c r="AD896" s="123"/>
      <c r="AE896" s="123"/>
      <c r="AF896" s="123"/>
      <c r="AG896" s="123"/>
      <c r="AH896" s="123"/>
      <c r="AU896" s="95"/>
      <c r="AZ896" s="34"/>
      <c r="BA896" s="34"/>
      <c r="BB896" s="34"/>
      <c r="BC896" s="34"/>
    </row>
    <row r="897" spans="1:58" ht="12.95" customHeight="1">
      <c r="A897" s="2" t="s">
        <v>613</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4"/>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39"/>
      <c r="AA899" s="1340"/>
      <c r="AB899" s="1340"/>
      <c r="AC899" s="1340"/>
      <c r="AD899" s="1340"/>
      <c r="AE899" s="1341"/>
      <c r="AF899" s="534"/>
      <c r="AZ899" s="34"/>
      <c r="BB899" s="30"/>
      <c r="BC899" s="817"/>
      <c r="BD899" s="1652"/>
      <c r="BE899" s="1652"/>
      <c r="BF899" s="14"/>
    </row>
    <row r="900" spans="1:58" ht="12.95" customHeight="1">
      <c r="H900" s="121" t="s">
        <v>239</v>
      </c>
      <c r="I900" s="5"/>
      <c r="J900" s="5"/>
      <c r="K900" s="5"/>
      <c r="L900" s="5"/>
      <c r="M900" s="5"/>
      <c r="N900" s="5"/>
      <c r="O900" s="5"/>
      <c r="P900" s="5"/>
      <c r="Q900" s="5"/>
      <c r="R900" s="5"/>
      <c r="S900" s="5"/>
      <c r="T900" s="5"/>
      <c r="U900" s="5"/>
      <c r="V900" s="5"/>
      <c r="W900" s="5"/>
      <c r="X900" s="5"/>
      <c r="Y900" s="5"/>
      <c r="Z900" s="1439"/>
      <c r="AA900" s="1340"/>
      <c r="AB900" s="1340"/>
      <c r="AC900" s="1340"/>
      <c r="AD900" s="1340"/>
      <c r="AE900" s="1341"/>
      <c r="AZ900" s="34"/>
      <c r="BB900" s="30"/>
      <c r="BC900" s="817"/>
      <c r="BD900" s="1652"/>
      <c r="BE900" s="1652"/>
      <c r="BF900" s="14"/>
    </row>
    <row r="901" spans="1:58" ht="12.95" customHeight="1">
      <c r="H901" s="121" t="s">
        <v>240</v>
      </c>
      <c r="I901" s="5"/>
      <c r="J901" s="5"/>
      <c r="K901" s="5"/>
      <c r="L901" s="5"/>
      <c r="M901" s="5"/>
      <c r="N901" s="5"/>
      <c r="O901" s="5"/>
      <c r="P901" s="5"/>
      <c r="Q901" s="5"/>
      <c r="R901" s="5"/>
      <c r="S901" s="5"/>
      <c r="T901" s="5"/>
      <c r="U901" s="5"/>
      <c r="V901" s="5"/>
      <c r="W901" s="5"/>
      <c r="X901" s="5"/>
      <c r="Y901" s="5"/>
      <c r="Z901" s="1439"/>
      <c r="AA901" s="1340"/>
      <c r="AB901" s="1340"/>
      <c r="AC901" s="1340"/>
      <c r="AD901" s="1340"/>
      <c r="AE901" s="1341"/>
      <c r="AZ901" s="34"/>
      <c r="BB901" s="30"/>
      <c r="BC901" s="817"/>
      <c r="BD901" s="1651"/>
      <c r="BE901" s="1651"/>
      <c r="BF901" s="14"/>
    </row>
    <row r="902" spans="1:58" ht="12.95" customHeight="1">
      <c r="H902" s="45"/>
      <c r="I902" s="5"/>
      <c r="J902" s="5"/>
      <c r="K902" s="5"/>
      <c r="L902" s="5"/>
      <c r="M902" s="5"/>
      <c r="N902" s="5"/>
      <c r="O902" s="5"/>
      <c r="P902" s="5"/>
      <c r="Q902" s="5"/>
      <c r="R902" s="5"/>
      <c r="S902" s="5"/>
      <c r="T902" s="5"/>
      <c r="U902" s="5"/>
      <c r="V902" s="5"/>
      <c r="W902" s="5"/>
      <c r="X902" s="5"/>
      <c r="Y902" s="181" t="s">
        <v>241</v>
      </c>
      <c r="Z902" s="1436">
        <f>Z899-(Z900+Z901)</f>
        <v>0</v>
      </c>
      <c r="AA902" s="1437"/>
      <c r="AB902" s="1437"/>
      <c r="AC902" s="1437"/>
      <c r="AD902" s="1437"/>
      <c r="AE902" s="1438"/>
      <c r="AZ902" s="34"/>
      <c r="BB902" s="30"/>
      <c r="BC902" s="817"/>
      <c r="BD902" s="1651"/>
      <c r="BE902" s="1651"/>
      <c r="BF902" s="14"/>
    </row>
    <row r="903" spans="1:58" ht="12.95" customHeight="1">
      <c r="C903" s="513"/>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7"/>
      <c r="BD903" s="1651"/>
      <c r="BE903" s="1651"/>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7"/>
      <c r="BD904" s="1652"/>
      <c r="BE904" s="1651"/>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7"/>
      <c r="BD905" s="1672"/>
      <c r="BE905" s="1672"/>
      <c r="BF905" s="1672"/>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7"/>
      <c r="BD906" s="1671"/>
      <c r="BE906" s="1671"/>
      <c r="BF906" s="1671"/>
    </row>
    <row r="907" spans="1:58" ht="12.95" customHeight="1">
      <c r="C907" s="341"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7"/>
      <c r="BD907" s="1651"/>
      <c r="BE907" s="1651"/>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7"/>
      <c r="BD908" s="1652"/>
      <c r="BE908" s="1651"/>
      <c r="BF908" s="14"/>
    </row>
    <row r="909" spans="1:58" ht="12.95" customHeight="1">
      <c r="AZ909" s="34"/>
      <c r="BB909" s="30"/>
      <c r="BC909" s="817"/>
    </row>
    <row r="910" spans="1:58" ht="12.95" customHeight="1">
      <c r="A910" s="1537" t="s">
        <v>96</v>
      </c>
      <c r="B910" s="1537"/>
      <c r="C910" s="1537"/>
      <c r="D910" s="1537"/>
      <c r="E910" s="1537"/>
      <c r="F910" s="1537"/>
      <c r="G910" s="1537"/>
      <c r="H910" s="1537"/>
      <c r="I910" s="1537"/>
      <c r="J910" s="1537"/>
      <c r="K910" s="1537"/>
      <c r="L910" s="1537"/>
      <c r="M910" s="1537"/>
      <c r="N910" s="1537"/>
      <c r="O910" s="1537"/>
      <c r="P910" s="1537"/>
      <c r="Q910" s="1537"/>
      <c r="R910" s="1537"/>
      <c r="S910" s="1537"/>
      <c r="T910" s="1537"/>
      <c r="U910" s="1537"/>
      <c r="V910" s="1537"/>
      <c r="W910" s="1537"/>
      <c r="X910" s="1537"/>
      <c r="Y910" s="1537"/>
      <c r="Z910" s="1537"/>
      <c r="AA910" s="1537"/>
      <c r="AB910" s="1537"/>
      <c r="AC910" s="1537"/>
      <c r="AD910" s="1537"/>
      <c r="AE910" s="1537"/>
      <c r="AF910" s="1537"/>
      <c r="AG910" s="1537"/>
      <c r="AH910" s="1537"/>
      <c r="AI910" s="1537"/>
      <c r="AJ910" s="1537"/>
      <c r="AK910" s="1537"/>
      <c r="AL910" s="1537"/>
      <c r="AM910" s="1537"/>
      <c r="AN910" s="1537"/>
      <c r="AO910" s="1537"/>
      <c r="AP910" s="1537"/>
      <c r="AQ910" s="1537"/>
      <c r="AR910" s="1537"/>
      <c r="AS910" s="1537"/>
      <c r="AT910" s="1537"/>
      <c r="AZ910" s="34"/>
      <c r="BA910" s="34"/>
      <c r="BB910" s="30"/>
      <c r="BC910" s="30"/>
      <c r="BD910" s="1652"/>
      <c r="BE910" s="1651"/>
      <c r="BF910" s="912"/>
    </row>
    <row r="911" spans="1:58" ht="12.95" customHeight="1">
      <c r="A911" s="1537"/>
      <c r="B911" s="1537"/>
      <c r="C911" s="1537"/>
      <c r="D911" s="1537"/>
      <c r="E911" s="1537"/>
      <c r="F911" s="1537"/>
      <c r="G911" s="1537"/>
      <c r="H911" s="1537"/>
      <c r="I911" s="1537"/>
      <c r="J911" s="1537"/>
      <c r="K911" s="1537"/>
      <c r="L911" s="1537"/>
      <c r="M911" s="1537"/>
      <c r="N911" s="1537"/>
      <c r="O911" s="1537"/>
      <c r="P911" s="1537"/>
      <c r="Q911" s="1537"/>
      <c r="R911" s="1537"/>
      <c r="S911" s="1537"/>
      <c r="T911" s="1537"/>
      <c r="U911" s="1537"/>
      <c r="V911" s="1537"/>
      <c r="W911" s="1537"/>
      <c r="X911" s="1537"/>
      <c r="Y911" s="1537"/>
      <c r="Z911" s="1537"/>
      <c r="AA911" s="1537"/>
      <c r="AB911" s="1537"/>
      <c r="AC911" s="1537"/>
      <c r="AD911" s="1537"/>
      <c r="AE911" s="1537"/>
      <c r="AF911" s="1537"/>
      <c r="AG911" s="1537"/>
      <c r="AH911" s="1537"/>
      <c r="AI911" s="1537"/>
      <c r="AJ911" s="1537"/>
      <c r="AK911" s="1537"/>
      <c r="AL911" s="1537"/>
      <c r="AM911" s="1537"/>
      <c r="AN911" s="1537"/>
      <c r="AO911" s="1537"/>
      <c r="AP911" s="1537"/>
      <c r="AQ911" s="1537"/>
      <c r="AR911" s="1537"/>
      <c r="AS911" s="1537"/>
      <c r="AT911" s="1537"/>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709" t="s">
        <v>792</v>
      </c>
      <c r="G915" s="1710"/>
      <c r="H915" s="1710"/>
      <c r="I915" s="1710"/>
      <c r="J915" s="1710"/>
      <c r="K915" s="1710"/>
      <c r="L915" s="1710"/>
      <c r="M915" s="1710"/>
      <c r="N915" s="1710"/>
      <c r="O915" s="1710"/>
      <c r="P915" s="1710"/>
      <c r="Q915" s="1710"/>
      <c r="R915" s="1710"/>
      <c r="S915" s="1710"/>
      <c r="T915" s="1711"/>
      <c r="U915" s="1764" t="s">
        <v>31</v>
      </c>
      <c r="V915" s="1666"/>
      <c r="W915" s="1666"/>
      <c r="X915" s="1666"/>
      <c r="Y915" s="1666"/>
      <c r="Z915" s="1666"/>
      <c r="AA915" s="43"/>
      <c r="AB915" s="105"/>
      <c r="AC915" s="105"/>
      <c r="AD915" s="105"/>
      <c r="AE915" s="105"/>
      <c r="AF915" s="106"/>
      <c r="AZ915" s="34"/>
      <c r="BA915" s="34"/>
      <c r="BB915" s="34"/>
      <c r="BC915" s="34"/>
    </row>
    <row r="916" spans="1:58" ht="12.95" customHeight="1">
      <c r="B916" s="2"/>
      <c r="F916" s="1765" t="s">
        <v>818</v>
      </c>
      <c r="G916" s="1766"/>
      <c r="H916" s="1766"/>
      <c r="I916" s="1766"/>
      <c r="J916" s="1766"/>
      <c r="K916" s="1766"/>
      <c r="L916" s="1766"/>
      <c r="M916" s="1766"/>
      <c r="N916" s="1766"/>
      <c r="O916" s="1766"/>
      <c r="P916" s="1766"/>
      <c r="Q916" s="1766"/>
      <c r="R916" s="1766"/>
      <c r="S916" s="1766"/>
      <c r="T916" s="1790"/>
      <c r="U916" s="1765"/>
      <c r="V916" s="1766"/>
      <c r="W916" s="1766"/>
      <c r="X916" s="1766"/>
      <c r="Y916" s="1766"/>
      <c r="Z916" s="1766"/>
      <c r="AA916" s="44"/>
      <c r="AB916" s="4"/>
      <c r="AC916" s="4"/>
      <c r="AD916" s="4"/>
      <c r="AE916" s="4"/>
      <c r="AF916" s="107"/>
      <c r="AZ916" s="34"/>
      <c r="BA916" s="34"/>
      <c r="BB916" s="34"/>
      <c r="BC916" s="34"/>
    </row>
    <row r="917" spans="1:58" ht="12.95" customHeight="1">
      <c r="B917" s="2"/>
      <c r="F917" s="1767"/>
      <c r="G917" s="1668"/>
      <c r="H917" s="1668"/>
      <c r="I917" s="1668"/>
      <c r="J917" s="1668"/>
      <c r="K917" s="1668"/>
      <c r="L917" s="1668"/>
      <c r="M917" s="1668"/>
      <c r="N917" s="1668"/>
      <c r="O917" s="1668"/>
      <c r="P917" s="1668"/>
      <c r="Q917" s="1668"/>
      <c r="R917" s="1668"/>
      <c r="S917" s="1668"/>
      <c r="T917" s="1669"/>
      <c r="U917" s="1767"/>
      <c r="V917" s="1668"/>
      <c r="W917" s="1668"/>
      <c r="X917" s="1668"/>
      <c r="Y917" s="1668"/>
      <c r="Z917" s="1668"/>
      <c r="AA917" s="108"/>
      <c r="AB917" s="1460" t="s">
        <v>391</v>
      </c>
      <c r="AC917" s="1460"/>
      <c r="AD917" s="1460"/>
      <c r="AE917" s="1460"/>
      <c r="AF917" s="109"/>
      <c r="AZ917" s="34"/>
      <c r="BA917" s="34"/>
      <c r="BB917" s="34"/>
      <c r="BC917" s="34"/>
    </row>
    <row r="918" spans="1:58" ht="12.95" customHeight="1">
      <c r="B918" s="2"/>
      <c r="F918" s="45" t="s">
        <v>758</v>
      </c>
      <c r="G918" s="48"/>
      <c r="H918" s="48"/>
      <c r="I918" s="48"/>
      <c r="J918" s="48"/>
      <c r="K918" s="48"/>
      <c r="L918" s="48"/>
      <c r="M918" s="48"/>
      <c r="N918" s="48"/>
      <c r="O918" s="48"/>
      <c r="P918" s="48"/>
      <c r="Q918" s="48"/>
      <c r="R918" s="48"/>
      <c r="S918" s="48"/>
      <c r="T918" s="49"/>
      <c r="U918" s="1642" t="s">
        <v>545</v>
      </c>
      <c r="V918" s="1400"/>
      <c r="W918" s="1400"/>
      <c r="X918" s="1400"/>
      <c r="Y918" s="1400"/>
      <c r="Z918" s="1401"/>
      <c r="AA918" s="1649">
        <f>16200000</f>
        <v>16200000</v>
      </c>
      <c r="AB918" s="1512"/>
      <c r="AC918" s="1512"/>
      <c r="AD918" s="1512"/>
      <c r="AE918" s="1512"/>
      <c r="AF918" s="1650"/>
      <c r="AZ918" s="34"/>
      <c r="BA918" s="34"/>
      <c r="BB918" s="34"/>
      <c r="BC918" s="34"/>
    </row>
    <row r="919" spans="1:58" ht="12.95" customHeight="1">
      <c r="B919" s="2"/>
      <c r="F919" s="66" t="s">
        <v>675</v>
      </c>
      <c r="G919" s="48"/>
      <c r="H919" s="48"/>
      <c r="I919" s="48"/>
      <c r="J919" s="48"/>
      <c r="K919" s="48"/>
      <c r="L919" s="48"/>
      <c r="M919" s="48"/>
      <c r="N919" s="48"/>
      <c r="O919" s="48"/>
      <c r="P919" s="48"/>
      <c r="Q919" s="48"/>
      <c r="R919" s="48"/>
      <c r="S919" s="48"/>
      <c r="T919" s="49"/>
      <c r="U919" s="1642" t="s">
        <v>591</v>
      </c>
      <c r="V919" s="1400"/>
      <c r="W919" s="1400"/>
      <c r="X919" s="1400"/>
      <c r="Y919" s="1400"/>
      <c r="Z919" s="1401"/>
      <c r="AA919" s="1649"/>
      <c r="AB919" s="1512"/>
      <c r="AC919" s="1512"/>
      <c r="AD919" s="1512"/>
      <c r="AE919" s="1512"/>
      <c r="AF919" s="1650"/>
      <c r="AZ919" s="34"/>
      <c r="BA919" s="34"/>
      <c r="BB919" s="34"/>
      <c r="BC919" s="34"/>
    </row>
    <row r="920" spans="1:58" ht="12.95" customHeight="1">
      <c r="F920" s="45" t="s">
        <v>801</v>
      </c>
      <c r="G920" s="5"/>
      <c r="H920" s="5"/>
      <c r="I920" s="5"/>
      <c r="J920" s="5"/>
      <c r="K920" s="5"/>
      <c r="L920" s="5"/>
      <c r="M920" s="5"/>
      <c r="N920" s="5"/>
      <c r="O920" s="5"/>
      <c r="P920" s="5"/>
      <c r="Q920" s="5"/>
      <c r="R920" s="5"/>
      <c r="S920" s="5"/>
      <c r="T920" s="46"/>
      <c r="U920" s="1642" t="s">
        <v>591</v>
      </c>
      <c r="V920" s="1400"/>
      <c r="W920" s="1400"/>
      <c r="X920" s="1400"/>
      <c r="Y920" s="1400"/>
      <c r="Z920" s="1401"/>
      <c r="AA920" s="1649"/>
      <c r="AB920" s="1512"/>
      <c r="AC920" s="1512"/>
      <c r="AD920" s="1512"/>
      <c r="AE920" s="1512"/>
      <c r="AF920" s="1650"/>
      <c r="AZ920" s="34"/>
      <c r="BA920" s="34"/>
      <c r="BB920" s="34"/>
      <c r="BC920" s="34"/>
    </row>
    <row r="921" spans="1:58" ht="12.95" customHeight="1">
      <c r="F921" s="45" t="s">
        <v>678</v>
      </c>
      <c r="G921" s="5"/>
      <c r="H921" s="5"/>
      <c r="I921" s="5"/>
      <c r="J921" s="5"/>
      <c r="K921" s="5"/>
      <c r="L921" s="5"/>
      <c r="M921" s="5"/>
      <c r="N921" s="5"/>
      <c r="O921" s="5"/>
      <c r="P921" s="5"/>
      <c r="Q921" s="5"/>
      <c r="R921" s="5"/>
      <c r="S921" s="5"/>
      <c r="T921" s="46"/>
      <c r="U921" s="1642" t="s">
        <v>591</v>
      </c>
      <c r="V921" s="1400"/>
      <c r="W921" s="1400"/>
      <c r="X921" s="1400"/>
      <c r="Y921" s="1400"/>
      <c r="Z921" s="1401"/>
      <c r="AA921" s="1649"/>
      <c r="AB921" s="1512"/>
      <c r="AC921" s="1512"/>
      <c r="AD921" s="1512"/>
      <c r="AE921" s="1512"/>
      <c r="AF921" s="1650"/>
      <c r="AZ921" s="34"/>
      <c r="BA921" s="34"/>
      <c r="BB921" s="34"/>
      <c r="BC921" s="34"/>
    </row>
    <row r="922" spans="1:58" ht="12.95" customHeight="1">
      <c r="F922" s="66" t="s">
        <v>786</v>
      </c>
      <c r="G922" s="5"/>
      <c r="H922" s="5"/>
      <c r="I922" s="5"/>
      <c r="J922" s="5"/>
      <c r="K922" s="5"/>
      <c r="L922" s="5"/>
      <c r="M922" s="5"/>
      <c r="N922" s="5"/>
      <c r="O922" s="5"/>
      <c r="P922" s="5"/>
      <c r="Q922" s="5"/>
      <c r="R922" s="5"/>
      <c r="S922" s="5"/>
      <c r="T922" s="46"/>
      <c r="U922" s="1642" t="s">
        <v>591</v>
      </c>
      <c r="V922" s="1400"/>
      <c r="W922" s="1400"/>
      <c r="X922" s="1400"/>
      <c r="Y922" s="1400"/>
      <c r="Z922" s="1401"/>
      <c r="AA922" s="1649"/>
      <c r="AB922" s="1512"/>
      <c r="AC922" s="1512"/>
      <c r="AD922" s="1512"/>
      <c r="AE922" s="1512"/>
      <c r="AF922" s="1650"/>
      <c r="AZ922" s="34"/>
      <c r="BA922" s="34"/>
      <c r="BB922" s="34"/>
      <c r="BC922" s="34"/>
    </row>
    <row r="923" spans="1:58" ht="12.95" customHeight="1">
      <c r="F923" s="66" t="s">
        <v>787</v>
      </c>
      <c r="G923" s="5"/>
      <c r="H923" s="5"/>
      <c r="I923" s="5"/>
      <c r="J923" s="5"/>
      <c r="K923" s="5"/>
      <c r="L923" s="5"/>
      <c r="M923" s="5"/>
      <c r="N923" s="5"/>
      <c r="O923" s="5"/>
      <c r="P923" s="5"/>
      <c r="Q923" s="5"/>
      <c r="R923" s="5"/>
      <c r="S923" s="5"/>
      <c r="T923" s="46"/>
      <c r="U923" s="1642" t="s">
        <v>591</v>
      </c>
      <c r="V923" s="1400"/>
      <c r="W923" s="1400"/>
      <c r="X923" s="1400"/>
      <c r="Y923" s="1400"/>
      <c r="Z923" s="1401"/>
      <c r="AA923" s="1649"/>
      <c r="AB923" s="1512"/>
      <c r="AC923" s="1512"/>
      <c r="AD923" s="1512"/>
      <c r="AE923" s="1512"/>
      <c r="AF923" s="1650"/>
      <c r="AZ923" s="34"/>
      <c r="BA923" s="34"/>
      <c r="BB923" s="34"/>
      <c r="BC923" s="34"/>
    </row>
    <row r="924" spans="1:58" ht="12.95" customHeight="1">
      <c r="F924" s="66" t="s">
        <v>788</v>
      </c>
      <c r="G924" s="5"/>
      <c r="H924" s="5"/>
      <c r="I924" s="5"/>
      <c r="J924" s="5"/>
      <c r="K924" s="5"/>
      <c r="L924" s="5"/>
      <c r="M924" s="5"/>
      <c r="N924" s="5"/>
      <c r="O924" s="5"/>
      <c r="P924" s="5"/>
      <c r="Q924" s="5"/>
      <c r="R924" s="5"/>
      <c r="S924" s="5"/>
      <c r="T924" s="46"/>
      <c r="U924" s="1642" t="s">
        <v>591</v>
      </c>
      <c r="V924" s="1400"/>
      <c r="W924" s="1400"/>
      <c r="X924" s="1400"/>
      <c r="Y924" s="1400"/>
      <c r="Z924" s="1401"/>
      <c r="AA924" s="1649"/>
      <c r="AB924" s="1512"/>
      <c r="AC924" s="1512"/>
      <c r="AD924" s="1512"/>
      <c r="AE924" s="1512"/>
      <c r="AF924" s="1650"/>
      <c r="AZ924" s="34"/>
      <c r="BA924" s="34"/>
      <c r="BB924" s="34"/>
      <c r="BC924" s="34"/>
    </row>
    <row r="925" spans="1:58" ht="12.95" customHeight="1">
      <c r="F925" s="45" t="s">
        <v>677</v>
      </c>
      <c r="G925" s="5"/>
      <c r="H925" s="5"/>
      <c r="I925" s="5"/>
      <c r="J925" s="5"/>
      <c r="K925" s="5"/>
      <c r="L925" s="5"/>
      <c r="M925" s="5"/>
      <c r="N925" s="5"/>
      <c r="O925" s="5"/>
      <c r="P925" s="5"/>
      <c r="Q925" s="5"/>
      <c r="R925" s="5"/>
      <c r="S925" s="5"/>
      <c r="T925" s="46"/>
      <c r="U925" s="1642" t="s">
        <v>591</v>
      </c>
      <c r="V925" s="1400"/>
      <c r="W925" s="1400"/>
      <c r="X925" s="1400"/>
      <c r="Y925" s="1400"/>
      <c r="Z925" s="1401"/>
      <c r="AA925" s="1649"/>
      <c r="AB925" s="1512"/>
      <c r="AC925" s="1512"/>
      <c r="AD925" s="1512"/>
      <c r="AE925" s="1512"/>
      <c r="AF925" s="1650"/>
      <c r="AZ925" s="34"/>
      <c r="BA925" s="34"/>
      <c r="BB925" s="34"/>
      <c r="BC925" s="34"/>
    </row>
    <row r="926" spans="1:58" ht="12.95" customHeight="1">
      <c r="F926" s="1646" t="s">
        <v>2194</v>
      </c>
      <c r="G926" s="1647"/>
      <c r="H926" s="1647"/>
      <c r="I926" s="1647"/>
      <c r="J926" s="1647"/>
      <c r="K926" s="1647"/>
      <c r="L926" s="1647"/>
      <c r="M926" s="1647"/>
      <c r="N926" s="1647"/>
      <c r="O926" s="1647"/>
      <c r="P926" s="1647"/>
      <c r="Q926" s="1647"/>
      <c r="R926" s="1647"/>
      <c r="S926" s="1647"/>
      <c r="T926" s="1648"/>
      <c r="U926" s="1642" t="s">
        <v>591</v>
      </c>
      <c r="V926" s="1400"/>
      <c r="W926" s="1400"/>
      <c r="X926" s="1400"/>
      <c r="Y926" s="1400"/>
      <c r="Z926" s="1401"/>
      <c r="AA926" s="1649"/>
      <c r="AB926" s="1512"/>
      <c r="AC926" s="1512"/>
      <c r="AD926" s="1512"/>
      <c r="AE926" s="1512"/>
      <c r="AF926" s="1650"/>
      <c r="AZ926" s="34"/>
      <c r="BA926" s="34"/>
      <c r="BB926" s="34"/>
      <c r="BC926" s="34"/>
    </row>
    <row r="927" spans="1:58" ht="12.95" customHeight="1">
      <c r="F927" s="1646" t="s">
        <v>679</v>
      </c>
      <c r="G927" s="1647"/>
      <c r="H927" s="1647"/>
      <c r="I927" s="1647"/>
      <c r="J927" s="1647"/>
      <c r="K927" s="1647"/>
      <c r="L927" s="1647"/>
      <c r="M927" s="1647"/>
      <c r="N927" s="1647"/>
      <c r="O927" s="1647"/>
      <c r="P927" s="1647"/>
      <c r="Q927" s="1647"/>
      <c r="R927" s="1647"/>
      <c r="S927" s="1647"/>
      <c r="T927" s="1648"/>
      <c r="U927" s="1642" t="s">
        <v>591</v>
      </c>
      <c r="V927" s="1400"/>
      <c r="W927" s="1400"/>
      <c r="X927" s="1400"/>
      <c r="Y927" s="1400"/>
      <c r="Z927" s="1401"/>
      <c r="AA927" s="1649"/>
      <c r="AB927" s="1512"/>
      <c r="AC927" s="1512"/>
      <c r="AD927" s="1512"/>
      <c r="AE927" s="1512"/>
      <c r="AF927" s="1650"/>
      <c r="AU927" s="2"/>
      <c r="AZ927" s="34"/>
      <c r="BA927" s="34"/>
      <c r="BB927" s="34"/>
      <c r="BC927" s="34"/>
    </row>
    <row r="928" spans="1:58" ht="12.95" customHeight="1">
      <c r="F928" s="1646" t="s">
        <v>2195</v>
      </c>
      <c r="G928" s="1647"/>
      <c r="H928" s="1647"/>
      <c r="I928" s="1647"/>
      <c r="J928" s="1647"/>
      <c r="K928" s="1647"/>
      <c r="L928" s="1647"/>
      <c r="M928" s="1647"/>
      <c r="N928" s="1647"/>
      <c r="O928" s="1647"/>
      <c r="P928" s="1647"/>
      <c r="Q928" s="1647"/>
      <c r="R928" s="1647"/>
      <c r="S928" s="1647"/>
      <c r="T928" s="1648"/>
      <c r="U928" s="1642" t="s">
        <v>591</v>
      </c>
      <c r="V928" s="1400"/>
      <c r="W928" s="1400"/>
      <c r="X928" s="1400"/>
      <c r="Y928" s="1400"/>
      <c r="Z928" s="1401"/>
      <c r="AA928" s="1649"/>
      <c r="AB928" s="1512"/>
      <c r="AC928" s="1512"/>
      <c r="AD928" s="1512"/>
      <c r="AE928" s="1512"/>
      <c r="AF928" s="1650"/>
      <c r="AU928" s="2"/>
      <c r="AZ928" s="34"/>
      <c r="BA928" s="34"/>
      <c r="BB928" s="34"/>
      <c r="BC928" s="34"/>
    </row>
    <row r="929" spans="6:55" ht="12.95" customHeight="1">
      <c r="F929" s="1646" t="s">
        <v>2196</v>
      </c>
      <c r="G929" s="1647"/>
      <c r="H929" s="1647"/>
      <c r="I929" s="1647"/>
      <c r="J929" s="1647"/>
      <c r="K929" s="1647"/>
      <c r="L929" s="1647"/>
      <c r="M929" s="1647"/>
      <c r="N929" s="1647"/>
      <c r="O929" s="1647"/>
      <c r="P929" s="1647"/>
      <c r="Q929" s="1647"/>
      <c r="R929" s="1647"/>
      <c r="S929" s="1647"/>
      <c r="T929" s="1648"/>
      <c r="U929" s="1642" t="s">
        <v>591</v>
      </c>
      <c r="V929" s="1400"/>
      <c r="W929" s="1400"/>
      <c r="X929" s="1400"/>
      <c r="Y929" s="1400"/>
      <c r="Z929" s="1401"/>
      <c r="AA929" s="1649"/>
      <c r="AB929" s="1512"/>
      <c r="AC929" s="1512"/>
      <c r="AD929" s="1512"/>
      <c r="AE929" s="1512"/>
      <c r="AF929" s="1650"/>
      <c r="AU929" s="2"/>
      <c r="AZ929" s="34"/>
      <c r="BA929" s="34"/>
      <c r="BB929" s="34"/>
      <c r="BC929" s="34"/>
    </row>
    <row r="930" spans="6:55" ht="12.95" customHeight="1">
      <c r="F930" s="1646" t="s">
        <v>2197</v>
      </c>
      <c r="G930" s="1647"/>
      <c r="H930" s="1647"/>
      <c r="I930" s="1647"/>
      <c r="J930" s="1647"/>
      <c r="K930" s="1647"/>
      <c r="L930" s="1647"/>
      <c r="M930" s="1647"/>
      <c r="N930" s="1647"/>
      <c r="O930" s="1647"/>
      <c r="P930" s="1647"/>
      <c r="Q930" s="1647"/>
      <c r="R930" s="1647"/>
      <c r="S930" s="1647"/>
      <c r="T930" s="1648"/>
      <c r="U930" s="1642" t="s">
        <v>591</v>
      </c>
      <c r="V930" s="1400"/>
      <c r="W930" s="1400"/>
      <c r="X930" s="1400"/>
      <c r="Y930" s="1400"/>
      <c r="Z930" s="1401"/>
      <c r="AA930" s="1649"/>
      <c r="AB930" s="1512"/>
      <c r="AC930" s="1512"/>
      <c r="AD930" s="1512"/>
      <c r="AE930" s="1512"/>
      <c r="AF930" s="1650"/>
      <c r="AU930" s="2"/>
      <c r="AZ930" s="34"/>
      <c r="BA930" s="34"/>
      <c r="BB930" s="34"/>
      <c r="BC930" s="34"/>
    </row>
    <row r="931" spans="6:55" ht="12.95" customHeight="1">
      <c r="F931" s="1646" t="s">
        <v>2198</v>
      </c>
      <c r="G931" s="1647"/>
      <c r="H931" s="1647"/>
      <c r="I931" s="1647"/>
      <c r="J931" s="1647"/>
      <c r="K931" s="1647"/>
      <c r="L931" s="1647"/>
      <c r="M931" s="1647"/>
      <c r="N931" s="1647"/>
      <c r="O931" s="1647"/>
      <c r="P931" s="1647"/>
      <c r="Q931" s="1647"/>
      <c r="R931" s="1647"/>
      <c r="S931" s="1647"/>
      <c r="T931" s="1648"/>
      <c r="U931" s="1642" t="s">
        <v>591</v>
      </c>
      <c r="V931" s="1400"/>
      <c r="W931" s="1400"/>
      <c r="X931" s="1400"/>
      <c r="Y931" s="1400"/>
      <c r="Z931" s="1401"/>
      <c r="AA931" s="1649"/>
      <c r="AB931" s="1512"/>
      <c r="AC931" s="1512"/>
      <c r="AD931" s="1512"/>
      <c r="AE931" s="1512"/>
      <c r="AF931" s="1650"/>
      <c r="AU931" s="2"/>
      <c r="AZ931" s="34"/>
      <c r="BA931" s="34"/>
      <c r="BB931" s="34"/>
      <c r="BC931" s="34"/>
    </row>
    <row r="932" spans="6:55" ht="12.95" customHeight="1">
      <c r="F932" s="1646" t="s">
        <v>2199</v>
      </c>
      <c r="G932" s="1647"/>
      <c r="H932" s="1647"/>
      <c r="I932" s="1647"/>
      <c r="J932" s="1647"/>
      <c r="K932" s="1647"/>
      <c r="L932" s="1647"/>
      <c r="M932" s="1647"/>
      <c r="N932" s="1647"/>
      <c r="O932" s="1647"/>
      <c r="P932" s="1647"/>
      <c r="Q932" s="1647"/>
      <c r="R932" s="1647"/>
      <c r="S932" s="1647"/>
      <c r="T932" s="1648"/>
      <c r="U932" s="1642" t="s">
        <v>591</v>
      </c>
      <c r="V932" s="1400"/>
      <c r="W932" s="1400"/>
      <c r="X932" s="1400"/>
      <c r="Y932" s="1400"/>
      <c r="Z932" s="1401"/>
      <c r="AA932" s="1649"/>
      <c r="AB932" s="1512"/>
      <c r="AC932" s="1512"/>
      <c r="AD932" s="1512"/>
      <c r="AE932" s="1512"/>
      <c r="AF932" s="1650"/>
      <c r="AZ932" s="30"/>
      <c r="BA932" s="30"/>
    </row>
    <row r="933" spans="6:55" ht="12.95" customHeight="1">
      <c r="F933" s="178" t="s">
        <v>676</v>
      </c>
      <c r="G933" s="5"/>
      <c r="H933" s="5"/>
      <c r="I933" s="5"/>
      <c r="J933" s="5"/>
      <c r="K933" s="5"/>
      <c r="L933" s="5"/>
      <c r="M933" s="5"/>
      <c r="N933" s="5"/>
      <c r="O933" s="5"/>
      <c r="P933" s="5"/>
      <c r="Q933" s="5"/>
      <c r="R933" s="5"/>
      <c r="S933" s="5"/>
      <c r="T933" s="46"/>
      <c r="U933" s="1642" t="s">
        <v>591</v>
      </c>
      <c r="V933" s="1400"/>
      <c r="W933" s="1400"/>
      <c r="X933" s="1400"/>
      <c r="Y933" s="1400"/>
      <c r="Z933" s="1401"/>
      <c r="AA933" s="1649"/>
      <c r="AB933" s="1512"/>
      <c r="AC933" s="1512"/>
      <c r="AD933" s="1512"/>
      <c r="AE933" s="1512"/>
      <c r="AF933" s="1650"/>
    </row>
    <row r="934" spans="6:55" ht="12.95" customHeight="1">
      <c r="F934" s="121" t="s">
        <v>1277</v>
      </c>
      <c r="G934" s="5"/>
      <c r="H934" s="5"/>
      <c r="I934" s="5"/>
      <c r="J934" s="5"/>
      <c r="K934" s="5"/>
      <c r="L934" s="5"/>
      <c r="M934" s="5"/>
      <c r="N934" s="5"/>
      <c r="O934" s="5"/>
      <c r="P934" s="5"/>
      <c r="Q934" s="5"/>
      <c r="R934" s="5"/>
      <c r="S934" s="5"/>
      <c r="T934" s="46"/>
      <c r="U934" s="1642" t="s">
        <v>591</v>
      </c>
      <c r="V934" s="1400"/>
      <c r="W934" s="1400"/>
      <c r="X934" s="1400"/>
      <c r="Y934" s="1400"/>
      <c r="Z934" s="1401"/>
      <c r="AA934" s="1649"/>
      <c r="AB934" s="1512"/>
      <c r="AC934" s="1512"/>
      <c r="AD934" s="1512"/>
      <c r="AE934" s="1512"/>
      <c r="AF934" s="1650"/>
      <c r="AZ934" s="30"/>
      <c r="BA934" s="14"/>
    </row>
    <row r="935" spans="6:55" ht="12.95" customHeight="1">
      <c r="F935" s="66" t="s">
        <v>802</v>
      </c>
      <c r="G935" s="5"/>
      <c r="H935" s="5"/>
      <c r="I935" s="5"/>
      <c r="J935" s="5"/>
      <c r="K935" s="5"/>
      <c r="L935" s="5"/>
      <c r="M935" s="5"/>
      <c r="N935" s="5"/>
      <c r="O935" s="5"/>
      <c r="P935" s="5"/>
      <c r="Q935" s="5"/>
      <c r="R935" s="5"/>
      <c r="S935" s="5"/>
      <c r="T935" s="46"/>
      <c r="U935" s="1642" t="s">
        <v>591</v>
      </c>
      <c r="V935" s="1400"/>
      <c r="W935" s="1400"/>
      <c r="X935" s="1400"/>
      <c r="Y935" s="1400"/>
      <c r="Z935" s="1401"/>
      <c r="AA935" s="1649"/>
      <c r="AB935" s="1512"/>
      <c r="AC935" s="1512"/>
      <c r="AD935" s="1512"/>
      <c r="AE935" s="1512"/>
      <c r="AF935" s="1650"/>
      <c r="AZ935" s="30"/>
      <c r="BA935" s="14"/>
    </row>
    <row r="936" spans="6:55" ht="12.95" customHeight="1">
      <c r="F936" s="1643" t="s">
        <v>2203</v>
      </c>
      <c r="G936" s="1644"/>
      <c r="H936" s="1644"/>
      <c r="I936" s="1644"/>
      <c r="J936" s="1644"/>
      <c r="K936" s="1644"/>
      <c r="L936" s="1644"/>
      <c r="M936" s="1644"/>
      <c r="N936" s="1644"/>
      <c r="O936" s="1644"/>
      <c r="P936" s="1644"/>
      <c r="Q936" s="1644"/>
      <c r="R936" s="1644"/>
      <c r="S936" s="1644"/>
      <c r="T936" s="1645"/>
      <c r="U936" s="1642" t="s">
        <v>591</v>
      </c>
      <c r="V936" s="1400"/>
      <c r="W936" s="1400"/>
      <c r="X936" s="1400"/>
      <c r="Y936" s="1400"/>
      <c r="Z936" s="1401"/>
      <c r="AA936" s="1649"/>
      <c r="AB936" s="1512"/>
      <c r="AC936" s="1512"/>
      <c r="AD936" s="1512"/>
      <c r="AE936" s="1512"/>
      <c r="AF936" s="1650"/>
      <c r="AZ936" s="30"/>
      <c r="BA936" s="14"/>
    </row>
    <row r="937" spans="6:55" ht="12.95" customHeight="1">
      <c r="F937" s="1643" t="s">
        <v>2204</v>
      </c>
      <c r="G937" s="1644"/>
      <c r="H937" s="1644"/>
      <c r="I937" s="1644"/>
      <c r="J937" s="1644"/>
      <c r="K937" s="1644"/>
      <c r="L937" s="1644"/>
      <c r="M937" s="1644"/>
      <c r="N937" s="1644"/>
      <c r="O937" s="1644"/>
      <c r="P937" s="1644"/>
      <c r="Q937" s="1644"/>
      <c r="R937" s="1644"/>
      <c r="S937" s="1644"/>
      <c r="T937" s="1645"/>
      <c r="U937" s="1642" t="s">
        <v>591</v>
      </c>
      <c r="V937" s="1400"/>
      <c r="W937" s="1400"/>
      <c r="X937" s="1400"/>
      <c r="Y937" s="1400"/>
      <c r="Z937" s="1401"/>
      <c r="AA937" s="1649"/>
      <c r="AB937" s="1512"/>
      <c r="AC937" s="1512"/>
      <c r="AD937" s="1512"/>
      <c r="AE937" s="1512"/>
      <c r="AF937" s="1650"/>
      <c r="AZ937" s="30"/>
      <c r="BA937" s="30"/>
    </row>
    <row r="938" spans="6:55" ht="12.95" customHeight="1">
      <c r="F938" s="1646" t="s">
        <v>2200</v>
      </c>
      <c r="G938" s="1647"/>
      <c r="H938" s="1647"/>
      <c r="I938" s="1647"/>
      <c r="J938" s="1647"/>
      <c r="K938" s="1647"/>
      <c r="L938" s="1647"/>
      <c r="M938" s="1647"/>
      <c r="N938" s="1647"/>
      <c r="O938" s="1647"/>
      <c r="P938" s="1647"/>
      <c r="Q938" s="1647"/>
      <c r="R938" s="1647"/>
      <c r="S938" s="1647"/>
      <c r="T938" s="1648"/>
      <c r="U938" s="1642" t="s">
        <v>591</v>
      </c>
      <c r="V938" s="1400"/>
      <c r="W938" s="1400"/>
      <c r="X938" s="1400"/>
      <c r="Y938" s="1400"/>
      <c r="Z938" s="1401"/>
      <c r="AA938" s="1649"/>
      <c r="AB938" s="1512"/>
      <c r="AC938" s="1512"/>
      <c r="AD938" s="1512"/>
      <c r="AE938" s="1512"/>
      <c r="AF938" s="1650"/>
      <c r="AZ938" s="30"/>
      <c r="BA938" s="30"/>
    </row>
    <row r="939" spans="6:55" ht="12.95" customHeight="1">
      <c r="F939" s="1646" t="s">
        <v>2201</v>
      </c>
      <c r="G939" s="1647"/>
      <c r="H939" s="1647"/>
      <c r="I939" s="1647"/>
      <c r="J939" s="1647"/>
      <c r="K939" s="1647"/>
      <c r="L939" s="1647"/>
      <c r="M939" s="1647"/>
      <c r="N939" s="1647"/>
      <c r="O939" s="1647"/>
      <c r="P939" s="1647"/>
      <c r="Q939" s="1647"/>
      <c r="R939" s="1647"/>
      <c r="S939" s="1647"/>
      <c r="T939" s="1648"/>
      <c r="U939" s="1642" t="s">
        <v>591</v>
      </c>
      <c r="V939" s="1400"/>
      <c r="W939" s="1400"/>
      <c r="X939" s="1400"/>
      <c r="Y939" s="1400"/>
      <c r="Z939" s="1401"/>
      <c r="AA939" s="1649"/>
      <c r="AB939" s="1512"/>
      <c r="AC939" s="1512"/>
      <c r="AD939" s="1512"/>
      <c r="AE939" s="1512"/>
      <c r="AF939" s="1650"/>
      <c r="AZ939" s="30"/>
      <c r="BA939" s="30"/>
    </row>
    <row r="940" spans="6:55" ht="12.95" customHeight="1">
      <c r="F940" s="1646" t="s">
        <v>2202</v>
      </c>
      <c r="G940" s="1647"/>
      <c r="H940" s="1647"/>
      <c r="I940" s="1647"/>
      <c r="J940" s="1647"/>
      <c r="K940" s="1647"/>
      <c r="L940" s="1647"/>
      <c r="M940" s="1647"/>
      <c r="N940" s="1647"/>
      <c r="O940" s="1647"/>
      <c r="P940" s="1647"/>
      <c r="Q940" s="1647"/>
      <c r="R940" s="1647"/>
      <c r="S940" s="1647"/>
      <c r="T940" s="1648"/>
      <c r="U940" s="1642" t="s">
        <v>591</v>
      </c>
      <c r="V940" s="1400"/>
      <c r="W940" s="1400"/>
      <c r="X940" s="1400"/>
      <c r="Y940" s="1400"/>
      <c r="Z940" s="1401"/>
      <c r="AA940" s="1649"/>
      <c r="AB940" s="1512"/>
      <c r="AC940" s="1512"/>
      <c r="AD940" s="1512"/>
      <c r="AE940" s="1512"/>
      <c r="AF940" s="1650"/>
      <c r="AZ940" s="34"/>
      <c r="BA940" s="34"/>
      <c r="BB940" s="14"/>
      <c r="BC940" s="14"/>
    </row>
    <row r="941" spans="6:55" ht="12.95" customHeight="1">
      <c r="F941" s="121" t="s">
        <v>1261</v>
      </c>
      <c r="G941" s="5"/>
      <c r="H941" s="5"/>
      <c r="I941" s="5"/>
      <c r="J941" s="5"/>
      <c r="K941" s="5"/>
      <c r="L941" s="5"/>
      <c r="M941" s="5"/>
      <c r="N941" s="5"/>
      <c r="O941" s="5"/>
      <c r="P941" s="5"/>
      <c r="Q941" s="5"/>
      <c r="R941" s="5"/>
      <c r="S941" s="5"/>
      <c r="T941" s="46"/>
      <c r="U941" s="1642" t="s">
        <v>591</v>
      </c>
      <c r="V941" s="1400"/>
      <c r="W941" s="1400"/>
      <c r="X941" s="1400"/>
      <c r="Y941" s="1400"/>
      <c r="Z941" s="1401"/>
      <c r="AA941" s="1649"/>
      <c r="AB941" s="1512"/>
      <c r="AC941" s="1512"/>
      <c r="AD941" s="1512"/>
      <c r="AE941" s="1512"/>
      <c r="AF941" s="1650"/>
      <c r="AZ941" s="34"/>
      <c r="BA941" s="34"/>
      <c r="BB941" s="14"/>
      <c r="BC941" s="14"/>
    </row>
    <row r="942" spans="6:55" ht="12.95" customHeight="1">
      <c r="F942" s="1643" t="s">
        <v>2205</v>
      </c>
      <c r="G942" s="1644"/>
      <c r="H942" s="1644"/>
      <c r="I942" s="1644"/>
      <c r="J942" s="1644"/>
      <c r="K942" s="1644"/>
      <c r="L942" s="1644"/>
      <c r="M942" s="1644"/>
      <c r="N942" s="1644"/>
      <c r="O942" s="1644"/>
      <c r="P942" s="1644"/>
      <c r="Q942" s="1644"/>
      <c r="R942" s="1644"/>
      <c r="S942" s="1644"/>
      <c r="T942" s="1645"/>
      <c r="U942" s="1642" t="s">
        <v>591</v>
      </c>
      <c r="V942" s="1400"/>
      <c r="W942" s="1400"/>
      <c r="X942" s="1400"/>
      <c r="Y942" s="1400"/>
      <c r="Z942" s="1401"/>
      <c r="AA942" s="1649"/>
      <c r="AB942" s="1512"/>
      <c r="AC942" s="1512"/>
      <c r="AD942" s="1512"/>
      <c r="AE942" s="1512"/>
      <c r="AF942" s="1650"/>
      <c r="AZ942" s="34"/>
      <c r="BA942" s="34"/>
      <c r="BB942" s="34"/>
      <c r="BC942" s="34"/>
    </row>
    <row r="943" spans="6:55" ht="12.95" customHeight="1">
      <c r="F943" s="121" t="s">
        <v>1262</v>
      </c>
      <c r="G943" s="5"/>
      <c r="H943" s="5"/>
      <c r="I943" s="5"/>
      <c r="J943" s="5"/>
      <c r="K943" s="5"/>
      <c r="L943" s="5"/>
      <c r="M943" s="5"/>
      <c r="N943" s="5"/>
      <c r="O943" s="5"/>
      <c r="P943" s="5"/>
      <c r="Q943" s="5"/>
      <c r="R943" s="5"/>
      <c r="S943" s="5"/>
      <c r="T943" s="46"/>
      <c r="U943" s="1642" t="s">
        <v>591</v>
      </c>
      <c r="V943" s="1400"/>
      <c r="W943" s="1400"/>
      <c r="X943" s="1400"/>
      <c r="Y943" s="1400"/>
      <c r="Z943" s="1401"/>
      <c r="AA943" s="1649"/>
      <c r="AB943" s="1512"/>
      <c r="AC943" s="1512"/>
      <c r="AD943" s="1512"/>
      <c r="AE943" s="1512"/>
      <c r="AF943" s="1650"/>
      <c r="AZ943" s="34"/>
      <c r="BA943" s="34"/>
      <c r="BB943" s="34"/>
      <c r="BC943" s="34"/>
    </row>
    <row r="944" spans="6:55" ht="12.95" customHeight="1">
      <c r="F944" s="1643" t="s">
        <v>2206</v>
      </c>
      <c r="G944" s="1644"/>
      <c r="H944" s="1644"/>
      <c r="I944" s="1644"/>
      <c r="J944" s="1644"/>
      <c r="K944" s="1644"/>
      <c r="L944" s="1644"/>
      <c r="M944" s="1644"/>
      <c r="N944" s="1644"/>
      <c r="O944" s="1644"/>
      <c r="P944" s="1644"/>
      <c r="Q944" s="1644"/>
      <c r="R944" s="1644"/>
      <c r="S944" s="1644"/>
      <c r="T944" s="1645"/>
      <c r="U944" s="1642" t="s">
        <v>591</v>
      </c>
      <c r="V944" s="1400"/>
      <c r="W944" s="1400"/>
      <c r="X944" s="1400"/>
      <c r="Y944" s="1400"/>
      <c r="Z944" s="1401"/>
      <c r="AA944" s="1649"/>
      <c r="AB944" s="1512"/>
      <c r="AC944" s="1512"/>
      <c r="AD944" s="1512"/>
      <c r="AE944" s="1512"/>
      <c r="AF944" s="1650"/>
      <c r="AZ944" s="34"/>
      <c r="BA944" s="34"/>
      <c r="BB944" s="34"/>
      <c r="BC944" s="34"/>
    </row>
    <row r="945" spans="1:55" ht="12.95" customHeight="1">
      <c r="F945" s="45" t="s">
        <v>806</v>
      </c>
      <c r="G945" s="5"/>
      <c r="H945" s="5"/>
      <c r="I945" s="5"/>
      <c r="J945" s="5"/>
      <c r="K945" s="5"/>
      <c r="L945" s="5"/>
      <c r="M945" s="5"/>
      <c r="N945" s="5"/>
      <c r="O945" s="5"/>
      <c r="P945" s="1642" t="s">
        <v>669</v>
      </c>
      <c r="Q945" s="1400"/>
      <c r="R945" s="1400"/>
      <c r="S945" s="1400"/>
      <c r="T945" s="1401"/>
      <c r="U945" s="1642" t="s">
        <v>591</v>
      </c>
      <c r="V945" s="1400"/>
      <c r="W945" s="1400"/>
      <c r="X945" s="1400"/>
      <c r="Y945" s="1400"/>
      <c r="Z945" s="1401"/>
      <c r="AA945" s="1649"/>
      <c r="AB945" s="1512"/>
      <c r="AC945" s="1512"/>
      <c r="AD945" s="1512"/>
      <c r="AE945" s="1512"/>
      <c r="AF945" s="1650"/>
      <c r="AZ945" s="34"/>
      <c r="BA945" s="34"/>
      <c r="BB945" s="34"/>
      <c r="BC945" s="34"/>
    </row>
    <row r="946" spans="1:55" ht="12.95" customHeight="1">
      <c r="F946" s="1646" t="s">
        <v>2193</v>
      </c>
      <c r="G946" s="1647"/>
      <c r="H946" s="1648"/>
      <c r="I946" s="1659" t="s">
        <v>334</v>
      </c>
      <c r="J946" s="1660"/>
      <c r="K946" s="1660"/>
      <c r="L946" s="1660"/>
      <c r="M946" s="1660"/>
      <c r="N946" s="1660"/>
      <c r="O946" s="1660"/>
      <c r="P946" s="1660"/>
      <c r="Q946" s="1660"/>
      <c r="R946" s="1660"/>
      <c r="S946" s="1660"/>
      <c r="T946" s="1661"/>
      <c r="U946" s="1642" t="s">
        <v>591</v>
      </c>
      <c r="V946" s="1400"/>
      <c r="W946" s="1400"/>
      <c r="X946" s="1400"/>
      <c r="Y946" s="1400"/>
      <c r="Z946" s="1401"/>
      <c r="AA946" s="1649"/>
      <c r="AB946" s="1512"/>
      <c r="AC946" s="1512"/>
      <c r="AD946" s="1512"/>
      <c r="AE946" s="1512"/>
      <c r="AF946" s="1650"/>
      <c r="AZ946" s="34"/>
      <c r="BA946" s="34"/>
      <c r="BB946" s="34"/>
      <c r="BC946" s="34"/>
    </row>
    <row r="947" spans="1:55" ht="12.95" customHeight="1">
      <c r="F947" s="45" t="s">
        <v>86</v>
      </c>
      <c r="G947" s="48"/>
      <c r="H947" s="48"/>
      <c r="I947" s="1659" t="s">
        <v>334</v>
      </c>
      <c r="J947" s="1660"/>
      <c r="K947" s="1660"/>
      <c r="L947" s="1660"/>
      <c r="M947" s="1660"/>
      <c r="N947" s="1660"/>
      <c r="O947" s="1660"/>
      <c r="P947" s="1660"/>
      <c r="Q947" s="1660"/>
      <c r="R947" s="1660"/>
      <c r="S947" s="1660"/>
      <c r="T947" s="1661"/>
      <c r="U947" s="1642" t="s">
        <v>591</v>
      </c>
      <c r="V947" s="1400"/>
      <c r="W947" s="1400"/>
      <c r="X947" s="1400"/>
      <c r="Y947" s="1400"/>
      <c r="Z947" s="1401"/>
      <c r="AA947" s="1649"/>
      <c r="AB947" s="1512"/>
      <c r="AC947" s="1512"/>
      <c r="AD947" s="1512"/>
      <c r="AE947" s="1512"/>
      <c r="AF947" s="1650"/>
      <c r="AZ947" s="34"/>
      <c r="BA947" s="34"/>
      <c r="BB947" s="34"/>
      <c r="BC947" s="34"/>
    </row>
    <row r="948" spans="1:55" ht="12.95" customHeight="1">
      <c r="F948" s="45" t="s">
        <v>10</v>
      </c>
      <c r="G948" s="48"/>
      <c r="H948" s="48"/>
      <c r="I948" s="1659" t="s">
        <v>2612</v>
      </c>
      <c r="J948" s="1706"/>
      <c r="K948" s="1706"/>
      <c r="L948" s="1706"/>
      <c r="M948" s="1706"/>
      <c r="N948" s="1706"/>
      <c r="O948" s="1706"/>
      <c r="P948" s="1706"/>
      <c r="Q948" s="1706"/>
      <c r="R948" s="1706"/>
      <c r="S948" s="1706"/>
      <c r="T948" s="1707"/>
      <c r="U948" s="1642" t="s">
        <v>545</v>
      </c>
      <c r="V948" s="1400"/>
      <c r="W948" s="1400"/>
      <c r="X948" s="1400"/>
      <c r="Y948" s="1400"/>
      <c r="Z948" s="1401"/>
      <c r="AA948" s="1649">
        <f>AO629</f>
        <v>9501778</v>
      </c>
      <c r="AB948" s="1512"/>
      <c r="AC948" s="1512"/>
      <c r="AD948" s="1512"/>
      <c r="AE948" s="1512"/>
      <c r="AF948" s="1650"/>
      <c r="AV948" s="2"/>
      <c r="AW948" s="2"/>
      <c r="AX948" s="2"/>
      <c r="AY948" s="2"/>
      <c r="AZ948" s="34"/>
      <c r="BA948" s="34"/>
      <c r="BB948" s="34"/>
      <c r="BC948" s="34"/>
    </row>
    <row r="949" spans="1:55" ht="12.95" customHeight="1">
      <c r="F949" s="47" t="s">
        <v>170</v>
      </c>
      <c r="G949" s="48"/>
      <c r="H949" s="48"/>
      <c r="I949" s="1722" t="s">
        <v>334</v>
      </c>
      <c r="J949" s="1706"/>
      <c r="K949" s="1706"/>
      <c r="L949" s="1706"/>
      <c r="M949" s="1706"/>
      <c r="N949" s="1706"/>
      <c r="O949" s="1706"/>
      <c r="P949" s="1706"/>
      <c r="Q949" s="1706"/>
      <c r="R949" s="1706"/>
      <c r="S949" s="1706"/>
      <c r="T949" s="1707"/>
      <c r="U949" s="1642" t="s">
        <v>591</v>
      </c>
      <c r="V949" s="1400"/>
      <c r="W949" s="1400"/>
      <c r="X949" s="1400"/>
      <c r="Y949" s="1400"/>
      <c r="Z949" s="1401"/>
      <c r="AA949" s="1649"/>
      <c r="AB949" s="1512"/>
      <c r="AC949" s="1512"/>
      <c r="AD949" s="1512"/>
      <c r="AE949" s="1512"/>
      <c r="AF949" s="1650"/>
      <c r="AU949" s="2"/>
      <c r="AZ949" s="34"/>
      <c r="BA949" s="34"/>
      <c r="BB949" s="34"/>
      <c r="BC949" s="34"/>
    </row>
    <row r="950" spans="1:55" ht="12.95" customHeight="1">
      <c r="F950" s="47" t="s">
        <v>170</v>
      </c>
      <c r="G950" s="48"/>
      <c r="H950" s="48"/>
      <c r="I950" s="1722" t="s">
        <v>334</v>
      </c>
      <c r="J950" s="1706"/>
      <c r="K950" s="1706"/>
      <c r="L950" s="1706"/>
      <c r="M950" s="1706"/>
      <c r="N950" s="1706"/>
      <c r="O950" s="1706"/>
      <c r="P950" s="1706"/>
      <c r="Q950" s="1706"/>
      <c r="R950" s="1706"/>
      <c r="S950" s="1706"/>
      <c r="T950" s="1707"/>
      <c r="U950" s="1642" t="s">
        <v>591</v>
      </c>
      <c r="V950" s="1400"/>
      <c r="W950" s="1400"/>
      <c r="X950" s="1400"/>
      <c r="Y950" s="1400"/>
      <c r="Z950" s="1401"/>
      <c r="AA950" s="1649"/>
      <c r="AB950" s="1512"/>
      <c r="AC950" s="1512"/>
      <c r="AD950" s="1512"/>
      <c r="AE950" s="1512"/>
      <c r="AF950" s="1650"/>
      <c r="AU950" s="2"/>
      <c r="AZ950" s="34"/>
      <c r="BA950" s="34"/>
      <c r="BB950" s="34"/>
      <c r="BC950" s="34"/>
    </row>
    <row r="951" spans="1:55" ht="12.95" customHeight="1">
      <c r="AU951" s="2"/>
      <c r="AZ951" s="34"/>
      <c r="BA951" s="34"/>
      <c r="BB951" s="34"/>
      <c r="BC951" s="34"/>
    </row>
    <row r="952" spans="1:55" ht="12.95" customHeight="1">
      <c r="A952" s="2" t="s">
        <v>576</v>
      </c>
      <c r="C952" s="2" t="s">
        <v>751</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723" t="s">
        <v>591</v>
      </c>
      <c r="N955" s="1503"/>
      <c r="O955" s="1503"/>
      <c r="P955" s="1503"/>
      <c r="Q955" s="1503"/>
      <c r="R955" s="1503"/>
      <c r="S955" s="1640"/>
      <c r="U955" s="66" t="s">
        <v>11</v>
      </c>
      <c r="V955" s="5"/>
      <c r="W955" s="5"/>
      <c r="X955" s="5"/>
      <c r="Y955" s="5"/>
      <c r="Z955" s="5"/>
      <c r="AA955" s="5"/>
      <c r="AB955" s="5"/>
      <c r="AC955" s="5"/>
      <c r="AD955" s="46"/>
      <c r="AE955" s="1723" t="s">
        <v>591</v>
      </c>
      <c r="AF955" s="1503"/>
      <c r="AG955" s="1503"/>
      <c r="AH955" s="1503"/>
      <c r="AI955" s="1503"/>
      <c r="AJ955" s="1503"/>
      <c r="AK955" s="1640"/>
      <c r="AZ955" s="34"/>
      <c r="BA955" s="34"/>
      <c r="BB955" s="34"/>
      <c r="BC955" s="34"/>
    </row>
    <row r="956" spans="1:55" ht="12.95" customHeight="1">
      <c r="C956" s="66" t="s">
        <v>12</v>
      </c>
      <c r="D956" s="5"/>
      <c r="E956" s="5"/>
      <c r="F956" s="5"/>
      <c r="G956" s="5"/>
      <c r="H956" s="5"/>
      <c r="I956" s="5"/>
      <c r="J956" s="5"/>
      <c r="K956" s="5"/>
      <c r="L956" s="46"/>
      <c r="M956" s="1463"/>
      <c r="N956" s="1499"/>
      <c r="O956" s="1499"/>
      <c r="P956" s="1499"/>
      <c r="Q956" s="1499"/>
      <c r="R956" s="1499"/>
      <c r="S956" s="1670"/>
      <c r="U956" s="66" t="s">
        <v>12</v>
      </c>
      <c r="V956" s="5"/>
      <c r="W956" s="5"/>
      <c r="X956" s="5"/>
      <c r="Y956" s="5"/>
      <c r="Z956" s="5"/>
      <c r="AA956" s="5"/>
      <c r="AB956" s="5"/>
      <c r="AC956" s="5"/>
      <c r="AD956" s="46"/>
      <c r="AE956" s="1463"/>
      <c r="AF956" s="1499"/>
      <c r="AG956" s="1499"/>
      <c r="AH956" s="1499"/>
      <c r="AI956" s="1499"/>
      <c r="AJ956" s="1499"/>
      <c r="AK956" s="1670"/>
      <c r="AZ956" s="34"/>
      <c r="BA956" s="34"/>
      <c r="BB956" s="34"/>
      <c r="BC956" s="34"/>
    </row>
    <row r="957" spans="1:55" ht="12.95" customHeight="1">
      <c r="C957" s="66" t="s">
        <v>880</v>
      </c>
      <c r="D957" s="5"/>
      <c r="E957" s="5"/>
      <c r="J957" s="1815" t="s">
        <v>307</v>
      </c>
      <c r="K957" s="1816"/>
      <c r="L957" s="1816"/>
      <c r="M957" s="1816"/>
      <c r="N957" s="1816"/>
      <c r="O957" s="1816"/>
      <c r="P957" s="1816"/>
      <c r="Q957" s="1816"/>
      <c r="R957" s="1816"/>
      <c r="S957" s="1817"/>
      <c r="U957" s="66" t="s">
        <v>880</v>
      </c>
      <c r="V957" s="5"/>
      <c r="W957" s="5"/>
      <c r="AB957" s="1815" t="s">
        <v>307</v>
      </c>
      <c r="AC957" s="1816"/>
      <c r="AD957" s="1816"/>
      <c r="AE957" s="1816"/>
      <c r="AF957" s="1816"/>
      <c r="AG957" s="1816"/>
      <c r="AH957" s="1816"/>
      <c r="AI957" s="1816"/>
      <c r="AJ957" s="1816"/>
      <c r="AK957" s="1817"/>
      <c r="AZ957" s="34"/>
      <c r="BA957" s="34"/>
      <c r="BB957" s="34"/>
      <c r="BC957" s="34"/>
    </row>
    <row r="958" spans="1:55" ht="12.95" customHeight="1">
      <c r="C958" s="66" t="s">
        <v>13</v>
      </c>
      <c r="D958" s="5"/>
      <c r="E958" s="5"/>
      <c r="F958" s="5"/>
      <c r="G958" s="5"/>
      <c r="H958" s="5"/>
      <c r="I958" s="5"/>
      <c r="J958" s="5"/>
      <c r="K958" s="5"/>
      <c r="L958" s="46"/>
      <c r="M958" s="1821"/>
      <c r="N958" s="1788"/>
      <c r="O958" s="1788"/>
      <c r="P958" s="1788"/>
      <c r="Q958" s="1788"/>
      <c r="R958" s="1788"/>
      <c r="S958" s="1789"/>
      <c r="U958" s="66" t="s">
        <v>13</v>
      </c>
      <c r="V958" s="5"/>
      <c r="W958" s="5"/>
      <c r="X958" s="5"/>
      <c r="Y958" s="5"/>
      <c r="Z958" s="5"/>
      <c r="AA958" s="5"/>
      <c r="AB958" s="5"/>
      <c r="AC958" s="5"/>
      <c r="AD958" s="46"/>
      <c r="AE958" s="1787"/>
      <c r="AF958" s="1788"/>
      <c r="AG958" s="1788"/>
      <c r="AH958" s="1788"/>
      <c r="AI958" s="1788"/>
      <c r="AJ958" s="1788"/>
      <c r="AK958" s="1789"/>
      <c r="AZ958" s="34"/>
      <c r="BA958" s="34"/>
      <c r="BB958" s="34"/>
      <c r="BC958" s="34"/>
    </row>
    <row r="959" spans="1:55" ht="12.95" customHeight="1">
      <c r="C959" s="66" t="s">
        <v>14</v>
      </c>
      <c r="D959" s="5"/>
      <c r="E959" s="5"/>
      <c r="F959" s="5"/>
      <c r="G959" s="5"/>
      <c r="H959" s="5"/>
      <c r="I959" s="5"/>
      <c r="J959" s="5"/>
      <c r="K959" s="5"/>
      <c r="L959" s="46"/>
      <c r="M959" s="1733"/>
      <c r="N959" s="1619"/>
      <c r="O959" s="1619"/>
      <c r="P959" s="1619"/>
      <c r="Q959" s="1619"/>
      <c r="R959" s="1619"/>
      <c r="S959" s="1620"/>
      <c r="U959" s="66" t="s">
        <v>14</v>
      </c>
      <c r="V959" s="5"/>
      <c r="W959" s="5"/>
      <c r="X959" s="5"/>
      <c r="Y959" s="5"/>
      <c r="Z959" s="5"/>
      <c r="AA959" s="5"/>
      <c r="AB959" s="5"/>
      <c r="AC959" s="5"/>
      <c r="AD959" s="46"/>
      <c r="AE959" s="1733"/>
      <c r="AF959" s="1619"/>
      <c r="AG959" s="1619"/>
      <c r="AH959" s="1619"/>
      <c r="AI959" s="1619"/>
      <c r="AJ959" s="1619"/>
      <c r="AK959" s="1620"/>
      <c r="AV959" s="2"/>
      <c r="AW959" s="2"/>
      <c r="AX959" s="2"/>
      <c r="AY959" s="2"/>
      <c r="AZ959" s="34"/>
      <c r="BA959" s="34"/>
      <c r="BB959" s="34"/>
      <c r="BC959" s="34"/>
    </row>
    <row r="960" spans="1:55" ht="12.95" customHeight="1">
      <c r="C960" s="66" t="s">
        <v>15</v>
      </c>
      <c r="D960" s="5"/>
      <c r="E960" s="5"/>
      <c r="F960" s="5"/>
      <c r="G960" s="5"/>
      <c r="H960" s="5"/>
      <c r="I960" s="5"/>
      <c r="J960" s="5"/>
      <c r="K960" s="5"/>
      <c r="L960" s="46"/>
      <c r="M960" s="1649"/>
      <c r="N960" s="1512"/>
      <c r="O960" s="1512"/>
      <c r="P960" s="1512"/>
      <c r="Q960" s="1512"/>
      <c r="R960" s="1512"/>
      <c r="S960" s="1650"/>
      <c r="U960" s="66" t="s">
        <v>15</v>
      </c>
      <c r="V960" s="5"/>
      <c r="W960" s="5"/>
      <c r="X960" s="5"/>
      <c r="Y960" s="5"/>
      <c r="Z960" s="5"/>
      <c r="AA960" s="5"/>
      <c r="AB960" s="5"/>
      <c r="AC960" s="5"/>
      <c r="AD960" s="46"/>
      <c r="AE960" s="1649"/>
      <c r="AF960" s="1512"/>
      <c r="AG960" s="1512"/>
      <c r="AH960" s="1512"/>
      <c r="AI960" s="1512"/>
      <c r="AJ960" s="1512"/>
      <c r="AK960" s="1650"/>
      <c r="AV960" s="2"/>
      <c r="AW960" s="2"/>
      <c r="AX960" s="2"/>
      <c r="AY960" s="2"/>
      <c r="AZ960" s="34"/>
      <c r="BA960" s="34"/>
      <c r="BB960" s="34"/>
      <c r="BC960" s="34"/>
    </row>
    <row r="961" spans="1:64" ht="12.95" customHeight="1">
      <c r="C961" s="66" t="s">
        <v>16</v>
      </c>
      <c r="D961" s="5"/>
      <c r="E961" s="5"/>
      <c r="F961" s="5"/>
      <c r="G961" s="5"/>
      <c r="H961" s="5"/>
      <c r="I961" s="5"/>
      <c r="J961" s="5"/>
      <c r="K961" s="5"/>
      <c r="L961" s="46"/>
      <c r="M961" s="1649"/>
      <c r="N961" s="1512"/>
      <c r="O961" s="1512"/>
      <c r="P961" s="1512"/>
      <c r="Q961" s="1512"/>
      <c r="R961" s="1512"/>
      <c r="S961" s="1650"/>
      <c r="U961" s="66" t="s">
        <v>16</v>
      </c>
      <c r="V961" s="5"/>
      <c r="W961" s="5"/>
      <c r="X961" s="5"/>
      <c r="Y961" s="5"/>
      <c r="Z961" s="5"/>
      <c r="AA961" s="5"/>
      <c r="AB961" s="5"/>
      <c r="AC961" s="5"/>
      <c r="AD961" s="46"/>
      <c r="AE961" s="1649"/>
      <c r="AF961" s="1512"/>
      <c r="AG961" s="1512"/>
      <c r="AH961" s="1512"/>
      <c r="AI961" s="1512"/>
      <c r="AJ961" s="1512"/>
      <c r="AK961" s="1650"/>
      <c r="AV961" s="2"/>
      <c r="AW961" s="2"/>
      <c r="AX961" s="2"/>
      <c r="AY961" s="2"/>
      <c r="AZ961" s="34"/>
      <c r="BB961" s="34"/>
      <c r="BC961" s="34"/>
    </row>
    <row r="962" spans="1:64" ht="12.95" customHeight="1">
      <c r="C962" s="121" t="s">
        <v>1661</v>
      </c>
      <c r="D962" s="5"/>
      <c r="E962" s="5"/>
      <c r="F962" s="5"/>
      <c r="G962" s="5"/>
      <c r="H962" s="5"/>
      <c r="I962" s="5"/>
      <c r="J962" s="5"/>
      <c r="K962" s="5"/>
      <c r="L962" s="46"/>
      <c r="M962" s="1784"/>
      <c r="N962" s="1785"/>
      <c r="O962" s="1785"/>
      <c r="P962" s="1785"/>
      <c r="Q962" s="1785"/>
      <c r="R962" s="1785"/>
      <c r="S962" s="1786"/>
      <c r="U962" s="121" t="s">
        <v>1661</v>
      </c>
      <c r="V962" s="5"/>
      <c r="W962" s="5"/>
      <c r="X962" s="5"/>
      <c r="Y962" s="5"/>
      <c r="Z962" s="5"/>
      <c r="AA962" s="5"/>
      <c r="AB962" s="5"/>
      <c r="AC962" s="5"/>
      <c r="AD962" s="46"/>
      <c r="AE962" s="1784"/>
      <c r="AF962" s="1785"/>
      <c r="AG962" s="1785"/>
      <c r="AH962" s="1785"/>
      <c r="AI962" s="1785"/>
      <c r="AJ962" s="1785"/>
      <c r="AK962" s="1786"/>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571</v>
      </c>
      <c r="G967" s="5"/>
      <c r="H967" s="5"/>
      <c r="I967" s="5"/>
      <c r="J967" s="5"/>
      <c r="K967" s="5"/>
      <c r="L967" s="46"/>
      <c r="M967" s="1717" t="s">
        <v>591</v>
      </c>
      <c r="N967" s="1718"/>
      <c r="O967" s="1718"/>
      <c r="P967" s="1718"/>
      <c r="Q967" s="1718"/>
      <c r="R967" s="1718"/>
      <c r="S967" s="1719"/>
      <c r="T967" s="66" t="s">
        <v>790</v>
      </c>
      <c r="U967" s="5"/>
      <c r="V967" s="5"/>
      <c r="W967" s="5"/>
      <c r="X967" s="5"/>
      <c r="Y967" s="5"/>
      <c r="Z967" s="46"/>
      <c r="AA967" s="1717" t="s">
        <v>591</v>
      </c>
      <c r="AB967" s="1718"/>
      <c r="AC967" s="1718"/>
      <c r="AD967" s="1718"/>
      <c r="AE967" s="1718"/>
      <c r="AF967" s="1718"/>
      <c r="AG967" s="1719"/>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572</v>
      </c>
      <c r="G968" s="5"/>
      <c r="H968" s="5"/>
      <c r="I968" s="5"/>
      <c r="J968" s="5"/>
      <c r="K968" s="5"/>
      <c r="L968" s="46"/>
      <c r="M968" s="1717" t="s">
        <v>591</v>
      </c>
      <c r="N968" s="1718"/>
      <c r="O968" s="1718"/>
      <c r="P968" s="1718"/>
      <c r="Q968" s="1718"/>
      <c r="R968" s="1718"/>
      <c r="S968" s="1719"/>
      <c r="T968" s="66" t="s">
        <v>789</v>
      </c>
      <c r="U968" s="5"/>
      <c r="V968" s="5"/>
      <c r="W968" s="5"/>
      <c r="X968" s="5"/>
      <c r="Y968" s="5"/>
      <c r="Z968" s="46"/>
      <c r="AA968" s="1717" t="s">
        <v>591</v>
      </c>
      <c r="AB968" s="1718"/>
      <c r="AC968" s="1718"/>
      <c r="AD968" s="1718"/>
      <c r="AE968" s="1718"/>
      <c r="AF968" s="1718"/>
      <c r="AG968" s="1719"/>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901</v>
      </c>
      <c r="G969" s="5"/>
      <c r="H969" s="5"/>
      <c r="I969" s="5"/>
      <c r="J969" s="5"/>
      <c r="K969" s="5"/>
      <c r="L969" s="46"/>
      <c r="M969" s="1714" t="s">
        <v>591</v>
      </c>
      <c r="N969" s="1715"/>
      <c r="O969" s="1715"/>
      <c r="P969" s="1715"/>
      <c r="Q969" s="1715"/>
      <c r="R969" s="1715"/>
      <c r="S969" s="1716"/>
      <c r="T969" s="45" t="s">
        <v>337</v>
      </c>
      <c r="U969" s="5"/>
      <c r="V969" s="5"/>
      <c r="W969" s="5"/>
      <c r="X969" s="5"/>
      <c r="Y969" s="5"/>
      <c r="Z969" s="46"/>
      <c r="AA969" s="1717" t="s">
        <v>591</v>
      </c>
      <c r="AB969" s="1718"/>
      <c r="AC969" s="1718"/>
      <c r="AD969" s="1718"/>
      <c r="AE969" s="1718"/>
      <c r="AF969" s="1718"/>
      <c r="AG969" s="1719"/>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573</v>
      </c>
      <c r="G970" s="5"/>
      <c r="H970" s="5"/>
      <c r="I970" s="5"/>
      <c r="J970" s="5"/>
      <c r="K970" s="5"/>
      <c r="L970" s="46"/>
      <c r="M970" s="1717" t="s">
        <v>591</v>
      </c>
      <c r="N970" s="1718"/>
      <c r="O970" s="1718"/>
      <c r="P970" s="1718"/>
      <c r="Q970" s="1718"/>
      <c r="R970" s="1718"/>
      <c r="S970" s="1719"/>
      <c r="T970" s="45" t="s">
        <v>338</v>
      </c>
      <c r="U970" s="5"/>
      <c r="V970" s="5"/>
      <c r="W970" s="5"/>
      <c r="X970" s="5"/>
      <c r="Y970" s="5"/>
      <c r="Z970" s="46"/>
      <c r="AA970" s="1717" t="s">
        <v>591</v>
      </c>
      <c r="AB970" s="1718"/>
      <c r="AC970" s="1718"/>
      <c r="AD970" s="1718"/>
      <c r="AE970" s="1718"/>
      <c r="AF970" s="1718"/>
      <c r="AG970" s="1719"/>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464</v>
      </c>
      <c r="G971" s="5"/>
      <c r="H971" s="5"/>
      <c r="I971" s="5"/>
      <c r="J971" s="5"/>
      <c r="K971" s="5"/>
      <c r="L971" s="46"/>
      <c r="M971" s="1717" t="s">
        <v>591</v>
      </c>
      <c r="N971" s="1718"/>
      <c r="O971" s="1718"/>
      <c r="P971" s="1718"/>
      <c r="Q971" s="1718"/>
      <c r="R971" s="1718"/>
      <c r="S971" s="1719"/>
      <c r="T971" s="45" t="s">
        <v>376</v>
      </c>
      <c r="U971" s="5"/>
      <c r="V971" s="5"/>
      <c r="W971" s="5"/>
      <c r="X971" s="5"/>
      <c r="Y971" s="5"/>
      <c r="Z971" s="46"/>
      <c r="AA971" s="1717" t="s">
        <v>591</v>
      </c>
      <c r="AB971" s="1718"/>
      <c r="AC971" s="1718"/>
      <c r="AD971" s="1718"/>
      <c r="AE971" s="1718"/>
      <c r="AF971" s="1718"/>
      <c r="AG971" s="1719"/>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3" t="s">
        <v>880</v>
      </c>
      <c r="G972" s="42"/>
      <c r="H972" s="42"/>
      <c r="I972" s="42"/>
      <c r="J972" s="42"/>
      <c r="K972" s="42"/>
      <c r="L972" s="58"/>
      <c r="M972" s="1815" t="s">
        <v>307</v>
      </c>
      <c r="N972" s="1816"/>
      <c r="O972" s="1816"/>
      <c r="P972" s="1816"/>
      <c r="Q972" s="1816"/>
      <c r="R972" s="1816"/>
      <c r="S972" s="1817"/>
      <c r="T972" s="1771"/>
      <c r="U972" s="1772"/>
      <c r="V972" s="1772"/>
      <c r="W972" s="1772"/>
      <c r="X972" s="1772"/>
      <c r="Y972" s="1772"/>
      <c r="Z972" s="1773"/>
      <c r="AA972" s="1717"/>
      <c r="AB972" s="1718"/>
      <c r="AC972" s="1718"/>
      <c r="AD972" s="1718"/>
      <c r="AE972" s="1718"/>
      <c r="AF972" s="1718"/>
      <c r="AG972" s="1719"/>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465</v>
      </c>
      <c r="G973" s="42"/>
      <c r="H973" s="42"/>
      <c r="I973" s="42"/>
      <c r="J973" s="42"/>
      <c r="K973" s="42"/>
      <c r="L973" s="58"/>
      <c r="M973" s="1717" t="s">
        <v>591</v>
      </c>
      <c r="N973" s="1718"/>
      <c r="O973" s="1718"/>
      <c r="P973" s="1718"/>
      <c r="Q973" s="1718"/>
      <c r="R973" s="1718"/>
      <c r="S973" s="1719"/>
      <c r="T973" s="1771"/>
      <c r="U973" s="1772"/>
      <c r="V973" s="1772"/>
      <c r="W973" s="1772"/>
      <c r="X973" s="1772"/>
      <c r="Y973" s="1772"/>
      <c r="Z973" s="1773"/>
      <c r="AA973" s="1717"/>
      <c r="AB973" s="1718"/>
      <c r="AC973" s="1718"/>
      <c r="AD973" s="1718"/>
      <c r="AE973" s="1718"/>
      <c r="AF973" s="1718"/>
      <c r="AG973" s="1719"/>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419" t="s">
        <v>669</v>
      </c>
      <c r="P974" s="1421"/>
      <c r="Q974" s="92"/>
      <c r="R974" s="92"/>
      <c r="S974" s="93"/>
      <c r="T974" s="41" t="s">
        <v>170</v>
      </c>
      <c r="U974" s="42"/>
      <c r="V974" s="42"/>
      <c r="W974" s="1818" t="s">
        <v>334</v>
      </c>
      <c r="X974" s="1819"/>
      <c r="Y974" s="1819"/>
      <c r="Z974" s="1819"/>
      <c r="AA974" s="1819"/>
      <c r="AB974" s="1819"/>
      <c r="AC974" s="1819"/>
      <c r="AD974" s="1819"/>
      <c r="AE974" s="1819"/>
      <c r="AF974" s="1819"/>
      <c r="AG974" s="1820"/>
      <c r="AU974" s="68"/>
      <c r="AV974" s="95"/>
      <c r="AW974" s="95"/>
      <c r="AX974" s="95"/>
      <c r="AY974" s="95"/>
      <c r="AZ974" s="34"/>
      <c r="BB974" s="34"/>
      <c r="BC974" s="34"/>
      <c r="BD974" s="34"/>
      <c r="BE974" s="34"/>
      <c r="BF974" s="34"/>
      <c r="BG974" s="34"/>
      <c r="BH974" s="34"/>
      <c r="BI974" s="34"/>
      <c r="BJ974" s="34"/>
      <c r="BK974" s="34"/>
      <c r="BL974" s="34"/>
    </row>
    <row r="975" spans="1:64" ht="12.95" customHeight="1">
      <c r="F975" s="1617" t="s">
        <v>33</v>
      </c>
      <c r="G975" s="1489"/>
      <c r="H975" s="1489"/>
      <c r="I975" s="1489"/>
      <c r="J975" s="1489"/>
      <c r="K975" s="1489"/>
      <c r="L975" s="1489"/>
      <c r="M975" s="1717"/>
      <c r="N975" s="1718"/>
      <c r="O975" s="1718"/>
      <c r="P975" s="1718"/>
      <c r="Q975" s="1718"/>
      <c r="R975" s="1718"/>
      <c r="S975" s="1719"/>
      <c r="T975" s="47"/>
      <c r="U975" s="48"/>
      <c r="V975" s="48"/>
      <c r="W975" s="48"/>
      <c r="X975" s="48"/>
      <c r="Y975" s="48"/>
      <c r="Z975" s="124" t="s">
        <v>134</v>
      </c>
      <c r="AA975" s="1768"/>
      <c r="AB975" s="1769"/>
      <c r="AC975" s="1769"/>
      <c r="AD975" s="1769"/>
      <c r="AE975" s="1769"/>
      <c r="AF975" s="1769"/>
      <c r="AG975" s="1770"/>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51"/>
      <c r="BH976" s="1651"/>
      <c r="BI976" s="1651"/>
      <c r="BJ976" s="1651"/>
      <c r="BK976" s="1651"/>
      <c r="BL976" s="1651"/>
    </row>
    <row r="977" spans="1:64" ht="12.95" customHeight="1">
      <c r="AU977" s="68"/>
      <c r="AV977" s="68"/>
      <c r="AW977" s="68"/>
      <c r="AX977" s="68"/>
      <c r="AY977" s="68"/>
      <c r="AZ977" s="14"/>
      <c r="BA977" s="14"/>
      <c r="BB977" s="913"/>
      <c r="BC977" s="913"/>
      <c r="BD977" s="14"/>
      <c r="BE977" s="14"/>
      <c r="BF977" s="14"/>
      <c r="BG977" s="14"/>
      <c r="BH977" s="14"/>
      <c r="BI977" s="14"/>
      <c r="BJ977" s="14"/>
      <c r="BK977" s="14"/>
      <c r="BL977" s="14"/>
    </row>
    <row r="978" spans="1:64" ht="12.95" customHeight="1">
      <c r="AU978" s="68"/>
      <c r="AV978" s="68"/>
      <c r="AW978" s="68"/>
      <c r="AX978" s="68"/>
      <c r="AY978" s="68"/>
      <c r="AZ978" s="14"/>
      <c r="BA978" s="14"/>
      <c r="BB978" s="913"/>
      <c r="BC978" s="913"/>
    </row>
    <row r="979" spans="1:64" ht="12.95" customHeight="1">
      <c r="A979" s="1537" t="s">
        <v>548</v>
      </c>
      <c r="B979" s="1537"/>
      <c r="C979" s="1537"/>
      <c r="D979" s="1537"/>
      <c r="E979" s="1537"/>
      <c r="F979" s="1537"/>
      <c r="G979" s="1537"/>
      <c r="H979" s="1537"/>
      <c r="I979" s="1537"/>
      <c r="J979" s="1537"/>
      <c r="K979" s="1537"/>
      <c r="L979" s="1537"/>
      <c r="M979" s="1537"/>
      <c r="N979" s="1537"/>
      <c r="O979" s="1537"/>
      <c r="P979" s="1537"/>
      <c r="Q979" s="1537"/>
      <c r="R979" s="1537"/>
      <c r="S979" s="1537"/>
      <c r="T979" s="1537"/>
      <c r="U979" s="1537"/>
      <c r="V979" s="1537"/>
      <c r="W979" s="1537"/>
      <c r="X979" s="1537"/>
      <c r="Y979" s="1537"/>
      <c r="Z979" s="1537"/>
      <c r="AA979" s="1537"/>
      <c r="AB979" s="1537"/>
      <c r="AC979" s="1537"/>
      <c r="AD979" s="1537"/>
      <c r="AE979" s="1537"/>
      <c r="AF979" s="1537"/>
      <c r="AG979" s="1537"/>
      <c r="AH979" s="1537"/>
      <c r="AI979" s="1537"/>
      <c r="AJ979" s="1537"/>
      <c r="AK979" s="1537"/>
      <c r="AL979" s="1537"/>
      <c r="AM979" s="1537"/>
      <c r="AN979" s="1537"/>
      <c r="AO979" s="1537"/>
      <c r="AP979" s="1537"/>
      <c r="AQ979" s="1537"/>
      <c r="AR979" s="1537"/>
      <c r="AS979" s="1537"/>
      <c r="AT979" s="1537"/>
      <c r="AU979" s="68"/>
      <c r="AV979" s="68"/>
      <c r="AW979" s="68"/>
      <c r="AX979" s="68"/>
      <c r="AY979" s="68"/>
      <c r="AZ979" s="14"/>
      <c r="BA979" s="14"/>
      <c r="BB979" s="913"/>
      <c r="BC979" s="913"/>
    </row>
    <row r="980" spans="1:64" ht="12.95" customHeight="1">
      <c r="A980" s="1537"/>
      <c r="B980" s="1537"/>
      <c r="C980" s="1537"/>
      <c r="D980" s="1537"/>
      <c r="E980" s="1537"/>
      <c r="F980" s="1537"/>
      <c r="G980" s="1537"/>
      <c r="H980" s="1537"/>
      <c r="I980" s="1537"/>
      <c r="J980" s="1537"/>
      <c r="K980" s="1537"/>
      <c r="L980" s="1537"/>
      <c r="M980" s="1537"/>
      <c r="N980" s="1537"/>
      <c r="O980" s="1537"/>
      <c r="P980" s="1537"/>
      <c r="Q980" s="1537"/>
      <c r="R980" s="1537"/>
      <c r="S980" s="1537"/>
      <c r="T980" s="1537"/>
      <c r="U980" s="1537"/>
      <c r="V980" s="1537"/>
      <c r="W980" s="1537"/>
      <c r="X980" s="1537"/>
      <c r="Y980" s="1537"/>
      <c r="Z980" s="1537"/>
      <c r="AA980" s="1537"/>
      <c r="AB980" s="1537"/>
      <c r="AC980" s="1537"/>
      <c r="AD980" s="1537"/>
      <c r="AE980" s="1537"/>
      <c r="AF980" s="1537"/>
      <c r="AG980" s="1537"/>
      <c r="AH980" s="1537"/>
      <c r="AI980" s="1537"/>
      <c r="AJ980" s="1537"/>
      <c r="AK980" s="1537"/>
      <c r="AL980" s="1537"/>
      <c r="AM980" s="1537"/>
      <c r="AN980" s="1537"/>
      <c r="AO980" s="1537"/>
      <c r="AP980" s="1537"/>
      <c r="AQ980" s="1537"/>
      <c r="AR980" s="1537"/>
      <c r="AS980" s="1537"/>
      <c r="AT980" s="1537"/>
      <c r="AU980" s="68"/>
      <c r="AV980" s="68"/>
      <c r="AW980" s="68"/>
      <c r="AX980" s="68"/>
      <c r="AY980" s="68"/>
      <c r="AZ980" s="30"/>
      <c r="BA980" s="14"/>
      <c r="BB980" s="14"/>
      <c r="BC980" s="14"/>
    </row>
    <row r="981" spans="1:64" ht="12.95" customHeight="1">
      <c r="A981" s="1537"/>
      <c r="B981" s="1537"/>
      <c r="C981" s="1537"/>
      <c r="D981" s="1537"/>
      <c r="E981" s="1537"/>
      <c r="F981" s="1537"/>
      <c r="G981" s="1537"/>
      <c r="H981" s="1537"/>
      <c r="I981" s="1537"/>
      <c r="J981" s="1537"/>
      <c r="K981" s="1537"/>
      <c r="L981" s="1537"/>
      <c r="M981" s="1537"/>
      <c r="N981" s="1537"/>
      <c r="O981" s="1537"/>
      <c r="P981" s="1537"/>
      <c r="Q981" s="1537"/>
      <c r="R981" s="1537"/>
      <c r="S981" s="1537"/>
      <c r="T981" s="1537"/>
      <c r="U981" s="1537"/>
      <c r="V981" s="1537"/>
      <c r="W981" s="1537"/>
      <c r="X981" s="1537"/>
      <c r="Y981" s="1537"/>
      <c r="Z981" s="1537"/>
      <c r="AA981" s="1537"/>
      <c r="AB981" s="1537"/>
      <c r="AC981" s="1537"/>
      <c r="AD981" s="1537"/>
      <c r="AE981" s="1537"/>
      <c r="AF981" s="1537"/>
      <c r="AG981" s="1537"/>
      <c r="AH981" s="1537"/>
      <c r="AI981" s="1537"/>
      <c r="AJ981" s="1537"/>
      <c r="AK981" s="1537"/>
      <c r="AL981" s="1537"/>
      <c r="AM981" s="1537"/>
      <c r="AN981" s="1537"/>
      <c r="AO981" s="1537"/>
      <c r="AP981" s="1537"/>
      <c r="AQ981" s="1537"/>
      <c r="AR981" s="1537"/>
      <c r="AS981" s="1537"/>
      <c r="AT981" s="1537"/>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9"/>
      <c r="D985" s="1801" t="s">
        <v>638</v>
      </c>
      <c r="E985" s="1802"/>
      <c r="F985" s="1802"/>
      <c r="G985" s="1802"/>
      <c r="H985" s="1802"/>
      <c r="I985" s="1802"/>
      <c r="J985" s="1802"/>
      <c r="K985" s="1802"/>
      <c r="L985" s="1802"/>
      <c r="M985" s="1802"/>
      <c r="N985" s="1802"/>
      <c r="O985" s="1802"/>
      <c r="P985" s="1802"/>
      <c r="Q985" s="1803"/>
      <c r="R985" s="1801" t="s">
        <v>639</v>
      </c>
      <c r="S985" s="1802"/>
      <c r="T985" s="1802"/>
      <c r="U985" s="1802"/>
      <c r="V985" s="1802"/>
      <c r="W985" s="1802"/>
      <c r="X985" s="1802"/>
      <c r="Y985" s="1802"/>
      <c r="Z985" s="1802"/>
      <c r="AA985" s="1803"/>
      <c r="AB985" s="1801" t="s">
        <v>640</v>
      </c>
      <c r="AC985" s="1802"/>
      <c r="AD985" s="1802"/>
      <c r="AE985" s="1802"/>
      <c r="AF985" s="1802"/>
      <c r="AG985" s="1802"/>
      <c r="AH985" s="1802"/>
      <c r="AI985" s="1803"/>
      <c r="AJ985" s="1801" t="s">
        <v>641</v>
      </c>
      <c r="AK985" s="1802"/>
      <c r="AL985" s="1802"/>
      <c r="AM985" s="1802"/>
      <c r="AN985" s="1802"/>
      <c r="AO985" s="1802"/>
      <c r="AP985" s="1802"/>
      <c r="AQ985" s="1803"/>
      <c r="AR985" s="68"/>
      <c r="AS985" s="68"/>
      <c r="AT985" s="68"/>
      <c r="AU985" s="68"/>
      <c r="AV985" s="68"/>
      <c r="AW985" s="68"/>
      <c r="AX985" s="68"/>
      <c r="AY985" s="68"/>
      <c r="AZ985" s="30"/>
      <c r="BB985" s="14"/>
      <c r="BC985" s="14"/>
    </row>
    <row r="986" spans="1:64" ht="12.95" customHeight="1">
      <c r="A986" s="14"/>
      <c r="B986" s="73"/>
      <c r="C986" s="930"/>
      <c r="D986" s="1477" t="s">
        <v>633</v>
      </c>
      <c r="E986" s="1478"/>
      <c r="F986" s="1478"/>
      <c r="G986" s="1478"/>
      <c r="H986" s="1478"/>
      <c r="I986" s="1478"/>
      <c r="J986" s="1478"/>
      <c r="K986" s="1478"/>
      <c r="L986" s="1478"/>
      <c r="M986" s="1478"/>
      <c r="N986" s="1478"/>
      <c r="O986" s="1478"/>
      <c r="P986" s="1478"/>
      <c r="Q986" s="1479"/>
      <c r="R986" s="1794">
        <f>IF(ISNA(IF($CU$122="4%",(INDEX($CS$160:$CW$217,MATCH($DG$122,$CR$160:$CR$217,0),MATCH(D986,$CS$159:$CW$159,0))),(INDEX($CZ$160:$DD$217,MATCH($DG$122,$CY$160:$CY$217,0),MATCH(D986,$CZ$159:$DD$159,0))))),0,IF($CU$122="4%",(INDEX($CS$160:$CW$217,MATCH($DG$122,$CR$160:$CR$217,0),MATCH(D986,$CS$159:$CW$159,0))),(INDEX($CZ$160:$DD$217,MATCH($DG$122,$CY$160:$CY$217,0),MATCH(D986,$CZ$159:$DD$159,0)))))</f>
        <v>532060</v>
      </c>
      <c r="S986" s="1794"/>
      <c r="T986" s="1794"/>
      <c r="U986" s="1794"/>
      <c r="V986" s="1794"/>
      <c r="W986" s="1794"/>
      <c r="X986" s="1794"/>
      <c r="Y986" s="1794"/>
      <c r="Z986" s="1794"/>
      <c r="AA986" s="1794"/>
      <c r="AB986" s="1791">
        <f>CP802</f>
        <v>13</v>
      </c>
      <c r="AC986" s="1792"/>
      <c r="AD986" s="1792"/>
      <c r="AE986" s="1792"/>
      <c r="AF986" s="1792"/>
      <c r="AG986" s="1792"/>
      <c r="AH986" s="1792"/>
      <c r="AI986" s="1793"/>
      <c r="AJ986" s="1724">
        <f>IF(ISERROR((R986*AB986)),0,(R986*AB986))</f>
        <v>6916780</v>
      </c>
      <c r="AK986" s="1725"/>
      <c r="AL986" s="1725"/>
      <c r="AM986" s="1725"/>
      <c r="AN986" s="1725"/>
      <c r="AO986" s="1725"/>
      <c r="AP986" s="1725"/>
      <c r="AQ986" s="1726"/>
      <c r="AR986" s="68"/>
      <c r="AS986" s="68"/>
      <c r="AT986" s="68"/>
      <c r="AU986" s="68"/>
      <c r="AV986" s="68"/>
      <c r="AW986" s="68"/>
      <c r="AX986" s="68"/>
      <c r="AY986" s="68"/>
      <c r="AZ986" s="30"/>
      <c r="BB986" s="14"/>
      <c r="BC986" s="14"/>
    </row>
    <row r="987" spans="1:64" ht="12.95" customHeight="1">
      <c r="A987" s="14"/>
      <c r="B987" s="73"/>
      <c r="C987" s="83"/>
      <c r="D987" s="1477" t="s">
        <v>325</v>
      </c>
      <c r="E987" s="1478"/>
      <c r="F987" s="1478"/>
      <c r="G987" s="1478"/>
      <c r="H987" s="1478"/>
      <c r="I987" s="1478"/>
      <c r="J987" s="1478"/>
      <c r="K987" s="1478"/>
      <c r="L987" s="1478"/>
      <c r="M987" s="1478"/>
      <c r="N987" s="1478"/>
      <c r="O987" s="1478"/>
      <c r="P987" s="1478"/>
      <c r="Q987" s="1479"/>
      <c r="R987" s="1794">
        <f>IF(ISNA(IF($CU$122="4%",(INDEX($CS$160:$CW$217,MATCH($DG$122,$CR$160:$CR$217,0),MATCH(D987,$CS$159:$CW$159,0))),(INDEX($CZ$160:$DD$217,MATCH($DG$122,$CY$160:$CY$217,0),MATCH(D987,$CZ$159:$DD$159,0))))),0,IF($CU$122="4%",(INDEX($CS$160:$CW$217,MATCH($DG$122,$CR$160:$CR$217,0),MATCH(D987,$CS$159:$CW$159,0))),(INDEX($CZ$160:$DD$217,MATCH($DG$122,$CY$160:$CY$217,0),MATCH(D987,$CZ$159:$DD$159,0)))))</f>
        <v>613460</v>
      </c>
      <c r="S987" s="1794"/>
      <c r="T987" s="1794"/>
      <c r="U987" s="1794"/>
      <c r="V987" s="1794"/>
      <c r="W987" s="1794"/>
      <c r="X987" s="1794"/>
      <c r="Y987" s="1794"/>
      <c r="Z987" s="1794"/>
      <c r="AA987" s="1794"/>
      <c r="AB987" s="1791">
        <f>CU802</f>
        <v>28</v>
      </c>
      <c r="AC987" s="1792"/>
      <c r="AD987" s="1792"/>
      <c r="AE987" s="1792"/>
      <c r="AF987" s="1792"/>
      <c r="AG987" s="1792"/>
      <c r="AH987" s="1792"/>
      <c r="AI987" s="1793"/>
      <c r="AJ987" s="1724">
        <f>IF(ISERROR((R987*AB987)),0,(R987*AB987))</f>
        <v>17176880</v>
      </c>
      <c r="AK987" s="1725"/>
      <c r="AL987" s="1725"/>
      <c r="AM987" s="1725"/>
      <c r="AN987" s="1725"/>
      <c r="AO987" s="1725"/>
      <c r="AP987" s="1725"/>
      <c r="AQ987" s="1726"/>
      <c r="AR987" s="68"/>
      <c r="AS987" s="68"/>
      <c r="AT987" s="68"/>
      <c r="AU987" s="68"/>
      <c r="AV987" s="68"/>
      <c r="AW987" s="68"/>
      <c r="AX987" s="68"/>
      <c r="AY987" s="68"/>
      <c r="AZ987" s="30"/>
      <c r="BB987" s="14"/>
      <c r="BC987" s="14"/>
    </row>
    <row r="988" spans="1:64" ht="12.95" customHeight="1">
      <c r="A988" s="14"/>
      <c r="B988" s="73"/>
      <c r="C988" s="83"/>
      <c r="D988" s="1477" t="s">
        <v>163</v>
      </c>
      <c r="E988" s="1478"/>
      <c r="F988" s="1478"/>
      <c r="G988" s="1478"/>
      <c r="H988" s="1478"/>
      <c r="I988" s="1478"/>
      <c r="J988" s="1478"/>
      <c r="K988" s="1478"/>
      <c r="L988" s="1478"/>
      <c r="M988" s="1478"/>
      <c r="N988" s="1478"/>
      <c r="O988" s="1478"/>
      <c r="P988" s="1478"/>
      <c r="Q988" s="1479"/>
      <c r="R988" s="1794">
        <f>IF(ISNA(IF($CU$122="4%",(INDEX($CS$160:$CW$217,MATCH($DG$122,$CR$160:$CR$217,0),MATCH(D988,$CS$159:$CW$159,0))),(INDEX($CZ$160:$DD$217,MATCH($DG$122,$CY$160:$CY$217,0),MATCH(D988,$CZ$159:$DD$159,0))))),0,IF($CU$122="4%",(INDEX($CS$160:$CW$217,MATCH($DG$122,$CR$160:$CR$217,0),MATCH(D988,$CS$159:$CW$159,0))),(INDEX($CZ$160:$DD$217,MATCH($DG$122,$CY$160:$CY$217,0),MATCH(D988,$CZ$159:$DD$159,0)))))</f>
        <v>740000</v>
      </c>
      <c r="S988" s="1794"/>
      <c r="T988" s="1794"/>
      <c r="U988" s="1794"/>
      <c r="V988" s="1794"/>
      <c r="W988" s="1794"/>
      <c r="X988" s="1794"/>
      <c r="Y988" s="1794"/>
      <c r="Z988" s="1794"/>
      <c r="AA988" s="1794"/>
      <c r="AB988" s="1791">
        <f>CZ802</f>
        <v>15</v>
      </c>
      <c r="AC988" s="1792"/>
      <c r="AD988" s="1792"/>
      <c r="AE988" s="1792"/>
      <c r="AF988" s="1792"/>
      <c r="AG988" s="1792"/>
      <c r="AH988" s="1792"/>
      <c r="AI988" s="1793"/>
      <c r="AJ988" s="1724">
        <f>IF(ISERROR((R988*AB988)),0,(R988*AB988))</f>
        <v>11100000</v>
      </c>
      <c r="AK988" s="1725"/>
      <c r="AL988" s="1725"/>
      <c r="AM988" s="1725"/>
      <c r="AN988" s="1725"/>
      <c r="AO988" s="1725"/>
      <c r="AP988" s="1725"/>
      <c r="AQ988" s="1726"/>
      <c r="AR988" s="68"/>
      <c r="AS988" s="68"/>
      <c r="AT988" s="68"/>
      <c r="AU988" s="68"/>
      <c r="AV988" s="68"/>
      <c r="AW988" s="68"/>
      <c r="AX988" s="68"/>
      <c r="AY988" s="68"/>
      <c r="AZ988" s="30"/>
      <c r="BB988" s="14"/>
      <c r="BC988" s="14"/>
    </row>
    <row r="989" spans="1:64" ht="12.95" customHeight="1">
      <c r="A989" s="14"/>
      <c r="B989" s="73"/>
      <c r="C989" s="83"/>
      <c r="D989" s="1477" t="s">
        <v>164</v>
      </c>
      <c r="E989" s="1478"/>
      <c r="F989" s="1478"/>
      <c r="G989" s="1478"/>
      <c r="H989" s="1478"/>
      <c r="I989" s="1478"/>
      <c r="J989" s="1478"/>
      <c r="K989" s="1478"/>
      <c r="L989" s="1478"/>
      <c r="M989" s="1478"/>
      <c r="N989" s="1478"/>
      <c r="O989" s="1478"/>
      <c r="P989" s="1478"/>
      <c r="Q989" s="1479"/>
      <c r="R989" s="1794">
        <f>IF(ISNA(IF($CU$122="4%",(INDEX($CS$160:$CW$217,MATCH($DG$122,$CR$160:$CR$217,0),MATCH(D989,$CS$159:$CW$159,0))),(INDEX($CZ$160:$DD$217,MATCH($DG$122,$CY$160:$CY$217,0),MATCH(D989,$CZ$159:$DD$159,0))))),0,IF($CU$122="4%",(INDEX($CS$160:$CW$217,MATCH($DG$122,$CR$160:$CR$217,0),MATCH(D989,$CS$159:$CW$159,0))),(INDEX($CZ$160:$DD$217,MATCH($DG$122,$CY$160:$CY$217,0),MATCH(D989,$CZ$159:$DD$159,0)))))</f>
        <v>947200</v>
      </c>
      <c r="S989" s="1794"/>
      <c r="T989" s="1794"/>
      <c r="U989" s="1794"/>
      <c r="V989" s="1794"/>
      <c r="W989" s="1794"/>
      <c r="X989" s="1794"/>
      <c r="Y989" s="1794"/>
      <c r="Z989" s="1794"/>
      <c r="AA989" s="1794"/>
      <c r="AB989" s="1791">
        <f>DE802</f>
        <v>30</v>
      </c>
      <c r="AC989" s="1792"/>
      <c r="AD989" s="1792"/>
      <c r="AE989" s="1792"/>
      <c r="AF989" s="1792"/>
      <c r="AG989" s="1792"/>
      <c r="AH989" s="1792"/>
      <c r="AI989" s="1793"/>
      <c r="AJ989" s="1724">
        <f>IF(ISERROR((R989*AB989)),0,(R989*AB989))</f>
        <v>28416000</v>
      </c>
      <c r="AK989" s="1725"/>
      <c r="AL989" s="1725"/>
      <c r="AM989" s="1725"/>
      <c r="AN989" s="1725"/>
      <c r="AO989" s="1725"/>
      <c r="AP989" s="1725"/>
      <c r="AQ989" s="1726"/>
      <c r="AR989" s="68"/>
      <c r="AS989" s="68"/>
      <c r="AT989" s="68"/>
      <c r="AU989" s="68"/>
      <c r="AV989" s="68"/>
      <c r="AW989" s="68"/>
      <c r="AX989" s="68"/>
      <c r="AY989" s="68"/>
      <c r="AZ989" s="30"/>
      <c r="BA989" s="34"/>
      <c r="BB989" s="14"/>
      <c r="BC989" s="14"/>
    </row>
    <row r="990" spans="1:64" ht="12.95" customHeight="1">
      <c r="A990" s="14"/>
      <c r="B990" s="47"/>
      <c r="C990" s="78"/>
      <c r="D990" s="1477" t="s">
        <v>460</v>
      </c>
      <c r="E990" s="1478"/>
      <c r="F990" s="1478"/>
      <c r="G990" s="1478"/>
      <c r="H990" s="1478"/>
      <c r="I990" s="1478"/>
      <c r="J990" s="1478"/>
      <c r="K990" s="1478"/>
      <c r="L990" s="1478"/>
      <c r="M990" s="1478"/>
      <c r="N990" s="1478"/>
      <c r="O990" s="1478"/>
      <c r="P990" s="1478"/>
      <c r="Q990" s="1479"/>
      <c r="R990" s="1794">
        <f>IF(ISNA(IF($CU$122="4%",(INDEX($CS$160:$CW$217,MATCH($DG$122,$CR$160:$CR$217,0),MATCH(D990,$CS$159:$CW$159,0))),(INDEX($CZ$160:$DD$217,MATCH($DG$122,$CY$160:$CY$217,0),MATCH(D990,$CZ$159:$DD$159,0))))),0,IF($CU$122="4%",(INDEX($CS$160:$CW$217,MATCH($DG$122,$CR$160:$CR$217,0),MATCH(D990,$CS$159:$CW$159,0))),(INDEX($CZ$160:$DD$217,MATCH($DG$122,$CY$160:$CY$217,0),MATCH(D990,$CZ$159:$DD$159,0)))))</f>
        <v>1055240</v>
      </c>
      <c r="S990" s="1794"/>
      <c r="T990" s="1794"/>
      <c r="U990" s="1794"/>
      <c r="V990" s="1794"/>
      <c r="W990" s="1794"/>
      <c r="X990" s="1794"/>
      <c r="Y990" s="1794"/>
      <c r="Z990" s="1794"/>
      <c r="AA990" s="1794"/>
      <c r="AB990" s="1791">
        <f>DO802+DJ802</f>
        <v>0</v>
      </c>
      <c r="AC990" s="1792"/>
      <c r="AD990" s="1792"/>
      <c r="AE990" s="1792"/>
      <c r="AF990" s="1792"/>
      <c r="AG990" s="1792"/>
      <c r="AH990" s="1792"/>
      <c r="AI990" s="1793"/>
      <c r="AJ990" s="1724">
        <f>IF(ISERROR((R990*AB990)),0,(R990*AB990))</f>
        <v>0</v>
      </c>
      <c r="AK990" s="1725"/>
      <c r="AL990" s="1725"/>
      <c r="AM990" s="1725"/>
      <c r="AN990" s="1725"/>
      <c r="AO990" s="1725"/>
      <c r="AP990" s="1725"/>
      <c r="AQ990" s="1726"/>
      <c r="AR990" s="68"/>
      <c r="AS990" s="68"/>
      <c r="AT990" s="68"/>
      <c r="AU990" s="68"/>
      <c r="AV990" s="68"/>
      <c r="AW990" s="68"/>
      <c r="AX990" s="68"/>
      <c r="AY990" s="68"/>
      <c r="AZ990" s="30"/>
      <c r="BB990" s="14"/>
      <c r="BC990" s="14"/>
    </row>
    <row r="991" spans="1:64" ht="12.95" customHeight="1">
      <c r="A991" s="14"/>
      <c r="B991" s="1746" t="s">
        <v>791</v>
      </c>
      <c r="C991" s="1747"/>
      <c r="D991" s="1747"/>
      <c r="E991" s="1747"/>
      <c r="F991" s="1747"/>
      <c r="G991" s="1747"/>
      <c r="H991" s="1747"/>
      <c r="I991" s="1747"/>
      <c r="J991" s="1747"/>
      <c r="K991" s="1747"/>
      <c r="L991" s="1747"/>
      <c r="M991" s="1747"/>
      <c r="N991" s="1747"/>
      <c r="O991" s="1747"/>
      <c r="P991" s="1747"/>
      <c r="Q991" s="1747"/>
      <c r="R991" s="1747"/>
      <c r="S991" s="1747"/>
      <c r="T991" s="1747"/>
      <c r="U991" s="1747"/>
      <c r="V991" s="1747"/>
      <c r="W991" s="1747"/>
      <c r="X991" s="1747"/>
      <c r="Y991" s="1747"/>
      <c r="Z991" s="1747"/>
      <c r="AA991" s="1748"/>
      <c r="AB991" s="1791">
        <f>SUM(AB986:AI990)</f>
        <v>86</v>
      </c>
      <c r="AC991" s="1792"/>
      <c r="AD991" s="1792"/>
      <c r="AE991" s="1792"/>
      <c r="AF991" s="1792"/>
      <c r="AG991" s="1792"/>
      <c r="AH991" s="1792"/>
      <c r="AI991" s="1793"/>
      <c r="AJ991" s="1724"/>
      <c r="AK991" s="1725"/>
      <c r="AL991" s="1725"/>
      <c r="AM991" s="1725"/>
      <c r="AN991" s="1725"/>
      <c r="AO991" s="1725"/>
      <c r="AP991" s="1725"/>
      <c r="AQ991" s="1726"/>
      <c r="AR991" s="68"/>
      <c r="AS991" s="68"/>
      <c r="AT991" s="68"/>
      <c r="AU991" s="68"/>
      <c r="AV991" s="68"/>
      <c r="AW991" s="68"/>
      <c r="AX991" s="68"/>
      <c r="AY991" s="68"/>
      <c r="AZ991" s="34"/>
      <c r="BA991" s="34"/>
      <c r="BB991" s="14"/>
      <c r="BC991" s="14"/>
    </row>
    <row r="992" spans="1:64" ht="12.95" customHeight="1">
      <c r="A992" s="14"/>
      <c r="B992" s="1804" t="s">
        <v>512</v>
      </c>
      <c r="C992" s="1805"/>
      <c r="D992" s="1805"/>
      <c r="E992" s="1805"/>
      <c r="F992" s="1805"/>
      <c r="G992" s="1805"/>
      <c r="H992" s="1805"/>
      <c r="I992" s="1805"/>
      <c r="J992" s="1805"/>
      <c r="K992" s="1805"/>
      <c r="L992" s="1805"/>
      <c r="M992" s="1805"/>
      <c r="N992" s="1805"/>
      <c r="O992" s="1805"/>
      <c r="P992" s="1805"/>
      <c r="Q992" s="1805"/>
      <c r="R992" s="1805"/>
      <c r="S992" s="1805"/>
      <c r="T992" s="1805"/>
      <c r="U992" s="1805"/>
      <c r="V992" s="1805"/>
      <c r="W992" s="1805"/>
      <c r="X992" s="1805"/>
      <c r="Y992" s="1805"/>
      <c r="Z992" s="1805"/>
      <c r="AA992" s="1805"/>
      <c r="AB992" s="1805"/>
      <c r="AC992" s="1805"/>
      <c r="AD992" s="1805"/>
      <c r="AE992" s="1805"/>
      <c r="AF992" s="1805"/>
      <c r="AG992" s="1805"/>
      <c r="AH992" s="1805"/>
      <c r="AI992" s="1806"/>
      <c r="AJ992" s="1724">
        <f>SUM(AJ986:AQ990)</f>
        <v>63609660</v>
      </c>
      <c r="AK992" s="1725"/>
      <c r="AL992" s="1725"/>
      <c r="AM992" s="1725"/>
      <c r="AN992" s="1725"/>
      <c r="AO992" s="1725"/>
      <c r="AP992" s="1725"/>
      <c r="AQ992" s="1726"/>
      <c r="AR992" s="68"/>
      <c r="AS992" s="68"/>
      <c r="AT992" s="68"/>
      <c r="AU992" s="68"/>
      <c r="AV992" s="68"/>
      <c r="AW992" s="68"/>
      <c r="AX992" s="68"/>
      <c r="AY992" s="68"/>
      <c r="AZ992" s="34"/>
      <c r="BB992" s="34"/>
      <c r="BC992" s="34"/>
    </row>
    <row r="993" spans="1:55" ht="12.95" customHeight="1">
      <c r="A993" s="14"/>
      <c r="B993" s="1755"/>
      <c r="C993" s="1756"/>
      <c r="D993" s="1756"/>
      <c r="E993" s="1756"/>
      <c r="F993" s="1756"/>
      <c r="G993" s="1756"/>
      <c r="H993" s="1756"/>
      <c r="I993" s="1756"/>
      <c r="J993" s="1756"/>
      <c r="K993" s="1756"/>
      <c r="L993" s="1756"/>
      <c r="M993" s="1756"/>
      <c r="N993" s="1756"/>
      <c r="O993" s="1756"/>
      <c r="P993" s="1756"/>
      <c r="Q993" s="1756"/>
      <c r="R993" s="1756"/>
      <c r="S993" s="1756"/>
      <c r="T993" s="1756"/>
      <c r="U993" s="1756"/>
      <c r="V993" s="1756"/>
      <c r="W993" s="1756"/>
      <c r="X993" s="1756"/>
      <c r="Y993" s="1756"/>
      <c r="Z993" s="1756"/>
      <c r="AA993" s="1756"/>
      <c r="AB993" s="1756"/>
      <c r="AC993" s="1756"/>
      <c r="AD993" s="1756"/>
      <c r="AE993" s="1757"/>
      <c r="AF993" s="1834" t="s">
        <v>666</v>
      </c>
      <c r="AG993" s="1835"/>
      <c r="AH993" s="1835"/>
      <c r="AI993" s="1836"/>
      <c r="AJ993" s="1755"/>
      <c r="AK993" s="1756"/>
      <c r="AL993" s="1756"/>
      <c r="AM993" s="1756"/>
      <c r="AN993" s="1756"/>
      <c r="AO993" s="1756"/>
      <c r="AP993" s="1756"/>
      <c r="AQ993" s="1757"/>
      <c r="AR993" s="68"/>
      <c r="AS993" s="68"/>
      <c r="AT993" s="68"/>
      <c r="AU993" s="68"/>
      <c r="AV993" s="68"/>
      <c r="AW993" s="68"/>
      <c r="AX993" s="68"/>
      <c r="AY993" s="68"/>
      <c r="AZ993" s="34"/>
      <c r="BA993" s="34"/>
      <c r="BB993" s="34"/>
      <c r="BC993" s="34"/>
    </row>
    <row r="994" spans="1:55" ht="12.95" customHeight="1">
      <c r="A994" s="14"/>
      <c r="B994" s="73"/>
      <c r="C994" s="928" t="s">
        <v>668</v>
      </c>
      <c r="D994" s="1743" t="s">
        <v>1220</v>
      </c>
      <c r="E994" s="1744"/>
      <c r="F994" s="1744"/>
      <c r="G994" s="1744"/>
      <c r="H994" s="1744"/>
      <c r="I994" s="1744"/>
      <c r="J994" s="1744"/>
      <c r="K994" s="1744"/>
      <c r="L994" s="1744"/>
      <c r="M994" s="1744"/>
      <c r="N994" s="1744"/>
      <c r="O994" s="1744"/>
      <c r="P994" s="1744"/>
      <c r="Q994" s="1744"/>
      <c r="R994" s="1744"/>
      <c r="S994" s="1744"/>
      <c r="T994" s="1744"/>
      <c r="U994" s="1744"/>
      <c r="V994" s="1744"/>
      <c r="W994" s="1744"/>
      <c r="X994" s="1744"/>
      <c r="Y994" s="1744"/>
      <c r="Z994" s="1744"/>
      <c r="AA994" s="1744"/>
      <c r="AB994" s="1744"/>
      <c r="AC994" s="1744"/>
      <c r="AD994" s="1744"/>
      <c r="AE994" s="1745"/>
      <c r="AF994" s="79"/>
      <c r="AG994" s="1837" t="s">
        <v>669</v>
      </c>
      <c r="AH994" s="1838"/>
      <c r="AI994" s="87"/>
      <c r="AJ994" s="1734">
        <f>ROUND(IF(AND(AG994="yes",D1000&gt;0),AJ992*0.2,0),0)</f>
        <v>0</v>
      </c>
      <c r="AK994" s="1735"/>
      <c r="AL994" s="1735"/>
      <c r="AM994" s="1735"/>
      <c r="AN994" s="1735"/>
      <c r="AO994" s="1735"/>
      <c r="AP994" s="1735"/>
      <c r="AQ994" s="1736"/>
      <c r="AR994" s="68"/>
      <c r="AS994" s="68"/>
      <c r="AT994" s="68"/>
      <c r="AU994" s="68"/>
      <c r="AV994" s="68"/>
      <c r="AW994" s="68"/>
      <c r="AX994" s="68"/>
      <c r="AY994" s="68"/>
      <c r="AZ994" s="34"/>
      <c r="BA994" s="34"/>
      <c r="BB994" s="34"/>
      <c r="BC994" s="34"/>
    </row>
    <row r="995" spans="1:55" ht="12.95" customHeight="1">
      <c r="A995" s="14"/>
      <c r="B995" s="258"/>
      <c r="C995" s="257"/>
      <c r="D995" s="1777" t="s">
        <v>2238</v>
      </c>
      <c r="E995" s="1778"/>
      <c r="F995" s="1778"/>
      <c r="G995" s="1778"/>
      <c r="H995" s="1778"/>
      <c r="I995" s="1778"/>
      <c r="J995" s="1778"/>
      <c r="K995" s="1778"/>
      <c r="L995" s="1778"/>
      <c r="M995" s="1778"/>
      <c r="N995" s="1778"/>
      <c r="O995" s="1778"/>
      <c r="P995" s="1778"/>
      <c r="Q995" s="1778"/>
      <c r="R995" s="1778"/>
      <c r="S995" s="1778"/>
      <c r="T995" s="1778"/>
      <c r="U995" s="1778"/>
      <c r="V995" s="1778"/>
      <c r="W995" s="1778"/>
      <c r="X995" s="1778"/>
      <c r="Y995" s="1778"/>
      <c r="Z995" s="1778"/>
      <c r="AA995" s="1778"/>
      <c r="AB995" s="1778"/>
      <c r="AC995" s="1778"/>
      <c r="AD995" s="1778"/>
      <c r="AE995" s="1779"/>
      <c r="AF995" s="73"/>
      <c r="AG995" s="14"/>
      <c r="AH995" s="14"/>
      <c r="AI995" s="83"/>
      <c r="AJ995" s="1737"/>
      <c r="AK995" s="1738"/>
      <c r="AL995" s="1738"/>
      <c r="AM995" s="1738"/>
      <c r="AN995" s="1738"/>
      <c r="AO995" s="1738"/>
      <c r="AP995" s="1738"/>
      <c r="AQ995" s="1739"/>
      <c r="AR995" s="68"/>
      <c r="AS995" s="68"/>
      <c r="AT995" s="68"/>
      <c r="AU995" s="68"/>
      <c r="AV995" s="68"/>
      <c r="AW995" s="68"/>
      <c r="AX995" s="68"/>
      <c r="AY995" s="68"/>
      <c r="AZ995" s="34"/>
      <c r="BA995" s="34"/>
      <c r="BB995" s="34"/>
      <c r="BC995" s="34"/>
    </row>
    <row r="996" spans="1:55" ht="12.95" customHeight="1">
      <c r="A996" s="14"/>
      <c r="B996" s="258"/>
      <c r="C996" s="257"/>
      <c r="D996" s="1777"/>
      <c r="E996" s="1778"/>
      <c r="F996" s="1778"/>
      <c r="G996" s="1778"/>
      <c r="H996" s="1778"/>
      <c r="I996" s="1778"/>
      <c r="J996" s="1778"/>
      <c r="K996" s="1778"/>
      <c r="L996" s="1778"/>
      <c r="M996" s="1778"/>
      <c r="N996" s="1778"/>
      <c r="O996" s="1778"/>
      <c r="P996" s="1778"/>
      <c r="Q996" s="1778"/>
      <c r="R996" s="1778"/>
      <c r="S996" s="1778"/>
      <c r="T996" s="1778"/>
      <c r="U996" s="1778"/>
      <c r="V996" s="1778"/>
      <c r="W996" s="1778"/>
      <c r="X996" s="1778"/>
      <c r="Y996" s="1778"/>
      <c r="Z996" s="1778"/>
      <c r="AA996" s="1778"/>
      <c r="AB996" s="1778"/>
      <c r="AC996" s="1778"/>
      <c r="AD996" s="1778"/>
      <c r="AE996" s="1779"/>
      <c r="AF996" s="73"/>
      <c r="AG996" s="14"/>
      <c r="AH996" s="14"/>
      <c r="AI996" s="83"/>
      <c r="AJ996" s="1737"/>
      <c r="AK996" s="1738"/>
      <c r="AL996" s="1738"/>
      <c r="AM996" s="1738"/>
      <c r="AN996" s="1738"/>
      <c r="AO996" s="1738"/>
      <c r="AP996" s="1738"/>
      <c r="AQ996" s="1739"/>
      <c r="AR996" s="68"/>
      <c r="AS996" s="68"/>
      <c r="AT996" s="68"/>
      <c r="AU996" s="68"/>
      <c r="AV996" s="68"/>
      <c r="AW996" s="68"/>
      <c r="AX996" s="68"/>
      <c r="AY996" s="68"/>
      <c r="AZ996" s="34"/>
      <c r="BA996" s="34"/>
      <c r="BB996" s="34"/>
      <c r="BC996" s="34"/>
    </row>
    <row r="997" spans="1:55" ht="12.95" customHeight="1">
      <c r="A997" s="14"/>
      <c r="B997" s="258"/>
      <c r="C997" s="257"/>
      <c r="D997" s="1777"/>
      <c r="E997" s="1778"/>
      <c r="F997" s="1778"/>
      <c r="G997" s="1778"/>
      <c r="H997" s="1778"/>
      <c r="I997" s="1778"/>
      <c r="J997" s="1778"/>
      <c r="K997" s="1778"/>
      <c r="L997" s="1778"/>
      <c r="M997" s="1778"/>
      <c r="N997" s="1778"/>
      <c r="O997" s="1778"/>
      <c r="P997" s="1778"/>
      <c r="Q997" s="1778"/>
      <c r="R997" s="1778"/>
      <c r="S997" s="1778"/>
      <c r="T997" s="1778"/>
      <c r="U997" s="1778"/>
      <c r="V997" s="1778"/>
      <c r="W997" s="1778"/>
      <c r="X997" s="1778"/>
      <c r="Y997" s="1778"/>
      <c r="Z997" s="1778"/>
      <c r="AA997" s="1778"/>
      <c r="AB997" s="1778"/>
      <c r="AC997" s="1778"/>
      <c r="AD997" s="1778"/>
      <c r="AE997" s="1779"/>
      <c r="AF997" s="73"/>
      <c r="AG997" s="14"/>
      <c r="AH997" s="14"/>
      <c r="AI997" s="83"/>
      <c r="AJ997" s="1737"/>
      <c r="AK997" s="1738"/>
      <c r="AL997" s="1738"/>
      <c r="AM997" s="1738"/>
      <c r="AN997" s="1738"/>
      <c r="AO997" s="1738"/>
      <c r="AP997" s="1738"/>
      <c r="AQ997" s="1739"/>
      <c r="AR997" s="68"/>
      <c r="AS997" s="68"/>
      <c r="AT997" s="68"/>
      <c r="AU997" s="68"/>
      <c r="AV997" s="68"/>
      <c r="AW997" s="68"/>
      <c r="AX997" s="68"/>
      <c r="AY997" s="68"/>
      <c r="AZ997" s="34"/>
      <c r="BA997" s="34"/>
      <c r="BB997" s="34"/>
      <c r="BC997" s="34"/>
    </row>
    <row r="998" spans="1:55" ht="12.95" customHeight="1">
      <c r="A998" s="14"/>
      <c r="B998" s="258"/>
      <c r="C998" s="257"/>
      <c r="D998" s="1777"/>
      <c r="E998" s="1778"/>
      <c r="F998" s="1778"/>
      <c r="G998" s="1778"/>
      <c r="H998" s="1778"/>
      <c r="I998" s="1778"/>
      <c r="J998" s="1778"/>
      <c r="K998" s="1778"/>
      <c r="L998" s="1778"/>
      <c r="M998" s="1778"/>
      <c r="N998" s="1778"/>
      <c r="O998" s="1778"/>
      <c r="P998" s="1778"/>
      <c r="Q998" s="1778"/>
      <c r="R998" s="1778"/>
      <c r="S998" s="1778"/>
      <c r="T998" s="1778"/>
      <c r="U998" s="1778"/>
      <c r="V998" s="1778"/>
      <c r="W998" s="1778"/>
      <c r="X998" s="1778"/>
      <c r="Y998" s="1778"/>
      <c r="Z998" s="1778"/>
      <c r="AA998" s="1778"/>
      <c r="AB998" s="1778"/>
      <c r="AC998" s="1778"/>
      <c r="AD998" s="1778"/>
      <c r="AE998" s="1779"/>
      <c r="AF998" s="73"/>
      <c r="AG998" s="14"/>
      <c r="AH998" s="14"/>
      <c r="AI998" s="83"/>
      <c r="AJ998" s="1737"/>
      <c r="AK998" s="1738"/>
      <c r="AL998" s="1738"/>
      <c r="AM998" s="1738"/>
      <c r="AN998" s="1738"/>
      <c r="AO998" s="1738"/>
      <c r="AP998" s="1738"/>
      <c r="AQ998" s="1739"/>
      <c r="AR998" s="68"/>
      <c r="AS998" s="68"/>
      <c r="AT998" s="68"/>
      <c r="AU998" s="68"/>
      <c r="AV998" s="68"/>
      <c r="AW998" s="68"/>
      <c r="AX998" s="68"/>
      <c r="AY998" s="68"/>
      <c r="AZ998" s="34"/>
      <c r="BA998" s="34"/>
      <c r="BB998" s="34"/>
      <c r="BC998" s="34"/>
    </row>
    <row r="999" spans="1:55" ht="12.95" customHeight="1">
      <c r="A999" s="14"/>
      <c r="B999" s="258"/>
      <c r="C999" s="257"/>
      <c r="D999" s="1780" t="s">
        <v>2207</v>
      </c>
      <c r="E999" s="1781"/>
      <c r="F999" s="1781"/>
      <c r="G999" s="1781"/>
      <c r="H999" s="1781"/>
      <c r="I999" s="1781"/>
      <c r="J999" s="1781"/>
      <c r="K999" s="1781"/>
      <c r="L999" s="1781"/>
      <c r="M999" s="1781"/>
      <c r="N999" s="1781"/>
      <c r="O999" s="1781"/>
      <c r="P999" s="1781"/>
      <c r="Q999" s="1781"/>
      <c r="R999" s="1781"/>
      <c r="S999" s="1781"/>
      <c r="T999" s="1781"/>
      <c r="U999" s="1781"/>
      <c r="V999" s="1781"/>
      <c r="W999" s="1781"/>
      <c r="X999" s="1781"/>
      <c r="Y999" s="1781"/>
      <c r="Z999" s="1781"/>
      <c r="AA999" s="1781"/>
      <c r="AB999" s="1781"/>
      <c r="AC999" s="1781"/>
      <c r="AD999" s="1781"/>
      <c r="AE999" s="1782"/>
      <c r="AF999" s="73"/>
      <c r="AG999" s="14"/>
      <c r="AH999" s="14"/>
      <c r="AI999" s="83"/>
      <c r="AJ999" s="1737"/>
      <c r="AK999" s="1738"/>
      <c r="AL999" s="1738"/>
      <c r="AM999" s="1738"/>
      <c r="AN999" s="1738"/>
      <c r="AO999" s="1738"/>
      <c r="AP999" s="1738"/>
      <c r="AQ999" s="1739"/>
      <c r="AR999" s="68"/>
      <c r="AS999" s="68"/>
      <c r="AT999" s="68"/>
      <c r="AU999" s="68"/>
      <c r="AV999" s="68"/>
      <c r="AW999" s="68"/>
      <c r="AX999" s="68"/>
      <c r="AY999" s="68"/>
      <c r="AZ999" s="34"/>
      <c r="BA999" s="34"/>
      <c r="BB999" s="34"/>
      <c r="BC999" s="34"/>
    </row>
    <row r="1000" spans="1:55" ht="12.95" customHeight="1">
      <c r="A1000" s="14"/>
      <c r="B1000" s="258"/>
      <c r="C1000" s="257"/>
      <c r="D1000" s="1749"/>
      <c r="E1000" s="1750"/>
      <c r="F1000" s="1750"/>
      <c r="G1000" s="1750"/>
      <c r="H1000" s="1750"/>
      <c r="I1000" s="1750"/>
      <c r="J1000" s="1750"/>
      <c r="K1000" s="1750"/>
      <c r="L1000" s="1750"/>
      <c r="M1000" s="1750"/>
      <c r="N1000" s="1750"/>
      <c r="O1000" s="1750"/>
      <c r="P1000" s="1750"/>
      <c r="Q1000" s="1750"/>
      <c r="R1000" s="1750"/>
      <c r="S1000" s="1750"/>
      <c r="T1000" s="1750"/>
      <c r="U1000" s="1750"/>
      <c r="V1000" s="1750"/>
      <c r="W1000" s="1750"/>
      <c r="X1000" s="1750"/>
      <c r="Y1000" s="1750"/>
      <c r="Z1000" s="1750"/>
      <c r="AA1000" s="1750"/>
      <c r="AB1000" s="1750"/>
      <c r="AC1000" s="1750"/>
      <c r="AD1000" s="1750"/>
      <c r="AE1000" s="1751"/>
      <c r="AF1000" s="77"/>
      <c r="AG1000" s="7"/>
      <c r="AH1000" s="7"/>
      <c r="AI1000" s="78"/>
      <c r="AJ1000" s="1740"/>
      <c r="AK1000" s="1741"/>
      <c r="AL1000" s="1741"/>
      <c r="AM1000" s="1741"/>
      <c r="AN1000" s="1741"/>
      <c r="AO1000" s="1741"/>
      <c r="AP1000" s="1741"/>
      <c r="AQ1000" s="1742"/>
      <c r="AR1000" s="68"/>
      <c r="AS1000" s="68"/>
      <c r="AT1000" s="68"/>
      <c r="AU1000" s="68"/>
      <c r="AV1000" s="68"/>
      <c r="AW1000" s="68"/>
      <c r="AX1000" s="68"/>
      <c r="AY1000" s="68"/>
      <c r="AZ1000" s="34"/>
      <c r="BA1000" s="34"/>
      <c r="BB1000" s="34"/>
      <c r="BC1000" s="34"/>
    </row>
    <row r="1001" spans="1:55" ht="12.95" customHeight="1">
      <c r="A1001" s="14"/>
      <c r="B1001" s="256"/>
      <c r="C1001" s="319"/>
      <c r="D1001" s="1774" t="s">
        <v>1286</v>
      </c>
      <c r="E1001" s="1775"/>
      <c r="F1001" s="1775"/>
      <c r="G1001" s="1775"/>
      <c r="H1001" s="1775"/>
      <c r="I1001" s="1775"/>
      <c r="J1001" s="1775"/>
      <c r="K1001" s="1775"/>
      <c r="L1001" s="1775"/>
      <c r="M1001" s="1775"/>
      <c r="N1001" s="1775"/>
      <c r="O1001" s="1775"/>
      <c r="P1001" s="1775"/>
      <c r="Q1001" s="1775"/>
      <c r="R1001" s="1775"/>
      <c r="S1001" s="1775"/>
      <c r="T1001" s="1775"/>
      <c r="U1001" s="1775"/>
      <c r="V1001" s="1775"/>
      <c r="W1001" s="1775"/>
      <c r="X1001" s="1775"/>
      <c r="Y1001" s="1775"/>
      <c r="Z1001" s="1775"/>
      <c r="AA1001" s="1775"/>
      <c r="AB1001" s="1775"/>
      <c r="AC1001" s="1775"/>
      <c r="AD1001" s="1775"/>
      <c r="AE1001" s="1776"/>
      <c r="AF1001" s="79"/>
      <c r="AG1001" s="1760" t="s">
        <v>669</v>
      </c>
      <c r="AH1001" s="1761"/>
      <c r="AI1001" s="87"/>
      <c r="AJ1001" s="1734">
        <f>ROUND(IF(AG1001="yes",AJ992*0.05,0),0)</f>
        <v>0</v>
      </c>
      <c r="AK1001" s="1735"/>
      <c r="AL1001" s="1735"/>
      <c r="AM1001" s="1735"/>
      <c r="AN1001" s="1735"/>
      <c r="AO1001" s="1735"/>
      <c r="AP1001" s="1735"/>
      <c r="AQ1001" s="1736"/>
      <c r="AR1001" s="68"/>
      <c r="AS1001" s="68"/>
      <c r="AT1001" s="68"/>
      <c r="AU1001" s="68"/>
      <c r="AV1001" s="68"/>
      <c r="AW1001" s="68"/>
      <c r="AX1001" s="68"/>
      <c r="AY1001" s="68"/>
      <c r="AZ1001" s="34"/>
      <c r="BA1001" s="34"/>
      <c r="BB1001" s="34"/>
      <c r="BC1001" s="34"/>
    </row>
    <row r="1002" spans="1:55" ht="12.95" customHeight="1">
      <c r="A1002" s="14"/>
      <c r="B1002" s="258"/>
      <c r="C1002" s="82"/>
      <c r="D1002" s="1777" t="s">
        <v>1284</v>
      </c>
      <c r="E1002" s="1778"/>
      <c r="F1002" s="1778"/>
      <c r="G1002" s="1778"/>
      <c r="H1002" s="1778"/>
      <c r="I1002" s="1778"/>
      <c r="J1002" s="1778"/>
      <c r="K1002" s="1778"/>
      <c r="L1002" s="1778"/>
      <c r="M1002" s="1778"/>
      <c r="N1002" s="1778"/>
      <c r="O1002" s="1778"/>
      <c r="P1002" s="1778"/>
      <c r="Q1002" s="1778"/>
      <c r="R1002" s="1778"/>
      <c r="S1002" s="1778"/>
      <c r="T1002" s="1778"/>
      <c r="U1002" s="1778"/>
      <c r="V1002" s="1778"/>
      <c r="W1002" s="1778"/>
      <c r="X1002" s="1778"/>
      <c r="Y1002" s="1778"/>
      <c r="Z1002" s="1778"/>
      <c r="AA1002" s="1778"/>
      <c r="AB1002" s="1778"/>
      <c r="AC1002" s="1778"/>
      <c r="AD1002" s="1778"/>
      <c r="AE1002" s="1779"/>
      <c r="AF1002" s="73"/>
      <c r="AG1002" s="14"/>
      <c r="AH1002" s="14"/>
      <c r="AI1002" s="83"/>
      <c r="AJ1002" s="1737"/>
      <c r="AK1002" s="1738"/>
      <c r="AL1002" s="1738"/>
      <c r="AM1002" s="1738"/>
      <c r="AN1002" s="1738"/>
      <c r="AO1002" s="1738"/>
      <c r="AP1002" s="1738"/>
      <c r="AQ1002" s="1739"/>
      <c r="AR1002" s="68"/>
      <c r="AS1002" s="68"/>
      <c r="AT1002" s="68"/>
      <c r="AU1002" s="68"/>
      <c r="AV1002" s="68"/>
      <c r="AW1002" s="68"/>
      <c r="AX1002" s="68"/>
      <c r="AY1002" s="34"/>
      <c r="AZ1002" s="34"/>
      <c r="BB1002" s="34"/>
    </row>
    <row r="1003" spans="1:55" ht="12.95" customHeight="1">
      <c r="A1003" s="14"/>
      <c r="B1003" s="258"/>
      <c r="C1003" s="82"/>
      <c r="D1003" s="1777"/>
      <c r="E1003" s="1778"/>
      <c r="F1003" s="1778"/>
      <c r="G1003" s="1778"/>
      <c r="H1003" s="1778"/>
      <c r="I1003" s="1778"/>
      <c r="J1003" s="1778"/>
      <c r="K1003" s="1778"/>
      <c r="L1003" s="1778"/>
      <c r="M1003" s="1778"/>
      <c r="N1003" s="1778"/>
      <c r="O1003" s="1778"/>
      <c r="P1003" s="1778"/>
      <c r="Q1003" s="1778"/>
      <c r="R1003" s="1778"/>
      <c r="S1003" s="1778"/>
      <c r="T1003" s="1778"/>
      <c r="U1003" s="1778"/>
      <c r="V1003" s="1778"/>
      <c r="W1003" s="1778"/>
      <c r="X1003" s="1778"/>
      <c r="Y1003" s="1778"/>
      <c r="Z1003" s="1778"/>
      <c r="AA1003" s="1778"/>
      <c r="AB1003" s="1778"/>
      <c r="AC1003" s="1778"/>
      <c r="AD1003" s="1778"/>
      <c r="AE1003" s="1779"/>
      <c r="AF1003" s="73"/>
      <c r="AG1003" s="14"/>
      <c r="AH1003" s="14"/>
      <c r="AI1003" s="83"/>
      <c r="AJ1003" s="1737"/>
      <c r="AK1003" s="1738"/>
      <c r="AL1003" s="1738"/>
      <c r="AM1003" s="1738"/>
      <c r="AN1003" s="1738"/>
      <c r="AO1003" s="1738"/>
      <c r="AP1003" s="1738"/>
      <c r="AQ1003" s="1739"/>
      <c r="AR1003" s="68"/>
      <c r="AS1003" s="68"/>
      <c r="AT1003" s="68"/>
      <c r="AU1003" s="68"/>
      <c r="AV1003" s="68"/>
      <c r="AW1003" s="68"/>
      <c r="AX1003" s="68"/>
      <c r="AY1003" s="915">
        <f>G753+O797</f>
        <v>84</v>
      </c>
      <c r="AZ1003" s="34"/>
      <c r="BB1003" s="34"/>
    </row>
    <row r="1004" spans="1:55" ht="12.95" customHeight="1">
      <c r="A1004" s="14"/>
      <c r="B1004" s="258"/>
      <c r="C1004" s="82"/>
      <c r="D1004" s="1777"/>
      <c r="E1004" s="1778"/>
      <c r="F1004" s="1778"/>
      <c r="G1004" s="1778"/>
      <c r="H1004" s="1778"/>
      <c r="I1004" s="1778"/>
      <c r="J1004" s="1778"/>
      <c r="K1004" s="1778"/>
      <c r="L1004" s="1778"/>
      <c r="M1004" s="1778"/>
      <c r="N1004" s="1778"/>
      <c r="O1004" s="1778"/>
      <c r="P1004" s="1778"/>
      <c r="Q1004" s="1778"/>
      <c r="R1004" s="1778"/>
      <c r="S1004" s="1778"/>
      <c r="T1004" s="1778"/>
      <c r="U1004" s="1778"/>
      <c r="V1004" s="1778"/>
      <c r="W1004" s="1778"/>
      <c r="X1004" s="1778"/>
      <c r="Y1004" s="1778"/>
      <c r="Z1004" s="1778"/>
      <c r="AA1004" s="1778"/>
      <c r="AB1004" s="1778"/>
      <c r="AC1004" s="1778"/>
      <c r="AD1004" s="1778"/>
      <c r="AE1004" s="1779"/>
      <c r="AF1004" s="73"/>
      <c r="AG1004" s="14"/>
      <c r="AH1004" s="14"/>
      <c r="AI1004" s="83"/>
      <c r="AJ1004" s="1737"/>
      <c r="AK1004" s="1738"/>
      <c r="AL1004" s="1738"/>
      <c r="AM1004" s="1738"/>
      <c r="AN1004" s="1738"/>
      <c r="AO1004" s="1738"/>
      <c r="AP1004" s="1738"/>
      <c r="AQ1004" s="1739"/>
      <c r="AR1004" s="68"/>
      <c r="AS1004" s="68"/>
      <c r="AT1004" s="68"/>
      <c r="AU1004" s="68"/>
      <c r="AV1004" s="68"/>
      <c r="AW1004" s="68"/>
      <c r="AX1004" s="68"/>
      <c r="AY1004" s="14"/>
      <c r="AZ1004" s="34"/>
      <c r="BB1004" s="34"/>
    </row>
    <row r="1005" spans="1:55" ht="12.95" customHeight="1">
      <c r="A1005" s="14"/>
      <c r="B1005" s="258"/>
      <c r="C1005" s="82"/>
      <c r="D1005" s="1777"/>
      <c r="E1005" s="1778"/>
      <c r="F1005" s="1778"/>
      <c r="G1005" s="1778"/>
      <c r="H1005" s="1778"/>
      <c r="I1005" s="1778"/>
      <c r="J1005" s="1778"/>
      <c r="K1005" s="1778"/>
      <c r="L1005" s="1778"/>
      <c r="M1005" s="1778"/>
      <c r="N1005" s="1778"/>
      <c r="O1005" s="1778"/>
      <c r="P1005" s="1778"/>
      <c r="Q1005" s="1778"/>
      <c r="R1005" s="1778"/>
      <c r="S1005" s="1778"/>
      <c r="T1005" s="1778"/>
      <c r="U1005" s="1778"/>
      <c r="V1005" s="1778"/>
      <c r="W1005" s="1778"/>
      <c r="X1005" s="1778"/>
      <c r="Y1005" s="1778"/>
      <c r="Z1005" s="1778"/>
      <c r="AA1005" s="1778"/>
      <c r="AB1005" s="1778"/>
      <c r="AC1005" s="1778"/>
      <c r="AD1005" s="1778"/>
      <c r="AE1005" s="1779"/>
      <c r="AF1005" s="73"/>
      <c r="AG1005" s="14"/>
      <c r="AH1005" s="14"/>
      <c r="AI1005" s="83"/>
      <c r="AJ1005" s="1737"/>
      <c r="AK1005" s="1738"/>
      <c r="AL1005" s="1738"/>
      <c r="AM1005" s="1738"/>
      <c r="AN1005" s="1738"/>
      <c r="AO1005" s="1738"/>
      <c r="AP1005" s="1738"/>
      <c r="AQ1005" s="1739"/>
      <c r="AR1005" s="68"/>
      <c r="AS1005" s="68"/>
      <c r="AT1005" s="68"/>
      <c r="AU1005" s="68"/>
      <c r="AV1005" s="68"/>
      <c r="AW1005" s="68"/>
      <c r="AX1005" s="68"/>
      <c r="AY1005" s="914">
        <f>ROUNDDOWN(X1048/I1048,2)</f>
        <v>0.69</v>
      </c>
      <c r="AZ1005" s="34"/>
      <c r="BB1005" s="34"/>
    </row>
    <row r="1006" spans="1:55" ht="12.95" customHeight="1">
      <c r="A1006" s="14"/>
      <c r="B1006" s="75"/>
      <c r="C1006" s="76"/>
      <c r="D1006" s="1780"/>
      <c r="E1006" s="1781"/>
      <c r="F1006" s="1781"/>
      <c r="G1006" s="1781"/>
      <c r="H1006" s="1781"/>
      <c r="I1006" s="1781"/>
      <c r="J1006" s="1781"/>
      <c r="K1006" s="1781"/>
      <c r="L1006" s="1781"/>
      <c r="M1006" s="1781"/>
      <c r="N1006" s="1781"/>
      <c r="O1006" s="1781"/>
      <c r="P1006" s="1781"/>
      <c r="Q1006" s="1781"/>
      <c r="R1006" s="1781"/>
      <c r="S1006" s="1781"/>
      <c r="T1006" s="1781"/>
      <c r="U1006" s="1781"/>
      <c r="V1006" s="1781"/>
      <c r="W1006" s="1781"/>
      <c r="X1006" s="1781"/>
      <c r="Y1006" s="1781"/>
      <c r="Z1006" s="1781"/>
      <c r="AA1006" s="1781"/>
      <c r="AB1006" s="1781"/>
      <c r="AC1006" s="1781"/>
      <c r="AD1006" s="1781"/>
      <c r="AE1006" s="1782"/>
      <c r="AF1006" s="77"/>
      <c r="AG1006" s="7"/>
      <c r="AH1006" s="7"/>
      <c r="AI1006" s="78"/>
      <c r="AJ1006" s="1740"/>
      <c r="AK1006" s="1741"/>
      <c r="AL1006" s="1741"/>
      <c r="AM1006" s="1741"/>
      <c r="AN1006" s="1741"/>
      <c r="AO1006" s="1741"/>
      <c r="AP1006" s="1741"/>
      <c r="AQ1006" s="1742"/>
      <c r="AR1006" s="68"/>
      <c r="AS1006" s="68"/>
      <c r="AT1006" s="68"/>
      <c r="AU1006" s="68"/>
      <c r="AV1006" s="68"/>
      <c r="AW1006" s="68"/>
      <c r="AX1006" s="68"/>
      <c r="AY1006" s="914">
        <f>ROUNDDOWN(X1052/I1052,2)</f>
        <v>0.3</v>
      </c>
      <c r="AZ1006" s="34"/>
      <c r="BB1006" s="34"/>
    </row>
    <row r="1007" spans="1:55" ht="12.95" customHeight="1">
      <c r="A1007" s="14"/>
      <c r="B1007" s="256"/>
      <c r="C1007" s="80" t="s">
        <v>672</v>
      </c>
      <c r="D1007" s="1774" t="s">
        <v>1683</v>
      </c>
      <c r="E1007" s="1775"/>
      <c r="F1007" s="1775"/>
      <c r="G1007" s="1775"/>
      <c r="H1007" s="1775"/>
      <c r="I1007" s="1775"/>
      <c r="J1007" s="1775"/>
      <c r="K1007" s="1775"/>
      <c r="L1007" s="1775"/>
      <c r="M1007" s="1775"/>
      <c r="N1007" s="1775"/>
      <c r="O1007" s="1775"/>
      <c r="P1007" s="1775"/>
      <c r="Q1007" s="1775"/>
      <c r="R1007" s="1775"/>
      <c r="S1007" s="1775"/>
      <c r="T1007" s="1775"/>
      <c r="U1007" s="1775"/>
      <c r="V1007" s="1775"/>
      <c r="W1007" s="1775"/>
      <c r="X1007" s="1775"/>
      <c r="Y1007" s="1775"/>
      <c r="Z1007" s="1775"/>
      <c r="AA1007" s="1775"/>
      <c r="AB1007" s="1775"/>
      <c r="AC1007" s="1775"/>
      <c r="AD1007" s="1775"/>
      <c r="AE1007" s="1776"/>
      <c r="AF1007" s="86"/>
      <c r="AG1007" s="1760" t="s">
        <v>669</v>
      </c>
      <c r="AH1007" s="1761"/>
      <c r="AI1007" s="87"/>
      <c r="AJ1007" s="1734">
        <f>ROUND(IF(AG1007="yes",AJ992*0.1,0),0)</f>
        <v>0</v>
      </c>
      <c r="AK1007" s="1735"/>
      <c r="AL1007" s="1735"/>
      <c r="AM1007" s="1735"/>
      <c r="AN1007" s="1735"/>
      <c r="AO1007" s="1735"/>
      <c r="AP1007" s="1735"/>
      <c r="AQ1007" s="1736"/>
      <c r="AR1007" s="68"/>
      <c r="AS1007" s="68"/>
      <c r="AT1007" s="68"/>
      <c r="AU1007" s="68"/>
      <c r="AV1007" s="68"/>
      <c r="AW1007" s="68"/>
      <c r="AX1007" s="68"/>
      <c r="BB1007" s="34"/>
    </row>
    <row r="1008" spans="1:55" ht="12.95" customHeight="1">
      <c r="A1008" s="14"/>
      <c r="B1008" s="73"/>
      <c r="C1008" s="74"/>
      <c r="D1008" s="1703" t="s">
        <v>1285</v>
      </c>
      <c r="E1008" s="1704"/>
      <c r="F1008" s="1704"/>
      <c r="G1008" s="1704"/>
      <c r="H1008" s="1704"/>
      <c r="I1008" s="1704"/>
      <c r="J1008" s="1704"/>
      <c r="K1008" s="1704"/>
      <c r="L1008" s="1704"/>
      <c r="M1008" s="1704"/>
      <c r="N1008" s="1704"/>
      <c r="O1008" s="1704"/>
      <c r="P1008" s="1704"/>
      <c r="Q1008" s="1704"/>
      <c r="R1008" s="1704"/>
      <c r="S1008" s="1704"/>
      <c r="T1008" s="1704"/>
      <c r="U1008" s="1704"/>
      <c r="V1008" s="1704"/>
      <c r="W1008" s="1704"/>
      <c r="X1008" s="1704"/>
      <c r="Y1008" s="1704"/>
      <c r="Z1008" s="1704"/>
      <c r="AA1008" s="1704"/>
      <c r="AB1008" s="1704"/>
      <c r="AC1008" s="1704"/>
      <c r="AD1008" s="1704"/>
      <c r="AE1008" s="1705"/>
      <c r="AF1008" s="73"/>
      <c r="AI1008" s="83"/>
      <c r="AJ1008" s="1737"/>
      <c r="AK1008" s="1738"/>
      <c r="AL1008" s="1738"/>
      <c r="AM1008" s="1738"/>
      <c r="AN1008" s="1738"/>
      <c r="AO1008" s="1738"/>
      <c r="AP1008" s="1738"/>
      <c r="AQ1008" s="1739"/>
      <c r="AR1008" s="68"/>
      <c r="AS1008" s="68"/>
      <c r="AT1008" s="68"/>
      <c r="AU1008" s="68"/>
      <c r="AV1008" s="68"/>
      <c r="AW1008" s="68"/>
      <c r="AX1008" s="68"/>
    </row>
    <row r="1009" spans="1:51" ht="12.95" customHeight="1">
      <c r="A1009" s="14"/>
      <c r="B1009" s="73"/>
      <c r="C1009" s="74"/>
      <c r="D1009" s="1703"/>
      <c r="E1009" s="1704"/>
      <c r="F1009" s="1704"/>
      <c r="G1009" s="1704"/>
      <c r="H1009" s="1704"/>
      <c r="I1009" s="1704"/>
      <c r="J1009" s="1704"/>
      <c r="K1009" s="1704"/>
      <c r="L1009" s="1704"/>
      <c r="M1009" s="1704"/>
      <c r="N1009" s="1704"/>
      <c r="O1009" s="1704"/>
      <c r="P1009" s="1704"/>
      <c r="Q1009" s="1704"/>
      <c r="R1009" s="1704"/>
      <c r="S1009" s="1704"/>
      <c r="T1009" s="1704"/>
      <c r="U1009" s="1704"/>
      <c r="V1009" s="1704"/>
      <c r="W1009" s="1704"/>
      <c r="X1009" s="1704"/>
      <c r="Y1009" s="1704"/>
      <c r="Z1009" s="1704"/>
      <c r="AA1009" s="1704"/>
      <c r="AB1009" s="1704"/>
      <c r="AC1009" s="1704"/>
      <c r="AD1009" s="1704"/>
      <c r="AE1009" s="1705"/>
      <c r="AF1009" s="73"/>
      <c r="AG1009" s="14"/>
      <c r="AH1009" s="14"/>
      <c r="AI1009" s="83"/>
      <c r="AJ1009" s="1737"/>
      <c r="AK1009" s="1738"/>
      <c r="AL1009" s="1738"/>
      <c r="AM1009" s="1738"/>
      <c r="AN1009" s="1738"/>
      <c r="AO1009" s="1738"/>
      <c r="AP1009" s="1738"/>
      <c r="AQ1009" s="1739"/>
      <c r="AR1009" s="68"/>
      <c r="AS1009" s="68"/>
      <c r="AT1009" s="68"/>
      <c r="AU1009" s="68"/>
      <c r="AV1009" s="68"/>
      <c r="AW1009" s="68"/>
      <c r="AX1009" s="68"/>
    </row>
    <row r="1010" spans="1:51" ht="12.95" customHeight="1">
      <c r="A1010" s="14"/>
      <c r="B1010" s="85"/>
      <c r="C1010" s="76"/>
      <c r="D1010" s="1752"/>
      <c r="E1010" s="1753"/>
      <c r="F1010" s="1753"/>
      <c r="G1010" s="1753"/>
      <c r="H1010" s="1753"/>
      <c r="I1010" s="1753"/>
      <c r="J1010" s="1753"/>
      <c r="K1010" s="1753"/>
      <c r="L1010" s="1753"/>
      <c r="M1010" s="1753"/>
      <c r="N1010" s="1753"/>
      <c r="O1010" s="1753"/>
      <c r="P1010" s="1753"/>
      <c r="Q1010" s="1753"/>
      <c r="R1010" s="1753"/>
      <c r="S1010" s="1753"/>
      <c r="T1010" s="1753"/>
      <c r="U1010" s="1753"/>
      <c r="V1010" s="1753"/>
      <c r="W1010" s="1753"/>
      <c r="X1010" s="1753"/>
      <c r="Y1010" s="1753"/>
      <c r="Z1010" s="1753"/>
      <c r="AA1010" s="1753"/>
      <c r="AB1010" s="1753"/>
      <c r="AC1010" s="1753"/>
      <c r="AD1010" s="1753"/>
      <c r="AE1010" s="1754"/>
      <c r="AF1010" s="77"/>
      <c r="AG1010" s="7"/>
      <c r="AH1010" s="7"/>
      <c r="AI1010" s="78"/>
      <c r="AJ1010" s="1740"/>
      <c r="AK1010" s="1741"/>
      <c r="AL1010" s="1741"/>
      <c r="AM1010" s="1741"/>
      <c r="AN1010" s="1741"/>
      <c r="AO1010" s="1741"/>
      <c r="AP1010" s="1741"/>
      <c r="AQ1010" s="1742"/>
      <c r="AR1010" s="68"/>
      <c r="AS1010" s="68"/>
      <c r="AT1010" s="68"/>
      <c r="AU1010" s="68"/>
      <c r="AV1010" s="68"/>
      <c r="AW1010" s="68"/>
      <c r="AX1010" s="68"/>
    </row>
    <row r="1011" spans="1:51" ht="12.95" customHeight="1">
      <c r="A1011" s="14"/>
      <c r="B1011" s="79"/>
      <c r="C1011" s="80" t="s">
        <v>212</v>
      </c>
      <c r="D1011" s="1774" t="s">
        <v>1287</v>
      </c>
      <c r="E1011" s="1775"/>
      <c r="F1011" s="1775"/>
      <c r="G1011" s="1775"/>
      <c r="H1011" s="1775"/>
      <c r="I1011" s="1775"/>
      <c r="J1011" s="1775"/>
      <c r="K1011" s="1775"/>
      <c r="L1011" s="1775"/>
      <c r="M1011" s="1775"/>
      <c r="N1011" s="1775"/>
      <c r="O1011" s="1775"/>
      <c r="P1011" s="1775"/>
      <c r="Q1011" s="1775"/>
      <c r="R1011" s="1775"/>
      <c r="S1011" s="1775"/>
      <c r="T1011" s="1775"/>
      <c r="U1011" s="1775"/>
      <c r="V1011" s="1775"/>
      <c r="W1011" s="1775"/>
      <c r="X1011" s="1775"/>
      <c r="Y1011" s="1775"/>
      <c r="Z1011" s="1775"/>
      <c r="AA1011" s="1775"/>
      <c r="AB1011" s="1775"/>
      <c r="AC1011" s="1775"/>
      <c r="AD1011" s="1775"/>
      <c r="AE1011" s="1776"/>
      <c r="AF1011" s="79"/>
      <c r="AG1011" s="1760" t="s">
        <v>669</v>
      </c>
      <c r="AH1011" s="1761"/>
      <c r="AI1011" s="87"/>
      <c r="AJ1011" s="1734">
        <f>ROUND(IF(AG1011="yes",AJ992*0.02,0),0)</f>
        <v>0</v>
      </c>
      <c r="AK1011" s="1735"/>
      <c r="AL1011" s="1735"/>
      <c r="AM1011" s="1735"/>
      <c r="AN1011" s="1735"/>
      <c r="AO1011" s="1735"/>
      <c r="AP1011" s="1735"/>
      <c r="AQ1011" s="1736"/>
      <c r="AR1011" s="68"/>
      <c r="AS1011" s="68"/>
      <c r="AT1011" s="68"/>
      <c r="AU1011" s="68"/>
      <c r="AV1011" s="68"/>
      <c r="AW1011" s="68"/>
      <c r="AX1011" s="68"/>
      <c r="AY1011" s="202">
        <f>IF(SUM(AY1015:AY1023)&lt;=0.2,SUM(AY1015:AY1023),0.2)</f>
        <v>0</v>
      </c>
    </row>
    <row r="1012" spans="1:51" ht="14.25" customHeight="1">
      <c r="A1012" s="14"/>
      <c r="B1012" s="73"/>
      <c r="C1012" s="74"/>
      <c r="D1012" s="1752" t="s">
        <v>1288</v>
      </c>
      <c r="E1012" s="1753"/>
      <c r="F1012" s="1753"/>
      <c r="G1012" s="1753"/>
      <c r="H1012" s="1753"/>
      <c r="I1012" s="1753"/>
      <c r="J1012" s="1753"/>
      <c r="K1012" s="1753"/>
      <c r="L1012" s="1753"/>
      <c r="M1012" s="1753"/>
      <c r="N1012" s="1753"/>
      <c r="O1012" s="1753"/>
      <c r="P1012" s="1753"/>
      <c r="Q1012" s="1753"/>
      <c r="R1012" s="1753"/>
      <c r="S1012" s="1753"/>
      <c r="T1012" s="1753"/>
      <c r="U1012" s="1753"/>
      <c r="V1012" s="1753"/>
      <c r="W1012" s="1753"/>
      <c r="X1012" s="1753"/>
      <c r="Y1012" s="1753"/>
      <c r="Z1012" s="1753"/>
      <c r="AA1012" s="1753"/>
      <c r="AB1012" s="1753"/>
      <c r="AC1012" s="1753"/>
      <c r="AD1012" s="1753"/>
      <c r="AE1012" s="1754"/>
      <c r="AF1012" s="77"/>
      <c r="AG1012" s="7"/>
      <c r="AH1012" s="7"/>
      <c r="AI1012" s="78"/>
      <c r="AJ1012" s="1740"/>
      <c r="AK1012" s="1741"/>
      <c r="AL1012" s="1741"/>
      <c r="AM1012" s="1741"/>
      <c r="AN1012" s="1741"/>
      <c r="AO1012" s="1741"/>
      <c r="AP1012" s="1741"/>
      <c r="AQ1012" s="1742"/>
      <c r="AR1012" s="68"/>
      <c r="AS1012" s="68"/>
      <c r="AT1012" s="68"/>
      <c r="AU1012" s="68"/>
      <c r="AV1012" s="68"/>
      <c r="AW1012" s="68"/>
      <c r="AX1012" s="68"/>
    </row>
    <row r="1013" spans="1:51" ht="12.95" customHeight="1">
      <c r="A1013" s="14"/>
      <c r="B1013" s="79"/>
      <c r="C1013" s="80" t="s">
        <v>215</v>
      </c>
      <c r="D1013" s="1774" t="s">
        <v>1289</v>
      </c>
      <c r="E1013" s="1775"/>
      <c r="F1013" s="1775"/>
      <c r="G1013" s="1775"/>
      <c r="H1013" s="1775"/>
      <c r="I1013" s="1775"/>
      <c r="J1013" s="1775"/>
      <c r="K1013" s="1775"/>
      <c r="L1013" s="1775"/>
      <c r="M1013" s="1775"/>
      <c r="N1013" s="1775"/>
      <c r="O1013" s="1775"/>
      <c r="P1013" s="1775"/>
      <c r="Q1013" s="1775"/>
      <c r="R1013" s="1775"/>
      <c r="S1013" s="1775"/>
      <c r="T1013" s="1775"/>
      <c r="U1013" s="1775"/>
      <c r="V1013" s="1775"/>
      <c r="W1013" s="1775"/>
      <c r="X1013" s="1775"/>
      <c r="Y1013" s="1775"/>
      <c r="Z1013" s="1775"/>
      <c r="AA1013" s="1775"/>
      <c r="AB1013" s="1775"/>
      <c r="AC1013" s="1775"/>
      <c r="AD1013" s="1775"/>
      <c r="AE1013" s="1776"/>
      <c r="AF1013" s="79"/>
      <c r="AG1013" s="1760" t="s">
        <v>669</v>
      </c>
      <c r="AH1013" s="1761"/>
      <c r="AI1013" s="79"/>
      <c r="AJ1013" s="1734">
        <f>ROUND(IF(AG1013="yes",AJ992*0.02,0),0)</f>
        <v>0</v>
      </c>
      <c r="AK1013" s="1735"/>
      <c r="AL1013" s="1735"/>
      <c r="AM1013" s="1735"/>
      <c r="AN1013" s="1735"/>
      <c r="AO1013" s="1735"/>
      <c r="AP1013" s="1735"/>
      <c r="AQ1013" s="1736"/>
      <c r="AR1013" s="68"/>
      <c r="AS1013" s="68"/>
      <c r="AT1013" s="68"/>
      <c r="AU1013" s="68"/>
      <c r="AV1013" s="68"/>
      <c r="AW1013" s="68"/>
      <c r="AX1013" s="68"/>
      <c r="AY1013" s="200">
        <f>IF(A1065="Yes",0.2,0)</f>
        <v>0</v>
      </c>
    </row>
    <row r="1014" spans="1:51" ht="12.95" customHeight="1">
      <c r="A1014" s="14"/>
      <c r="B1014" s="73"/>
      <c r="C1014" s="74"/>
      <c r="D1014" s="1703" t="s">
        <v>1290</v>
      </c>
      <c r="E1014" s="1704"/>
      <c r="F1014" s="1704"/>
      <c r="G1014" s="1704"/>
      <c r="H1014" s="1704"/>
      <c r="I1014" s="1704"/>
      <c r="J1014" s="1704"/>
      <c r="K1014" s="1704"/>
      <c r="L1014" s="1704"/>
      <c r="M1014" s="1704"/>
      <c r="N1014" s="1704"/>
      <c r="O1014" s="1704"/>
      <c r="P1014" s="1704"/>
      <c r="Q1014" s="1704"/>
      <c r="R1014" s="1704"/>
      <c r="S1014" s="1704"/>
      <c r="T1014" s="1704"/>
      <c r="U1014" s="1704"/>
      <c r="V1014" s="1704"/>
      <c r="W1014" s="1704"/>
      <c r="X1014" s="1704"/>
      <c r="Y1014" s="1704"/>
      <c r="Z1014" s="1704"/>
      <c r="AA1014" s="1704"/>
      <c r="AB1014" s="1704"/>
      <c r="AC1014" s="1704"/>
      <c r="AD1014" s="1704"/>
      <c r="AE1014" s="1705"/>
      <c r="AF1014" s="1856" t="str">
        <f>IF(AND(AG1013="yes",T212&lt;&gt;1),"The project may not be eligible for this boost","")</f>
        <v/>
      </c>
      <c r="AG1014" s="1857"/>
      <c r="AH1014" s="1857"/>
      <c r="AI1014" s="1858"/>
      <c r="AJ1014" s="1737"/>
      <c r="AK1014" s="1738"/>
      <c r="AL1014" s="1738"/>
      <c r="AM1014" s="1738"/>
      <c r="AN1014" s="1738"/>
      <c r="AO1014" s="1738"/>
      <c r="AP1014" s="1738"/>
      <c r="AQ1014" s="1739"/>
      <c r="AR1014" s="68"/>
      <c r="AS1014" s="68"/>
      <c r="AT1014" s="68"/>
      <c r="AU1014" s="68"/>
      <c r="AV1014" s="68"/>
      <c r="AW1014" s="68"/>
      <c r="AX1014" s="68"/>
      <c r="AY1014" s="200">
        <f>IF(A1067="Yes",0.15,0)</f>
        <v>0</v>
      </c>
    </row>
    <row r="1015" spans="1:51" ht="12.95" customHeight="1">
      <c r="A1015" s="14"/>
      <c r="B1015" s="75"/>
      <c r="C1015" s="76"/>
      <c r="D1015" s="1752"/>
      <c r="E1015" s="1753"/>
      <c r="F1015" s="1753"/>
      <c r="G1015" s="1753"/>
      <c r="H1015" s="1753"/>
      <c r="I1015" s="1753"/>
      <c r="J1015" s="1753"/>
      <c r="K1015" s="1753"/>
      <c r="L1015" s="1753"/>
      <c r="M1015" s="1753"/>
      <c r="N1015" s="1753"/>
      <c r="O1015" s="1753"/>
      <c r="P1015" s="1753"/>
      <c r="Q1015" s="1753"/>
      <c r="R1015" s="1753"/>
      <c r="S1015" s="1753"/>
      <c r="T1015" s="1753"/>
      <c r="U1015" s="1753"/>
      <c r="V1015" s="1753"/>
      <c r="W1015" s="1753"/>
      <c r="X1015" s="1753"/>
      <c r="Y1015" s="1753"/>
      <c r="Z1015" s="1753"/>
      <c r="AA1015" s="1753"/>
      <c r="AB1015" s="1753"/>
      <c r="AC1015" s="1753"/>
      <c r="AD1015" s="1753"/>
      <c r="AE1015" s="1754"/>
      <c r="AF1015" s="1859"/>
      <c r="AG1015" s="1860"/>
      <c r="AH1015" s="1860"/>
      <c r="AI1015" s="1861"/>
      <c r="AJ1015" s="1740"/>
      <c r="AK1015" s="1741"/>
      <c r="AL1015" s="1741"/>
      <c r="AM1015" s="1741"/>
      <c r="AN1015" s="1741"/>
      <c r="AO1015" s="1741"/>
      <c r="AP1015" s="1741"/>
      <c r="AQ1015" s="1742"/>
      <c r="AR1015" s="68"/>
      <c r="AS1015" s="68"/>
      <c r="AT1015" s="68"/>
      <c r="AU1015" s="68"/>
      <c r="AV1015" s="68"/>
      <c r="AW1015" s="68"/>
      <c r="AX1015" s="68"/>
      <c r="AY1015" s="200">
        <f>IF(A1070="Yes",0.05,0)</f>
        <v>0</v>
      </c>
    </row>
    <row r="1016" spans="1:51" ht="12.95" customHeight="1">
      <c r="A1016" s="14"/>
      <c r="B1016" s="79"/>
      <c r="C1016" s="80" t="s">
        <v>218</v>
      </c>
      <c r="D1016" s="1743" t="s">
        <v>2239</v>
      </c>
      <c r="E1016" s="1744"/>
      <c r="F1016" s="1744"/>
      <c r="G1016" s="1744"/>
      <c r="H1016" s="1744"/>
      <c r="I1016" s="1744"/>
      <c r="J1016" s="1744"/>
      <c r="K1016" s="1744"/>
      <c r="L1016" s="1744"/>
      <c r="M1016" s="1744"/>
      <c r="N1016" s="1744"/>
      <c r="O1016" s="1744"/>
      <c r="P1016" s="1744"/>
      <c r="Q1016" s="1744"/>
      <c r="R1016" s="1744"/>
      <c r="S1016" s="1744"/>
      <c r="T1016" s="1744"/>
      <c r="U1016" s="1744"/>
      <c r="V1016" s="1744"/>
      <c r="W1016" s="1744"/>
      <c r="X1016" s="1744"/>
      <c r="Y1016" s="1744"/>
      <c r="Z1016" s="1744"/>
      <c r="AA1016" s="1744"/>
      <c r="AB1016" s="1744"/>
      <c r="AC1016" s="1744"/>
      <c r="AD1016" s="1744"/>
      <c r="AE1016" s="1745"/>
      <c r="AF1016" s="79"/>
      <c r="AG1016" s="1760" t="s">
        <v>669</v>
      </c>
      <c r="AH1016" s="1761"/>
      <c r="AI1016" s="87"/>
      <c r="AJ1016" s="1734">
        <f>IF(AG1016="yes",AJ992*AY1011,0)</f>
        <v>0</v>
      </c>
      <c r="AK1016" s="1735"/>
      <c r="AL1016" s="1735"/>
      <c r="AM1016" s="1735"/>
      <c r="AN1016" s="1735"/>
      <c r="AO1016" s="1735"/>
      <c r="AP1016" s="1735"/>
      <c r="AQ1016" s="1736"/>
      <c r="AR1016" s="68"/>
      <c r="AS1016" s="68"/>
      <c r="AT1016" s="68"/>
      <c r="AU1016" s="68"/>
      <c r="AV1016" s="68"/>
      <c r="AW1016" s="68"/>
      <c r="AX1016" s="68"/>
      <c r="AY1016" s="200">
        <f>IF(A1075="Yes",0.02,0)</f>
        <v>0</v>
      </c>
    </row>
    <row r="1017" spans="1:51" ht="12.95" customHeight="1">
      <c r="A1017" s="14"/>
      <c r="B1017" s="73"/>
      <c r="C1017" s="74"/>
      <c r="D1017" s="1703" t="s">
        <v>1291</v>
      </c>
      <c r="E1017" s="1704"/>
      <c r="F1017" s="1704"/>
      <c r="G1017" s="1704"/>
      <c r="H1017" s="1704"/>
      <c r="I1017" s="1704"/>
      <c r="J1017" s="1704"/>
      <c r="K1017" s="1704"/>
      <c r="L1017" s="1704"/>
      <c r="M1017" s="1704"/>
      <c r="N1017" s="1704"/>
      <c r="O1017" s="1704"/>
      <c r="P1017" s="1704"/>
      <c r="Q1017" s="1704"/>
      <c r="R1017" s="1704"/>
      <c r="S1017" s="1704"/>
      <c r="T1017" s="1704"/>
      <c r="U1017" s="1704"/>
      <c r="V1017" s="1704"/>
      <c r="W1017" s="1704"/>
      <c r="X1017" s="1704"/>
      <c r="Y1017" s="1704"/>
      <c r="Z1017" s="1704"/>
      <c r="AA1017" s="1704"/>
      <c r="AB1017" s="1704"/>
      <c r="AC1017" s="1704"/>
      <c r="AD1017" s="1704"/>
      <c r="AE1017" s="1705"/>
      <c r="AF1017" s="1850" t="str">
        <f>IF(AND(AG1016="Yes",AY1011=0),AY1027,"")</f>
        <v/>
      </c>
      <c r="AG1017" s="1851"/>
      <c r="AH1017" s="1851"/>
      <c r="AI1017" s="1852"/>
      <c r="AJ1017" s="1737"/>
      <c r="AK1017" s="1738"/>
      <c r="AL1017" s="1738"/>
      <c r="AM1017" s="1738"/>
      <c r="AN1017" s="1738"/>
      <c r="AO1017" s="1738"/>
      <c r="AP1017" s="1738"/>
      <c r="AQ1017" s="1739"/>
      <c r="AR1017" s="68"/>
      <c r="AS1017" s="68"/>
      <c r="AT1017" s="68"/>
      <c r="AU1017" s="68"/>
      <c r="AV1017" s="68"/>
      <c r="AW1017" s="68"/>
      <c r="AX1017" s="68"/>
      <c r="AY1017" s="200">
        <f>IF(A1081="Yes",0.04,0)</f>
        <v>0</v>
      </c>
    </row>
    <row r="1018" spans="1:51" ht="12.95" customHeight="1">
      <c r="A1018" s="14"/>
      <c r="B1018" s="73"/>
      <c r="C1018" s="74"/>
      <c r="D1018" s="1703"/>
      <c r="E1018" s="1704"/>
      <c r="F1018" s="1704"/>
      <c r="G1018" s="1704"/>
      <c r="H1018" s="1704"/>
      <c r="I1018" s="1704"/>
      <c r="J1018" s="1704"/>
      <c r="K1018" s="1704"/>
      <c r="L1018" s="1704"/>
      <c r="M1018" s="1704"/>
      <c r="N1018" s="1704"/>
      <c r="O1018" s="1704"/>
      <c r="P1018" s="1704"/>
      <c r="Q1018" s="1704"/>
      <c r="R1018" s="1704"/>
      <c r="S1018" s="1704"/>
      <c r="T1018" s="1704"/>
      <c r="U1018" s="1704"/>
      <c r="V1018" s="1704"/>
      <c r="W1018" s="1704"/>
      <c r="X1018" s="1704"/>
      <c r="Y1018" s="1704"/>
      <c r="Z1018" s="1704"/>
      <c r="AA1018" s="1704"/>
      <c r="AB1018" s="1704"/>
      <c r="AC1018" s="1704"/>
      <c r="AD1018" s="1704"/>
      <c r="AE1018" s="1705"/>
      <c r="AF1018" s="1850"/>
      <c r="AG1018" s="1851"/>
      <c r="AH1018" s="1851"/>
      <c r="AI1018" s="1852"/>
      <c r="AJ1018" s="1737"/>
      <c r="AK1018" s="1738"/>
      <c r="AL1018" s="1738"/>
      <c r="AM1018" s="1738"/>
      <c r="AN1018" s="1738"/>
      <c r="AO1018" s="1738"/>
      <c r="AP1018" s="1738"/>
      <c r="AQ1018" s="1739"/>
      <c r="AR1018" s="68"/>
      <c r="AS1018" s="68"/>
      <c r="AT1018" s="68"/>
      <c r="AU1018" s="68"/>
      <c r="AV1018" s="68"/>
      <c r="AW1018" s="68"/>
      <c r="AX1018" s="68"/>
      <c r="AY1018" s="200">
        <f>IF(A1085="Yes",0.04,0)</f>
        <v>0</v>
      </c>
    </row>
    <row r="1019" spans="1:51" ht="12.95" customHeight="1">
      <c r="A1019" s="14"/>
      <c r="B1019" s="81"/>
      <c r="C1019" s="82"/>
      <c r="D1019" s="1752"/>
      <c r="E1019" s="1753"/>
      <c r="F1019" s="1753"/>
      <c r="G1019" s="1753"/>
      <c r="H1019" s="1753"/>
      <c r="I1019" s="1753"/>
      <c r="J1019" s="1753"/>
      <c r="K1019" s="1753"/>
      <c r="L1019" s="1753"/>
      <c r="M1019" s="1753"/>
      <c r="N1019" s="1753"/>
      <c r="O1019" s="1753"/>
      <c r="P1019" s="1753"/>
      <c r="Q1019" s="1753"/>
      <c r="R1019" s="1753"/>
      <c r="S1019" s="1753"/>
      <c r="T1019" s="1753"/>
      <c r="U1019" s="1753"/>
      <c r="V1019" s="1753"/>
      <c r="W1019" s="1753"/>
      <c r="X1019" s="1753"/>
      <c r="Y1019" s="1753"/>
      <c r="Z1019" s="1753"/>
      <c r="AA1019" s="1753"/>
      <c r="AB1019" s="1753"/>
      <c r="AC1019" s="1753"/>
      <c r="AD1019" s="1753"/>
      <c r="AE1019" s="1754"/>
      <c r="AF1019" s="1853"/>
      <c r="AG1019" s="1854"/>
      <c r="AH1019" s="1854"/>
      <c r="AI1019" s="1855"/>
      <c r="AJ1019" s="1740"/>
      <c r="AK1019" s="1741"/>
      <c r="AL1019" s="1741"/>
      <c r="AM1019" s="1741"/>
      <c r="AN1019" s="1741"/>
      <c r="AO1019" s="1741"/>
      <c r="AP1019" s="1741"/>
      <c r="AQ1019" s="1742"/>
      <c r="AR1019" s="68"/>
      <c r="AS1019" s="68"/>
      <c r="AT1019" s="68"/>
      <c r="AU1019" s="68"/>
      <c r="AV1019" s="68"/>
      <c r="AW1019" s="68"/>
      <c r="AX1019" s="68"/>
      <c r="AY1019" s="200">
        <f>IF(A1089="Yes",0.01,0)</f>
        <v>0</v>
      </c>
    </row>
    <row r="1020" spans="1:51" ht="12.95" customHeight="1">
      <c r="A1020" s="14"/>
      <c r="B1020" s="79"/>
      <c r="C1020" s="80" t="s">
        <v>223</v>
      </c>
      <c r="D1020" s="1822" t="s">
        <v>1292</v>
      </c>
      <c r="E1020" s="1823"/>
      <c r="F1020" s="1823"/>
      <c r="G1020" s="1823"/>
      <c r="H1020" s="1823"/>
      <c r="I1020" s="1823"/>
      <c r="J1020" s="1823"/>
      <c r="K1020" s="1823"/>
      <c r="L1020" s="1823"/>
      <c r="M1020" s="1823"/>
      <c r="N1020" s="1823"/>
      <c r="O1020" s="1823"/>
      <c r="P1020" s="1823"/>
      <c r="Q1020" s="1823"/>
      <c r="R1020" s="1823"/>
      <c r="S1020" s="1823"/>
      <c r="T1020" s="1823"/>
      <c r="U1020" s="1823"/>
      <c r="V1020" s="1823"/>
      <c r="W1020" s="1823"/>
      <c r="X1020" s="1823"/>
      <c r="Y1020" s="1823"/>
      <c r="Z1020" s="1823"/>
      <c r="AA1020" s="1823"/>
      <c r="AB1020" s="1823"/>
      <c r="AC1020" s="1823"/>
      <c r="AD1020" s="1823"/>
      <c r="AE1020" s="1824"/>
      <c r="AF1020" s="79"/>
      <c r="AG1020" s="1760" t="s">
        <v>669</v>
      </c>
      <c r="AH1020" s="1761"/>
      <c r="AI1020" s="87"/>
      <c r="AJ1020" s="1734">
        <f>ROUND(IF(AND(AG1020="Yes",J1024&lt;&gt;"N/A",AF1023&lt;&gt;""),MIN(AF1023,(0.15*AJ992)),0),0)</f>
        <v>0</v>
      </c>
      <c r="AK1020" s="1735"/>
      <c r="AL1020" s="1735"/>
      <c r="AM1020" s="1735"/>
      <c r="AN1020" s="1735"/>
      <c r="AO1020" s="1735"/>
      <c r="AP1020" s="1735"/>
      <c r="AQ1020" s="1736"/>
      <c r="AR1020" s="68"/>
      <c r="AS1020" s="68"/>
      <c r="AT1020" s="68"/>
      <c r="AU1020" s="68"/>
      <c r="AV1020" s="68"/>
      <c r="AW1020" s="68"/>
      <c r="AX1020" s="68"/>
      <c r="AY1020" s="200">
        <f>IF(A1094="Yes",0.01,0)</f>
        <v>0</v>
      </c>
    </row>
    <row r="1021" spans="1:51" ht="12.95" customHeight="1">
      <c r="A1021" s="14"/>
      <c r="B1021" s="81"/>
      <c r="C1021" s="84"/>
      <c r="D1021" s="1825"/>
      <c r="E1021" s="1826"/>
      <c r="F1021" s="1826"/>
      <c r="G1021" s="1826"/>
      <c r="H1021" s="1826"/>
      <c r="I1021" s="1826"/>
      <c r="J1021" s="1826"/>
      <c r="K1021" s="1826"/>
      <c r="L1021" s="1826"/>
      <c r="M1021" s="1826"/>
      <c r="N1021" s="1826"/>
      <c r="O1021" s="1826"/>
      <c r="P1021" s="1826"/>
      <c r="Q1021" s="1826"/>
      <c r="R1021" s="1826"/>
      <c r="S1021" s="1826"/>
      <c r="T1021" s="1826"/>
      <c r="U1021" s="1826"/>
      <c r="V1021" s="1826"/>
      <c r="W1021" s="1826"/>
      <c r="X1021" s="1826"/>
      <c r="Y1021" s="1826"/>
      <c r="Z1021" s="1826"/>
      <c r="AA1021" s="1826"/>
      <c r="AB1021" s="1826"/>
      <c r="AC1021" s="1826"/>
      <c r="AD1021" s="1826"/>
      <c r="AE1021" s="1827"/>
      <c r="AF1021" s="1839" t="str">
        <f>IF(AG1020="yes","Please Select Type and Enter Amount:","")</f>
        <v/>
      </c>
      <c r="AG1021" s="1840"/>
      <c r="AH1021" s="1840"/>
      <c r="AI1021" s="1841"/>
      <c r="AJ1021" s="1737"/>
      <c r="AK1021" s="1738"/>
      <c r="AL1021" s="1738"/>
      <c r="AM1021" s="1738"/>
      <c r="AN1021" s="1738"/>
      <c r="AO1021" s="1738"/>
      <c r="AP1021" s="1738"/>
      <c r="AQ1021" s="1739"/>
      <c r="AR1021" s="68"/>
      <c r="AS1021" s="68"/>
      <c r="AT1021" s="68"/>
      <c r="AU1021" s="68"/>
      <c r="AV1021" s="68"/>
      <c r="AW1021" s="68"/>
      <c r="AX1021" s="68"/>
      <c r="AY1021" s="200">
        <f>IF(A1097="Yes",0.01,0)</f>
        <v>0</v>
      </c>
    </row>
    <row r="1022" spans="1:51" ht="12.95" customHeight="1">
      <c r="A1022" s="14"/>
      <c r="B1022" s="81"/>
      <c r="C1022" s="84"/>
      <c r="D1022" s="1703" t="s">
        <v>1293</v>
      </c>
      <c r="E1022" s="1704"/>
      <c r="F1022" s="1704"/>
      <c r="G1022" s="1704"/>
      <c r="H1022" s="1704"/>
      <c r="I1022" s="1704"/>
      <c r="J1022" s="1704"/>
      <c r="K1022" s="1704"/>
      <c r="L1022" s="1704"/>
      <c r="M1022" s="1704"/>
      <c r="N1022" s="1704"/>
      <c r="O1022" s="1704"/>
      <c r="P1022" s="1704"/>
      <c r="Q1022" s="1704"/>
      <c r="R1022" s="1704"/>
      <c r="S1022" s="1704"/>
      <c r="T1022" s="1704"/>
      <c r="U1022" s="1704"/>
      <c r="V1022" s="1704"/>
      <c r="W1022" s="1704"/>
      <c r="X1022" s="1704"/>
      <c r="Y1022" s="1704"/>
      <c r="Z1022" s="1704"/>
      <c r="AA1022" s="1704"/>
      <c r="AB1022" s="1704"/>
      <c r="AC1022" s="1704"/>
      <c r="AD1022" s="1704"/>
      <c r="AE1022" s="1705"/>
      <c r="AF1022" s="1839"/>
      <c r="AG1022" s="1840"/>
      <c r="AH1022" s="1840"/>
      <c r="AI1022" s="1841"/>
      <c r="AJ1022" s="1737"/>
      <c r="AK1022" s="1738"/>
      <c r="AL1022" s="1738"/>
      <c r="AM1022" s="1738"/>
      <c r="AN1022" s="1738"/>
      <c r="AO1022" s="1738"/>
      <c r="AP1022" s="1738"/>
      <c r="AQ1022" s="1739"/>
      <c r="AR1022" s="68"/>
      <c r="AS1022" s="68"/>
      <c r="AT1022" s="68"/>
      <c r="AU1022" s="68"/>
      <c r="AV1022" s="68"/>
      <c r="AW1022" s="68"/>
      <c r="AX1022" s="68"/>
      <c r="AY1022" s="200">
        <f>IF(A1100="Yes",0.02,0)</f>
        <v>0</v>
      </c>
    </row>
    <row r="1023" spans="1:51" ht="12.95" customHeight="1">
      <c r="A1023" s="14"/>
      <c r="B1023" s="81"/>
      <c r="C1023" s="84"/>
      <c r="D1023" s="1703"/>
      <c r="E1023" s="1704"/>
      <c r="F1023" s="1704"/>
      <c r="G1023" s="1704"/>
      <c r="H1023" s="1704"/>
      <c r="I1023" s="1704"/>
      <c r="J1023" s="1704"/>
      <c r="K1023" s="1704"/>
      <c r="L1023" s="1704"/>
      <c r="M1023" s="1704"/>
      <c r="N1023" s="1704"/>
      <c r="O1023" s="1704"/>
      <c r="P1023" s="1704"/>
      <c r="Q1023" s="1704"/>
      <c r="R1023" s="1704"/>
      <c r="S1023" s="1704"/>
      <c r="T1023" s="1704"/>
      <c r="U1023" s="1704"/>
      <c r="V1023" s="1704"/>
      <c r="W1023" s="1704"/>
      <c r="X1023" s="1704"/>
      <c r="Y1023" s="1704"/>
      <c r="Z1023" s="1704"/>
      <c r="AA1023" s="1704"/>
      <c r="AB1023" s="1704"/>
      <c r="AC1023" s="1704"/>
      <c r="AD1023" s="1704"/>
      <c r="AE1023" s="1705"/>
      <c r="AF1023" s="1783"/>
      <c r="AG1023" s="1783"/>
      <c r="AH1023" s="1783"/>
      <c r="AI1023" s="1783"/>
      <c r="AJ1023" s="1737"/>
      <c r="AK1023" s="1738"/>
      <c r="AL1023" s="1738"/>
      <c r="AM1023" s="1738"/>
      <c r="AN1023" s="1738"/>
      <c r="AO1023" s="1738"/>
      <c r="AP1023" s="1738"/>
      <c r="AQ1023" s="1739"/>
      <c r="AR1023" s="68"/>
      <c r="AS1023" s="68"/>
      <c r="AT1023" s="68"/>
      <c r="AU1023" s="68"/>
      <c r="AV1023" s="68"/>
      <c r="AW1023" s="68"/>
      <c r="AX1023" s="68"/>
      <c r="AY1023" s="201">
        <f>IF(A1103="Yes",0.02,0)</f>
        <v>0</v>
      </c>
    </row>
    <row r="1024" spans="1:51" ht="12.95" customHeight="1">
      <c r="A1024" s="14"/>
      <c r="B1024" s="81"/>
      <c r="C1024" s="84"/>
      <c r="D1024" s="527" t="s">
        <v>359</v>
      </c>
      <c r="E1024" s="90"/>
      <c r="F1024" s="90"/>
      <c r="G1024" s="104"/>
      <c r="H1024" s="104"/>
      <c r="I1024" s="49"/>
      <c r="J1024" s="1831" t="s">
        <v>591</v>
      </c>
      <c r="K1024" s="1832"/>
      <c r="L1024" s="1832"/>
      <c r="M1024" s="1832"/>
      <c r="N1024" s="1832"/>
      <c r="O1024" s="1832"/>
      <c r="P1024" s="1832"/>
      <c r="Q1024" s="1832"/>
      <c r="R1024" s="1832"/>
      <c r="S1024" s="1832"/>
      <c r="T1024" s="1832"/>
      <c r="U1024" s="1832"/>
      <c r="V1024" s="1832"/>
      <c r="W1024" s="1832"/>
      <c r="X1024" s="1832"/>
      <c r="Y1024" s="1832"/>
      <c r="Z1024" s="1832"/>
      <c r="AA1024" s="1832"/>
      <c r="AB1024" s="1832"/>
      <c r="AC1024" s="1832"/>
      <c r="AD1024" s="1832"/>
      <c r="AE1024" s="1833"/>
      <c r="AF1024" s="1783"/>
      <c r="AG1024" s="1783"/>
      <c r="AH1024" s="1783"/>
      <c r="AI1024" s="1783"/>
      <c r="AJ1024" s="1740"/>
      <c r="AK1024" s="1741"/>
      <c r="AL1024" s="1741"/>
      <c r="AM1024" s="1741"/>
      <c r="AN1024" s="1741"/>
      <c r="AO1024" s="1741"/>
      <c r="AP1024" s="1741"/>
      <c r="AQ1024" s="1742"/>
      <c r="AR1024" s="68"/>
      <c r="AS1024" s="68"/>
      <c r="AT1024" s="68"/>
      <c r="AU1024" s="68"/>
      <c r="AV1024" s="68"/>
      <c r="AW1024" s="68"/>
      <c r="AX1024" s="68"/>
      <c r="AY1024" s="68"/>
    </row>
    <row r="1025" spans="1:57" ht="12.95" customHeight="1">
      <c r="A1025" s="14"/>
      <c r="B1025" s="79"/>
      <c r="C1025" s="80" t="s">
        <v>229</v>
      </c>
      <c r="D1025" s="1774" t="s">
        <v>1294</v>
      </c>
      <c r="E1025" s="1775"/>
      <c r="F1025" s="1775"/>
      <c r="G1025" s="1775"/>
      <c r="H1025" s="1775"/>
      <c r="I1025" s="1775"/>
      <c r="J1025" s="1775"/>
      <c r="K1025" s="1775"/>
      <c r="L1025" s="1775"/>
      <c r="M1025" s="1775"/>
      <c r="N1025" s="1775"/>
      <c r="O1025" s="1775"/>
      <c r="P1025" s="1775"/>
      <c r="Q1025" s="1775"/>
      <c r="R1025" s="1775"/>
      <c r="S1025" s="1775"/>
      <c r="T1025" s="1775"/>
      <c r="U1025" s="1775"/>
      <c r="V1025" s="1775"/>
      <c r="W1025" s="1775"/>
      <c r="X1025" s="1775"/>
      <c r="Y1025" s="1775"/>
      <c r="Z1025" s="1775"/>
      <c r="AA1025" s="1775"/>
      <c r="AB1025" s="1775"/>
      <c r="AC1025" s="1775"/>
      <c r="AD1025" s="1775"/>
      <c r="AE1025" s="1776"/>
      <c r="AF1025" s="79"/>
      <c r="AG1025" s="1760" t="s">
        <v>669</v>
      </c>
      <c r="AH1025" s="1761"/>
      <c r="AI1025" s="87"/>
      <c r="AJ1025" s="1734">
        <f>ROUND(IF(AG1025="Yes",AF1027,0),0)</f>
        <v>0</v>
      </c>
      <c r="AK1025" s="1735"/>
      <c r="AL1025" s="1735"/>
      <c r="AM1025" s="1735"/>
      <c r="AN1025" s="1735"/>
      <c r="AO1025" s="1735"/>
      <c r="AP1025" s="1735"/>
      <c r="AQ1025" s="1736"/>
      <c r="AR1025" s="68"/>
      <c r="AS1025" s="68"/>
      <c r="AT1025" s="68"/>
      <c r="AU1025" s="68"/>
      <c r="AV1025" s="68"/>
      <c r="AW1025" s="68"/>
      <c r="AX1025" s="68"/>
      <c r="AY1025" s="68"/>
    </row>
    <row r="1026" spans="1:57" ht="12.95" customHeight="1">
      <c r="A1026" s="14"/>
      <c r="B1026" s="73"/>
      <c r="C1026" s="74"/>
      <c r="D1026" s="1703" t="s">
        <v>1690</v>
      </c>
      <c r="E1026" s="1704"/>
      <c r="F1026" s="1704"/>
      <c r="G1026" s="1704"/>
      <c r="H1026" s="1704"/>
      <c r="I1026" s="1704"/>
      <c r="J1026" s="1704"/>
      <c r="K1026" s="1704"/>
      <c r="L1026" s="1704"/>
      <c r="M1026" s="1704"/>
      <c r="N1026" s="1704"/>
      <c r="O1026" s="1704"/>
      <c r="P1026" s="1704"/>
      <c r="Q1026" s="1704"/>
      <c r="R1026" s="1704"/>
      <c r="S1026" s="1704"/>
      <c r="T1026" s="1704"/>
      <c r="U1026" s="1704"/>
      <c r="V1026" s="1704"/>
      <c r="W1026" s="1704"/>
      <c r="X1026" s="1704"/>
      <c r="Y1026" s="1704"/>
      <c r="Z1026" s="1704"/>
      <c r="AA1026" s="1704"/>
      <c r="AB1026" s="1704"/>
      <c r="AC1026" s="1704"/>
      <c r="AD1026" s="1704"/>
      <c r="AE1026" s="1705"/>
      <c r="AF1026" s="1828" t="str">
        <f>IF(AG1025="yes","Enter Amount:","")</f>
        <v/>
      </c>
      <c r="AG1026" s="1829"/>
      <c r="AH1026" s="1829"/>
      <c r="AI1026" s="1830"/>
      <c r="AJ1026" s="1737"/>
      <c r="AK1026" s="1738"/>
      <c r="AL1026" s="1738"/>
      <c r="AM1026" s="1738"/>
      <c r="AN1026" s="1738"/>
      <c r="AO1026" s="1738"/>
      <c r="AP1026" s="1738"/>
      <c r="AQ1026" s="1739"/>
      <c r="AR1026" s="68"/>
      <c r="AS1026" s="68"/>
      <c r="AT1026" s="68"/>
      <c r="AU1026" s="68"/>
      <c r="AV1026" s="68"/>
      <c r="AW1026" s="68"/>
      <c r="AX1026" s="68"/>
      <c r="AY1026" s="68"/>
    </row>
    <row r="1027" spans="1:57" ht="12.95" customHeight="1">
      <c r="A1027" s="14"/>
      <c r="B1027" s="73"/>
      <c r="C1027" s="74"/>
      <c r="D1027" s="1703"/>
      <c r="E1027" s="1704"/>
      <c r="F1027" s="1704"/>
      <c r="G1027" s="1704"/>
      <c r="H1027" s="1704"/>
      <c r="I1027" s="1704"/>
      <c r="J1027" s="1704"/>
      <c r="K1027" s="1704"/>
      <c r="L1027" s="1704"/>
      <c r="M1027" s="1704"/>
      <c r="N1027" s="1704"/>
      <c r="O1027" s="1704"/>
      <c r="P1027" s="1704"/>
      <c r="Q1027" s="1704"/>
      <c r="R1027" s="1704"/>
      <c r="S1027" s="1704"/>
      <c r="T1027" s="1704"/>
      <c r="U1027" s="1704"/>
      <c r="V1027" s="1704"/>
      <c r="W1027" s="1704"/>
      <c r="X1027" s="1704"/>
      <c r="Y1027" s="1704"/>
      <c r="Z1027" s="1704"/>
      <c r="AA1027" s="1704"/>
      <c r="AB1027" s="1704"/>
      <c r="AC1027" s="1704"/>
      <c r="AD1027" s="1704"/>
      <c r="AE1027" s="1705"/>
      <c r="AF1027" s="1783"/>
      <c r="AG1027" s="1783"/>
      <c r="AH1027" s="1783"/>
      <c r="AI1027" s="1783"/>
      <c r="AJ1027" s="1737"/>
      <c r="AK1027" s="1738"/>
      <c r="AL1027" s="1738"/>
      <c r="AM1027" s="1738"/>
      <c r="AN1027" s="1738"/>
      <c r="AO1027" s="1738"/>
      <c r="AP1027" s="1738"/>
      <c r="AQ1027" s="1739"/>
      <c r="AR1027" s="68"/>
      <c r="AS1027" s="68"/>
      <c r="AT1027" s="68"/>
      <c r="AU1027" s="68"/>
      <c r="AV1027" s="68"/>
      <c r="AW1027" s="68"/>
      <c r="AX1027" s="68"/>
      <c r="AY1027" s="68" t="str">
        <f>"Select items beginning on row #"&amp;TEXT(ROW(A1061),"#")&amp;" to claim this boost"</f>
        <v>Select items beginning on row #1061 to claim this boost</v>
      </c>
    </row>
    <row r="1028" spans="1:57" ht="12.95" customHeight="1">
      <c r="A1028" s="14"/>
      <c r="B1028" s="85"/>
      <c r="C1028" s="84"/>
      <c r="D1028" s="1752"/>
      <c r="E1028" s="1753"/>
      <c r="F1028" s="1753"/>
      <c r="G1028" s="1753"/>
      <c r="H1028" s="1753"/>
      <c r="I1028" s="1753"/>
      <c r="J1028" s="1753"/>
      <c r="K1028" s="1753"/>
      <c r="L1028" s="1753"/>
      <c r="M1028" s="1753"/>
      <c r="N1028" s="1753"/>
      <c r="O1028" s="1753"/>
      <c r="P1028" s="1753"/>
      <c r="Q1028" s="1753"/>
      <c r="R1028" s="1753"/>
      <c r="S1028" s="1753"/>
      <c r="T1028" s="1753"/>
      <c r="U1028" s="1753"/>
      <c r="V1028" s="1753"/>
      <c r="W1028" s="1753"/>
      <c r="X1028" s="1753"/>
      <c r="Y1028" s="1753"/>
      <c r="Z1028" s="1753"/>
      <c r="AA1028" s="1753"/>
      <c r="AB1028" s="1753"/>
      <c r="AC1028" s="1753"/>
      <c r="AD1028" s="1753"/>
      <c r="AE1028" s="1754"/>
      <c r="AF1028" s="1783"/>
      <c r="AG1028" s="1783"/>
      <c r="AH1028" s="1783"/>
      <c r="AI1028" s="1783"/>
      <c r="AJ1028" s="1740"/>
      <c r="AK1028" s="1741"/>
      <c r="AL1028" s="1741"/>
      <c r="AM1028" s="1741"/>
      <c r="AN1028" s="1741"/>
      <c r="AO1028" s="1741"/>
      <c r="AP1028" s="1741"/>
      <c r="AQ1028" s="1742"/>
      <c r="AR1028" s="68"/>
      <c r="AS1028" s="68"/>
      <c r="AT1028" s="68"/>
      <c r="AU1028" s="68"/>
      <c r="AV1028" s="68"/>
      <c r="AW1028" s="68"/>
      <c r="AX1028" s="68"/>
      <c r="AY1028" s="68"/>
    </row>
    <row r="1029" spans="1:57" ht="12.95" customHeight="1">
      <c r="A1029" s="14"/>
      <c r="B1029" s="79"/>
      <c r="C1029" s="80" t="s">
        <v>234</v>
      </c>
      <c r="D1029" s="1743" t="s">
        <v>1295</v>
      </c>
      <c r="E1029" s="1744"/>
      <c r="F1029" s="1744"/>
      <c r="G1029" s="1744"/>
      <c r="H1029" s="1744"/>
      <c r="I1029" s="1744"/>
      <c r="J1029" s="1744"/>
      <c r="K1029" s="1744"/>
      <c r="L1029" s="1744"/>
      <c r="M1029" s="1744"/>
      <c r="N1029" s="1744"/>
      <c r="O1029" s="1744"/>
      <c r="P1029" s="1744"/>
      <c r="Q1029" s="1744"/>
      <c r="R1029" s="1744"/>
      <c r="S1029" s="1744"/>
      <c r="T1029" s="1744"/>
      <c r="U1029" s="1744"/>
      <c r="V1029" s="1744"/>
      <c r="W1029" s="1744"/>
      <c r="X1029" s="1744"/>
      <c r="Y1029" s="1744"/>
      <c r="Z1029" s="1744"/>
      <c r="AA1029" s="1744"/>
      <c r="AB1029" s="1744"/>
      <c r="AC1029" s="1744"/>
      <c r="AD1029" s="1744"/>
      <c r="AE1029" s="1745"/>
      <c r="AF1029" s="79"/>
      <c r="AG1029" s="1760" t="s">
        <v>669</v>
      </c>
      <c r="AH1029" s="1761"/>
      <c r="AI1029" s="87"/>
      <c r="AJ1029" s="1734">
        <f>ROUND(IF(AG1029="yes",(AJ992*0.1),0),0)</f>
        <v>0</v>
      </c>
      <c r="AK1029" s="1735"/>
      <c r="AL1029" s="1735"/>
      <c r="AM1029" s="1735"/>
      <c r="AN1029" s="1735"/>
      <c r="AO1029" s="1735"/>
      <c r="AP1029" s="1735"/>
      <c r="AQ1029" s="1736"/>
      <c r="AR1029" s="68"/>
      <c r="AS1029" s="68"/>
      <c r="AT1029" s="68"/>
      <c r="AU1029" s="68"/>
      <c r="AV1029" s="68"/>
      <c r="AW1029" s="68"/>
      <c r="AX1029" s="68"/>
      <c r="AY1029" s="68"/>
    </row>
    <row r="1030" spans="1:57" ht="12.95" customHeight="1">
      <c r="A1030" s="14"/>
      <c r="B1030" s="73"/>
      <c r="C1030" s="74"/>
      <c r="D1030" s="1703" t="s">
        <v>1296</v>
      </c>
      <c r="E1030" s="1704"/>
      <c r="F1030" s="1704"/>
      <c r="G1030" s="1704"/>
      <c r="H1030" s="1704"/>
      <c r="I1030" s="1704"/>
      <c r="J1030" s="1704"/>
      <c r="K1030" s="1704"/>
      <c r="L1030" s="1704"/>
      <c r="M1030" s="1704"/>
      <c r="N1030" s="1704"/>
      <c r="O1030" s="1704"/>
      <c r="P1030" s="1704"/>
      <c r="Q1030" s="1704"/>
      <c r="R1030" s="1704"/>
      <c r="S1030" s="1704"/>
      <c r="T1030" s="1704"/>
      <c r="U1030" s="1704"/>
      <c r="V1030" s="1704"/>
      <c r="W1030" s="1704"/>
      <c r="X1030" s="1704"/>
      <c r="Y1030" s="1704"/>
      <c r="Z1030" s="1704"/>
      <c r="AA1030" s="1704"/>
      <c r="AB1030" s="1704"/>
      <c r="AC1030" s="1704"/>
      <c r="AD1030" s="1704"/>
      <c r="AE1030" s="1705"/>
      <c r="AF1030" s="73"/>
      <c r="AG1030" s="14"/>
      <c r="AH1030" s="14"/>
      <c r="AI1030" s="83"/>
      <c r="AJ1030" s="1737"/>
      <c r="AK1030" s="1738"/>
      <c r="AL1030" s="1738"/>
      <c r="AM1030" s="1738"/>
      <c r="AN1030" s="1738"/>
      <c r="AO1030" s="1738"/>
      <c r="AP1030" s="1738"/>
      <c r="AQ1030" s="1739"/>
      <c r="AR1030" s="68"/>
      <c r="AS1030" s="68"/>
      <c r="AT1030" s="68"/>
      <c r="AU1030" s="68"/>
      <c r="AV1030" s="68"/>
      <c r="AW1030" s="68"/>
      <c r="AX1030" s="68"/>
      <c r="AY1030" s="68"/>
    </row>
    <row r="1031" spans="1:57" ht="12.95" customHeight="1">
      <c r="A1031" s="14"/>
      <c r="B1031" s="77"/>
      <c r="C1031" s="74"/>
      <c r="D1031" s="1752"/>
      <c r="E1031" s="1753"/>
      <c r="F1031" s="1753"/>
      <c r="G1031" s="1753"/>
      <c r="H1031" s="1753"/>
      <c r="I1031" s="1753"/>
      <c r="J1031" s="1753"/>
      <c r="K1031" s="1753"/>
      <c r="L1031" s="1753"/>
      <c r="M1031" s="1753"/>
      <c r="N1031" s="1753"/>
      <c r="O1031" s="1753"/>
      <c r="P1031" s="1753"/>
      <c r="Q1031" s="1753"/>
      <c r="R1031" s="1753"/>
      <c r="S1031" s="1753"/>
      <c r="T1031" s="1753"/>
      <c r="U1031" s="1753"/>
      <c r="V1031" s="1753"/>
      <c r="W1031" s="1753"/>
      <c r="X1031" s="1753"/>
      <c r="Y1031" s="1753"/>
      <c r="Z1031" s="1753"/>
      <c r="AA1031" s="1753"/>
      <c r="AB1031" s="1753"/>
      <c r="AC1031" s="1753"/>
      <c r="AD1031" s="1753"/>
      <c r="AE1031" s="1754"/>
      <c r="AF1031" s="73"/>
      <c r="AG1031" s="14"/>
      <c r="AH1031" s="14"/>
      <c r="AI1031" s="83"/>
      <c r="AJ1031" s="1740"/>
      <c r="AK1031" s="1741"/>
      <c r="AL1031" s="1741"/>
      <c r="AM1031" s="1741"/>
      <c r="AN1031" s="1741"/>
      <c r="AO1031" s="1741"/>
      <c r="AP1031" s="1741"/>
      <c r="AQ1031" s="1742"/>
      <c r="AR1031" s="68"/>
      <c r="AS1031" s="68"/>
      <c r="AT1031" s="68"/>
      <c r="AU1031" s="68"/>
      <c r="AV1031" s="68"/>
      <c r="AW1031" s="68"/>
      <c r="AX1031" s="68"/>
      <c r="AY1031" s="68"/>
    </row>
    <row r="1032" spans="1:57" ht="12.95" customHeight="1">
      <c r="A1032" s="14"/>
      <c r="B1032" s="73"/>
      <c r="C1032" s="340" t="s">
        <v>687</v>
      </c>
      <c r="D1032" s="1774" t="s">
        <v>1686</v>
      </c>
      <c r="E1032" s="1775"/>
      <c r="F1032" s="1775"/>
      <c r="G1032" s="1775"/>
      <c r="H1032" s="1775"/>
      <c r="I1032" s="1775"/>
      <c r="J1032" s="1775"/>
      <c r="K1032" s="1775"/>
      <c r="L1032" s="1775"/>
      <c r="M1032" s="1775"/>
      <c r="N1032" s="1775"/>
      <c r="O1032" s="1775"/>
      <c r="P1032" s="1775"/>
      <c r="Q1032" s="1775"/>
      <c r="R1032" s="1775"/>
      <c r="S1032" s="1775"/>
      <c r="T1032" s="1775"/>
      <c r="U1032" s="1775"/>
      <c r="V1032" s="1775"/>
      <c r="W1032" s="1775"/>
      <c r="X1032" s="1775"/>
      <c r="Y1032" s="1775"/>
      <c r="Z1032" s="1775"/>
      <c r="AA1032" s="1775"/>
      <c r="AB1032" s="1775"/>
      <c r="AC1032" s="1775"/>
      <c r="AD1032" s="1775"/>
      <c r="AE1032" s="1776"/>
      <c r="AF1032" s="79"/>
      <c r="AG1032" s="1760" t="s">
        <v>669</v>
      </c>
      <c r="AH1032" s="1761"/>
      <c r="AI1032" s="87"/>
      <c r="AJ1032" s="1734">
        <f>ROUND(IF(AG1032="yes",(AJ992*0.15),0),0)</f>
        <v>0</v>
      </c>
      <c r="AK1032" s="1735"/>
      <c r="AL1032" s="1735"/>
      <c r="AM1032" s="1735"/>
      <c r="AN1032" s="1735"/>
      <c r="AO1032" s="1735"/>
      <c r="AP1032" s="1735"/>
      <c r="AQ1032" s="1736"/>
      <c r="AR1032" s="68"/>
      <c r="AS1032" s="68"/>
      <c r="AT1032" s="68"/>
      <c r="AU1032" s="68"/>
      <c r="AV1032" s="68"/>
      <c r="AW1032" s="68"/>
      <c r="AX1032" s="68"/>
      <c r="AY1032" s="68"/>
    </row>
    <row r="1033" spans="1:57" ht="12.95" customHeight="1">
      <c r="A1033" s="14"/>
      <c r="B1033" s="73"/>
      <c r="C1033" s="74"/>
      <c r="D1033" s="1810" t="s">
        <v>1687</v>
      </c>
      <c r="E1033" s="1268"/>
      <c r="F1033" s="1268"/>
      <c r="G1033" s="1268"/>
      <c r="H1033" s="1268"/>
      <c r="I1033" s="1268"/>
      <c r="J1033" s="1268"/>
      <c r="K1033" s="1268"/>
      <c r="L1033" s="1268"/>
      <c r="M1033" s="1268"/>
      <c r="N1033" s="1268"/>
      <c r="O1033" s="1268"/>
      <c r="P1033" s="1268"/>
      <c r="Q1033" s="1268"/>
      <c r="R1033" s="1268"/>
      <c r="S1033" s="1268"/>
      <c r="T1033" s="1268"/>
      <c r="U1033" s="1268"/>
      <c r="V1033" s="1268"/>
      <c r="W1033" s="1268"/>
      <c r="X1033" s="1268"/>
      <c r="Y1033" s="1268"/>
      <c r="Z1033" s="1268"/>
      <c r="AA1033" s="1268"/>
      <c r="AB1033" s="1268"/>
      <c r="AC1033" s="1268"/>
      <c r="AD1033" s="1268"/>
      <c r="AE1033" s="1811"/>
      <c r="AF1033" s="916"/>
      <c r="AG1033" s="917"/>
      <c r="AH1033" s="917"/>
      <c r="AI1033" s="918"/>
      <c r="AJ1033" s="1737"/>
      <c r="AK1033" s="1738"/>
      <c r="AL1033" s="1738"/>
      <c r="AM1033" s="1738"/>
      <c r="AN1033" s="1738"/>
      <c r="AO1033" s="1738"/>
      <c r="AP1033" s="1738"/>
      <c r="AQ1033" s="1739"/>
      <c r="AR1033" s="68"/>
      <c r="AS1033" s="68"/>
      <c r="AT1033" s="68"/>
      <c r="AU1033" s="68"/>
      <c r="AV1033" s="68"/>
      <c r="AW1033" s="68"/>
      <c r="AX1033" s="68"/>
      <c r="AY1033" s="68"/>
    </row>
    <row r="1034" spans="1:57" ht="12.95" customHeight="1">
      <c r="A1034" s="14"/>
      <c r="B1034" s="73"/>
      <c r="C1034" s="74"/>
      <c r="D1034" s="1810"/>
      <c r="E1034" s="1268"/>
      <c r="F1034" s="1268"/>
      <c r="G1034" s="1268"/>
      <c r="H1034" s="1268"/>
      <c r="I1034" s="1268"/>
      <c r="J1034" s="1268"/>
      <c r="K1034" s="1268"/>
      <c r="L1034" s="1268"/>
      <c r="M1034" s="1268"/>
      <c r="N1034" s="1268"/>
      <c r="O1034" s="1268"/>
      <c r="P1034" s="1268"/>
      <c r="Q1034" s="1268"/>
      <c r="R1034" s="1268"/>
      <c r="S1034" s="1268"/>
      <c r="T1034" s="1268"/>
      <c r="U1034" s="1268"/>
      <c r="V1034" s="1268"/>
      <c r="W1034" s="1268"/>
      <c r="X1034" s="1268"/>
      <c r="Y1034" s="1268"/>
      <c r="Z1034" s="1268"/>
      <c r="AA1034" s="1268"/>
      <c r="AB1034" s="1268"/>
      <c r="AC1034" s="1268"/>
      <c r="AD1034" s="1268"/>
      <c r="AE1034" s="1811"/>
      <c r="AF1034" s="916"/>
      <c r="AG1034" s="917"/>
      <c r="AH1034" s="917"/>
      <c r="AI1034" s="918"/>
      <c r="AJ1034" s="1737"/>
      <c r="AK1034" s="1738"/>
      <c r="AL1034" s="1738"/>
      <c r="AM1034" s="1738"/>
      <c r="AN1034" s="1738"/>
      <c r="AO1034" s="1738"/>
      <c r="AP1034" s="1738"/>
      <c r="AQ1034" s="1739"/>
      <c r="AR1034" s="68"/>
      <c r="AS1034" s="68"/>
      <c r="AT1034" s="68"/>
      <c r="AU1034" s="68"/>
      <c r="AV1034" s="68"/>
      <c r="AW1034" s="68"/>
      <c r="AX1034" s="68"/>
      <c r="AY1034" s="68"/>
    </row>
    <row r="1035" spans="1:57" ht="12.95" customHeight="1">
      <c r="A1035" s="14"/>
      <c r="B1035" s="73"/>
      <c r="C1035" s="74"/>
      <c r="D1035" s="1812"/>
      <c r="E1035" s="1813"/>
      <c r="F1035" s="1813"/>
      <c r="G1035" s="1813"/>
      <c r="H1035" s="1813"/>
      <c r="I1035" s="1813"/>
      <c r="J1035" s="1813"/>
      <c r="K1035" s="1813"/>
      <c r="L1035" s="1813"/>
      <c r="M1035" s="1813"/>
      <c r="N1035" s="1813"/>
      <c r="O1035" s="1813"/>
      <c r="P1035" s="1813"/>
      <c r="Q1035" s="1813"/>
      <c r="R1035" s="1813"/>
      <c r="S1035" s="1813"/>
      <c r="T1035" s="1813"/>
      <c r="U1035" s="1813"/>
      <c r="V1035" s="1813"/>
      <c r="W1035" s="1813"/>
      <c r="X1035" s="1813"/>
      <c r="Y1035" s="1813"/>
      <c r="Z1035" s="1813"/>
      <c r="AA1035" s="1813"/>
      <c r="AB1035" s="1813"/>
      <c r="AC1035" s="1813"/>
      <c r="AD1035" s="1813"/>
      <c r="AE1035" s="1814"/>
      <c r="AF1035" s="919"/>
      <c r="AG1035" s="920"/>
      <c r="AH1035" s="920"/>
      <c r="AI1035" s="921"/>
      <c r="AJ1035" s="1740"/>
      <c r="AK1035" s="1741"/>
      <c r="AL1035" s="1741"/>
      <c r="AM1035" s="1741"/>
      <c r="AN1035" s="1741"/>
      <c r="AO1035" s="1741"/>
      <c r="AP1035" s="1741"/>
      <c r="AQ1035" s="1742"/>
      <c r="AR1035" s="68"/>
      <c r="AS1035" s="68"/>
      <c r="AT1035" s="68"/>
      <c r="AU1035" s="68"/>
      <c r="AV1035" s="68"/>
      <c r="AW1035" s="68"/>
      <c r="AX1035" s="68"/>
      <c r="AY1035" s="68"/>
    </row>
    <row r="1036" spans="1:57" ht="12.95" customHeight="1">
      <c r="A1036" s="14"/>
      <c r="B1036" s="73"/>
      <c r="C1036" s="340" t="s">
        <v>687</v>
      </c>
      <c r="D1036" s="1743" t="s">
        <v>1688</v>
      </c>
      <c r="E1036" s="1744"/>
      <c r="F1036" s="1744"/>
      <c r="G1036" s="1744"/>
      <c r="H1036" s="1744"/>
      <c r="I1036" s="1744"/>
      <c r="J1036" s="1744"/>
      <c r="K1036" s="1744"/>
      <c r="L1036" s="1744"/>
      <c r="M1036" s="1744"/>
      <c r="N1036" s="1744"/>
      <c r="O1036" s="1744"/>
      <c r="P1036" s="1744"/>
      <c r="Q1036" s="1744"/>
      <c r="R1036" s="1744"/>
      <c r="S1036" s="1744"/>
      <c r="T1036" s="1744"/>
      <c r="U1036" s="1744"/>
      <c r="V1036" s="1744"/>
      <c r="W1036" s="1744"/>
      <c r="X1036" s="1744"/>
      <c r="Y1036" s="1744"/>
      <c r="Z1036" s="1744"/>
      <c r="AA1036" s="1744"/>
      <c r="AB1036" s="1744"/>
      <c r="AC1036" s="1744"/>
      <c r="AD1036" s="1744"/>
      <c r="AE1036" s="1745"/>
      <c r="AF1036" s="73"/>
      <c r="AG1036" s="1762" t="s">
        <v>669</v>
      </c>
      <c r="AH1036" s="1763"/>
      <c r="AI1036" s="83"/>
      <c r="AJ1036" s="1734">
        <f>ROUND(IF(AND(AG1036="yes",AJ1032=0),(AJ992*0.1),0),0)</f>
        <v>0</v>
      </c>
      <c r="AK1036" s="1735"/>
      <c r="AL1036" s="1735"/>
      <c r="AM1036" s="1735"/>
      <c r="AN1036" s="1735"/>
      <c r="AO1036" s="1735"/>
      <c r="AP1036" s="1735"/>
      <c r="AQ1036" s="1736"/>
      <c r="AR1036" s="68"/>
      <c r="AS1036" s="68"/>
      <c r="AT1036" s="68"/>
      <c r="AU1036" s="68"/>
      <c r="AV1036" s="68"/>
      <c r="AW1036" s="68"/>
      <c r="AX1036" s="68"/>
      <c r="AY1036" s="68"/>
    </row>
    <row r="1037" spans="1:57" ht="12.95" customHeight="1">
      <c r="A1037" s="14"/>
      <c r="B1037" s="73"/>
      <c r="C1037" s="74"/>
      <c r="D1037" s="1810" t="s">
        <v>1689</v>
      </c>
      <c r="E1037" s="1268"/>
      <c r="F1037" s="1268"/>
      <c r="G1037" s="1268"/>
      <c r="H1037" s="1268"/>
      <c r="I1037" s="1268"/>
      <c r="J1037" s="1268"/>
      <c r="K1037" s="1268"/>
      <c r="L1037" s="1268"/>
      <c r="M1037" s="1268"/>
      <c r="N1037" s="1268"/>
      <c r="O1037" s="1268"/>
      <c r="P1037" s="1268"/>
      <c r="Q1037" s="1268"/>
      <c r="R1037" s="1268"/>
      <c r="S1037" s="1268"/>
      <c r="T1037" s="1268"/>
      <c r="U1037" s="1268"/>
      <c r="V1037" s="1268"/>
      <c r="W1037" s="1268"/>
      <c r="X1037" s="1268"/>
      <c r="Y1037" s="1268"/>
      <c r="Z1037" s="1268"/>
      <c r="AA1037" s="1268"/>
      <c r="AB1037" s="1268"/>
      <c r="AC1037" s="1268"/>
      <c r="AD1037" s="1268"/>
      <c r="AE1037" s="1811"/>
      <c r="AF1037" s="73"/>
      <c r="AG1037" s="14"/>
      <c r="AH1037" s="14"/>
      <c r="AI1037" s="83"/>
      <c r="AJ1037" s="1737"/>
      <c r="AK1037" s="1738"/>
      <c r="AL1037" s="1738"/>
      <c r="AM1037" s="1738"/>
      <c r="AN1037" s="1738"/>
      <c r="AO1037" s="1738"/>
      <c r="AP1037" s="1738"/>
      <c r="AQ1037" s="1739"/>
      <c r="AR1037" s="68"/>
      <c r="AS1037" s="68"/>
      <c r="AT1037" s="68"/>
      <c r="AU1037" s="68"/>
      <c r="AV1037" s="68"/>
      <c r="AW1037" s="68"/>
      <c r="AX1037" s="68"/>
      <c r="AY1037" s="68"/>
    </row>
    <row r="1038" spans="1:57" ht="12.95" customHeight="1">
      <c r="A1038" s="14"/>
      <c r="B1038" s="73"/>
      <c r="C1038" s="74"/>
      <c r="D1038" s="1810"/>
      <c r="E1038" s="1268"/>
      <c r="F1038" s="1268"/>
      <c r="G1038" s="1268"/>
      <c r="H1038" s="1268"/>
      <c r="I1038" s="1268"/>
      <c r="J1038" s="1268"/>
      <c r="K1038" s="1268"/>
      <c r="L1038" s="1268"/>
      <c r="M1038" s="1268"/>
      <c r="N1038" s="1268"/>
      <c r="O1038" s="1268"/>
      <c r="P1038" s="1268"/>
      <c r="Q1038" s="1268"/>
      <c r="R1038" s="1268"/>
      <c r="S1038" s="1268"/>
      <c r="T1038" s="1268"/>
      <c r="U1038" s="1268"/>
      <c r="V1038" s="1268"/>
      <c r="W1038" s="1268"/>
      <c r="X1038" s="1268"/>
      <c r="Y1038" s="1268"/>
      <c r="Z1038" s="1268"/>
      <c r="AA1038" s="1268"/>
      <c r="AB1038" s="1268"/>
      <c r="AC1038" s="1268"/>
      <c r="AD1038" s="1268"/>
      <c r="AE1038" s="1811"/>
      <c r="AF1038" s="73"/>
      <c r="AG1038" s="14"/>
      <c r="AH1038" s="14"/>
      <c r="AI1038" s="83"/>
      <c r="AJ1038" s="1737"/>
      <c r="AK1038" s="1738"/>
      <c r="AL1038" s="1738"/>
      <c r="AM1038" s="1738"/>
      <c r="AN1038" s="1738"/>
      <c r="AO1038" s="1738"/>
      <c r="AP1038" s="1738"/>
      <c r="AQ1038" s="1739"/>
      <c r="AR1038" s="68"/>
      <c r="AS1038" s="68"/>
      <c r="AT1038" s="68"/>
      <c r="AU1038" s="68"/>
      <c r="AV1038" s="68"/>
      <c r="AW1038" s="68"/>
      <c r="AX1038" s="68"/>
      <c r="AY1038" s="68"/>
      <c r="BA1038" s="1185">
        <f>IFERROR(('Sources and Uses Budget'!$C$17+'Sources and Uses Budget'!$C$18+'Sources and Uses Budget'!$C$22)/$AG$437,0)</f>
        <v>58139.534883720931</v>
      </c>
      <c r="BB1038" s="1185" t="s">
        <v>2492</v>
      </c>
      <c r="BC1038" s="1185"/>
      <c r="BD1038" s="1185"/>
      <c r="BE1038" s="1185"/>
    </row>
    <row r="1039" spans="1:57" ht="12.95" customHeight="1">
      <c r="A1039" s="14"/>
      <c r="B1039" s="73"/>
      <c r="C1039" s="74"/>
      <c r="D1039" s="1810"/>
      <c r="E1039" s="1268"/>
      <c r="F1039" s="1268"/>
      <c r="G1039" s="1268"/>
      <c r="H1039" s="1268"/>
      <c r="I1039" s="1268"/>
      <c r="J1039" s="1268"/>
      <c r="K1039" s="1268"/>
      <c r="L1039" s="1268"/>
      <c r="M1039" s="1268"/>
      <c r="N1039" s="1268"/>
      <c r="O1039" s="1268"/>
      <c r="P1039" s="1268"/>
      <c r="Q1039" s="1268"/>
      <c r="R1039" s="1268"/>
      <c r="S1039" s="1268"/>
      <c r="T1039" s="1268"/>
      <c r="U1039" s="1268"/>
      <c r="V1039" s="1268"/>
      <c r="W1039" s="1268"/>
      <c r="X1039" s="1268"/>
      <c r="Y1039" s="1268"/>
      <c r="Z1039" s="1268"/>
      <c r="AA1039" s="1268"/>
      <c r="AB1039" s="1268"/>
      <c r="AC1039" s="1268"/>
      <c r="AD1039" s="1268"/>
      <c r="AE1039" s="1811"/>
      <c r="AF1039" s="73"/>
      <c r="AG1039" s="14"/>
      <c r="AH1039" s="14"/>
      <c r="AI1039" s="83"/>
      <c r="AJ1039" s="1737"/>
      <c r="AK1039" s="1738"/>
      <c r="AL1039" s="1738"/>
      <c r="AM1039" s="1738"/>
      <c r="AN1039" s="1738"/>
      <c r="AO1039" s="1738"/>
      <c r="AP1039" s="1738"/>
      <c r="AQ1039" s="1739"/>
      <c r="AR1039" s="68"/>
      <c r="AS1039" s="68"/>
      <c r="AT1039" s="68"/>
      <c r="AU1039" s="68"/>
      <c r="AV1039" s="68"/>
      <c r="AW1039" s="68"/>
      <c r="AX1039" s="68"/>
      <c r="AY1039" s="68"/>
      <c r="BA1039">
        <f>IFERROR((($CI$753+$CM$753)/$AG$440),0)</f>
        <v>1</v>
      </c>
      <c r="BB1039" s="3" t="s">
        <v>2496</v>
      </c>
    </row>
    <row r="1040" spans="1:57" ht="12.95" customHeight="1">
      <c r="A1040" s="14"/>
      <c r="B1040" s="73"/>
      <c r="C1040" s="74"/>
      <c r="D1040" s="1812"/>
      <c r="E1040" s="1813"/>
      <c r="F1040" s="1813"/>
      <c r="G1040" s="1813"/>
      <c r="H1040" s="1813"/>
      <c r="I1040" s="1813"/>
      <c r="J1040" s="1813"/>
      <c r="K1040" s="1813"/>
      <c r="L1040" s="1813"/>
      <c r="M1040" s="1813"/>
      <c r="N1040" s="1813"/>
      <c r="O1040" s="1813"/>
      <c r="P1040" s="1813"/>
      <c r="Q1040" s="1813"/>
      <c r="R1040" s="1813"/>
      <c r="S1040" s="1813"/>
      <c r="T1040" s="1813"/>
      <c r="U1040" s="1813"/>
      <c r="V1040" s="1813"/>
      <c r="W1040" s="1813"/>
      <c r="X1040" s="1813"/>
      <c r="Y1040" s="1813"/>
      <c r="Z1040" s="1813"/>
      <c r="AA1040" s="1813"/>
      <c r="AB1040" s="1813"/>
      <c r="AC1040" s="1813"/>
      <c r="AD1040" s="1813"/>
      <c r="AE1040" s="1814"/>
      <c r="AF1040" s="73"/>
      <c r="AG1040" s="14"/>
      <c r="AH1040" s="14"/>
      <c r="AI1040" s="83"/>
      <c r="AJ1040" s="1737"/>
      <c r="AK1040" s="1738"/>
      <c r="AL1040" s="1738"/>
      <c r="AM1040" s="1738"/>
      <c r="AN1040" s="1738"/>
      <c r="AO1040" s="1738"/>
      <c r="AP1040" s="1738"/>
      <c r="AQ1040" s="1739"/>
      <c r="AR1040" s="68"/>
      <c r="AS1040" s="68"/>
      <c r="AT1040" s="68"/>
      <c r="AU1040" s="68"/>
      <c r="AV1040" s="68"/>
      <c r="AW1040" s="68"/>
      <c r="AX1040" s="68"/>
      <c r="AY1040" s="68"/>
      <c r="BA1040" t="b">
        <f>'Points System'!AJ164="Yes"</f>
        <v>0</v>
      </c>
      <c r="BB1040" s="3" t="s">
        <v>2493</v>
      </c>
    </row>
    <row r="1041" spans="1:56" ht="12.95" customHeight="1">
      <c r="A1041" s="14"/>
      <c r="B1041" s="79"/>
      <c r="C1041" s="131" t="s">
        <v>1010</v>
      </c>
      <c r="D1041" s="1774" t="s">
        <v>1297</v>
      </c>
      <c r="E1041" s="1775"/>
      <c r="F1041" s="1775"/>
      <c r="G1041" s="1775"/>
      <c r="H1041" s="1775"/>
      <c r="I1041" s="1775"/>
      <c r="J1041" s="1775"/>
      <c r="K1041" s="1775"/>
      <c r="L1041" s="1775"/>
      <c r="M1041" s="1775"/>
      <c r="N1041" s="1775"/>
      <c r="O1041" s="1775"/>
      <c r="P1041" s="1775"/>
      <c r="Q1041" s="1775"/>
      <c r="R1041" s="1775"/>
      <c r="S1041" s="1775"/>
      <c r="T1041" s="1775"/>
      <c r="U1041" s="1775"/>
      <c r="V1041" s="1775"/>
      <c r="W1041" s="1775"/>
      <c r="X1041" s="1775"/>
      <c r="Y1041" s="1775"/>
      <c r="Z1041" s="1775"/>
      <c r="AA1041" s="1775"/>
      <c r="AB1041" s="1775"/>
      <c r="AC1041" s="1775"/>
      <c r="AD1041" s="1775"/>
      <c r="AE1041" s="1776"/>
      <c r="AF1041" s="79"/>
      <c r="AG1041" s="1760" t="s">
        <v>669</v>
      </c>
      <c r="AH1041" s="1761"/>
      <c r="AI1041" s="87"/>
      <c r="AJ1041" s="1734">
        <f>ROUND(IF(AG1041="yes",(AJ992*0.1),0),0)</f>
        <v>0</v>
      </c>
      <c r="AK1041" s="1735"/>
      <c r="AL1041" s="1735"/>
      <c r="AM1041" s="1735"/>
      <c r="AN1041" s="1735"/>
      <c r="AO1041" s="1735"/>
      <c r="AP1041" s="1735"/>
      <c r="AQ1041" s="1736"/>
      <c r="AR1041" s="68"/>
      <c r="AS1041" s="68"/>
      <c r="AT1041" s="68"/>
      <c r="AU1041" s="68"/>
      <c r="AV1041" s="68"/>
      <c r="AW1041" s="68"/>
      <c r="AX1041" s="68"/>
      <c r="AY1041" s="68"/>
      <c r="BA1041">
        <f>Q212</f>
        <v>0</v>
      </c>
      <c r="BB1041" s="3" t="s">
        <v>2494</v>
      </c>
    </row>
    <row r="1042" spans="1:56" ht="12.95" customHeight="1">
      <c r="A1042" s="14"/>
      <c r="B1042" s="73"/>
      <c r="C1042" s="74"/>
      <c r="D1042" s="1703" t="s">
        <v>2146</v>
      </c>
      <c r="E1042" s="1704"/>
      <c r="F1042" s="1704"/>
      <c r="G1042" s="1704"/>
      <c r="H1042" s="1704"/>
      <c r="I1042" s="1704"/>
      <c r="J1042" s="1704"/>
      <c r="K1042" s="1704"/>
      <c r="L1042" s="1704"/>
      <c r="M1042" s="1704"/>
      <c r="N1042" s="1704"/>
      <c r="O1042" s="1704"/>
      <c r="P1042" s="1704"/>
      <c r="Q1042" s="1704"/>
      <c r="R1042" s="1704"/>
      <c r="S1042" s="1704"/>
      <c r="T1042" s="1704"/>
      <c r="U1042" s="1704"/>
      <c r="V1042" s="1704"/>
      <c r="W1042" s="1704"/>
      <c r="X1042" s="1704"/>
      <c r="Y1042" s="1704"/>
      <c r="Z1042" s="1704"/>
      <c r="AA1042" s="1704"/>
      <c r="AB1042" s="1704"/>
      <c r="AC1042" s="1704"/>
      <c r="AD1042" s="1704"/>
      <c r="AE1042" s="1705"/>
      <c r="AF1042" s="73"/>
      <c r="AG1042" s="14"/>
      <c r="AH1042" s="14"/>
      <c r="AI1042" s="83"/>
      <c r="AJ1042" s="1737"/>
      <c r="AK1042" s="1738"/>
      <c r="AL1042" s="1738"/>
      <c r="AM1042" s="1738"/>
      <c r="AN1042" s="1738"/>
      <c r="AO1042" s="1738"/>
      <c r="AP1042" s="1738"/>
      <c r="AQ1042" s="1739"/>
      <c r="AR1042" s="68"/>
      <c r="AS1042" s="68"/>
      <c r="AT1042" s="68"/>
      <c r="AU1042" s="68"/>
      <c r="AV1042" s="68"/>
      <c r="AW1042" s="68"/>
      <c r="AX1042" s="68"/>
      <c r="AY1042" s="68"/>
      <c r="BA1042" s="1186">
        <f>T212</f>
        <v>0</v>
      </c>
      <c r="BB1042" s="3" t="s">
        <v>2495</v>
      </c>
    </row>
    <row r="1043" spans="1:56" ht="12.95" customHeight="1">
      <c r="A1043" s="14"/>
      <c r="B1043" s="73"/>
      <c r="C1043" s="74"/>
      <c r="D1043" s="1703"/>
      <c r="E1043" s="1704"/>
      <c r="F1043" s="1704"/>
      <c r="G1043" s="1704"/>
      <c r="H1043" s="1704"/>
      <c r="I1043" s="1704"/>
      <c r="J1043" s="1704"/>
      <c r="K1043" s="1704"/>
      <c r="L1043" s="1704"/>
      <c r="M1043" s="1704"/>
      <c r="N1043" s="1704"/>
      <c r="O1043" s="1704"/>
      <c r="P1043" s="1704"/>
      <c r="Q1043" s="1704"/>
      <c r="R1043" s="1704"/>
      <c r="S1043" s="1704"/>
      <c r="T1043" s="1704"/>
      <c r="U1043" s="1704"/>
      <c r="V1043" s="1704"/>
      <c r="W1043" s="1704"/>
      <c r="X1043" s="1704"/>
      <c r="Y1043" s="1704"/>
      <c r="Z1043" s="1704"/>
      <c r="AA1043" s="1704"/>
      <c r="AB1043" s="1704"/>
      <c r="AC1043" s="1704"/>
      <c r="AD1043" s="1704"/>
      <c r="AE1043" s="1705"/>
      <c r="AF1043" s="73"/>
      <c r="AG1043" s="14"/>
      <c r="AH1043" s="14"/>
      <c r="AI1043" s="83"/>
      <c r="AJ1043" s="1737"/>
      <c r="AK1043" s="1738"/>
      <c r="AL1043" s="1738"/>
      <c r="AM1043" s="1738"/>
      <c r="AN1043" s="1738"/>
      <c r="AO1043" s="1738"/>
      <c r="AP1043" s="1738"/>
      <c r="AQ1043" s="1739"/>
      <c r="AR1043" s="68"/>
      <c r="AS1043" s="68"/>
      <c r="AT1043" s="68"/>
      <c r="AU1043" s="68"/>
      <c r="AV1043" s="68"/>
      <c r="AW1043" s="68"/>
      <c r="AX1043" s="68"/>
      <c r="AY1043" s="68"/>
    </row>
    <row r="1044" spans="1:56" ht="12.95" customHeight="1">
      <c r="A1044" s="14"/>
      <c r="B1044" s="73"/>
      <c r="C1044" s="74"/>
      <c r="D1044" s="1752"/>
      <c r="E1044" s="1753"/>
      <c r="F1044" s="1753"/>
      <c r="G1044" s="1753"/>
      <c r="H1044" s="1753"/>
      <c r="I1044" s="1753"/>
      <c r="J1044" s="1753"/>
      <c r="K1044" s="1753"/>
      <c r="L1044" s="1753"/>
      <c r="M1044" s="1753"/>
      <c r="N1044" s="1753"/>
      <c r="O1044" s="1753"/>
      <c r="P1044" s="1753"/>
      <c r="Q1044" s="1753"/>
      <c r="R1044" s="1753"/>
      <c r="S1044" s="1753"/>
      <c r="T1044" s="1753"/>
      <c r="U1044" s="1753"/>
      <c r="V1044" s="1753"/>
      <c r="W1044" s="1753"/>
      <c r="X1044" s="1753"/>
      <c r="Y1044" s="1753"/>
      <c r="Z1044" s="1753"/>
      <c r="AA1044" s="1753"/>
      <c r="AB1044" s="1753"/>
      <c r="AC1044" s="1753"/>
      <c r="AD1044" s="1753"/>
      <c r="AE1044" s="1754"/>
      <c r="AF1044" s="73"/>
      <c r="AG1044" s="14"/>
      <c r="AH1044" s="14"/>
      <c r="AI1044" s="83"/>
      <c r="AJ1044" s="1740"/>
      <c r="AK1044" s="1741"/>
      <c r="AL1044" s="1741"/>
      <c r="AM1044" s="1741"/>
      <c r="AN1044" s="1741"/>
      <c r="AO1044" s="1741"/>
      <c r="AP1044" s="1741"/>
      <c r="AQ1044" s="1742"/>
      <c r="AR1044" s="68"/>
      <c r="AS1044" s="68"/>
      <c r="AT1044" s="68"/>
      <c r="AU1044" s="68"/>
      <c r="AV1044" s="68"/>
      <c r="AW1044" s="68"/>
      <c r="AX1044" s="68"/>
      <c r="AY1044" s="68"/>
    </row>
    <row r="1045" spans="1:56" ht="12.95" customHeight="1">
      <c r="A1045" s="14"/>
      <c r="B1045" s="79"/>
      <c r="C1045" s="131" t="s">
        <v>1684</v>
      </c>
      <c r="D1045" s="1743" t="s">
        <v>1865</v>
      </c>
      <c r="E1045" s="1744"/>
      <c r="F1045" s="1744"/>
      <c r="G1045" s="1744"/>
      <c r="H1045" s="1744"/>
      <c r="I1045" s="1744"/>
      <c r="J1045" s="1744"/>
      <c r="K1045" s="1744"/>
      <c r="L1045" s="1744"/>
      <c r="M1045" s="1744"/>
      <c r="N1045" s="1744"/>
      <c r="O1045" s="1744"/>
      <c r="P1045" s="1744"/>
      <c r="Q1045" s="1744"/>
      <c r="R1045" s="1744"/>
      <c r="S1045" s="1744"/>
      <c r="T1045" s="1744"/>
      <c r="U1045" s="1744"/>
      <c r="V1045" s="1744"/>
      <c r="W1045" s="1744"/>
      <c r="X1045" s="1744"/>
      <c r="Y1045" s="1744"/>
      <c r="Z1045" s="1744"/>
      <c r="AA1045" s="1744"/>
      <c r="AB1045" s="1744"/>
      <c r="AC1045" s="1744"/>
      <c r="AD1045" s="1744"/>
      <c r="AE1045" s="1745"/>
      <c r="AF1045" s="79"/>
      <c r="AG1045" s="1758" t="str">
        <f>IF(X1048&gt;0,"Yes","No")</f>
        <v>Yes</v>
      </c>
      <c r="AH1045" s="1759"/>
      <c r="AI1045" s="87"/>
      <c r="AJ1045" s="1734">
        <f>IF((X1048=0),0,AY1005*AJ992)</f>
        <v>43890665.399999999</v>
      </c>
      <c r="AK1045" s="1735"/>
      <c r="AL1045" s="1735"/>
      <c r="AM1045" s="1735"/>
      <c r="AN1045" s="1735"/>
      <c r="AO1045" s="1735"/>
      <c r="AP1045" s="1735"/>
      <c r="AQ1045" s="1736"/>
      <c r="AR1045" s="68"/>
      <c r="AS1045" s="68"/>
      <c r="AT1045" s="68"/>
      <c r="AU1045" s="68"/>
      <c r="AV1045" s="68"/>
      <c r="AW1045" s="68"/>
      <c r="AX1045" s="68"/>
      <c r="AY1045" s="68"/>
      <c r="AZ1045" s="118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2481</v>
      </c>
      <c r="BB1045" s="3"/>
      <c r="BC1045" s="3"/>
      <c r="BD1045" s="3"/>
    </row>
    <row r="1046" spans="1:56" ht="12.95" customHeight="1">
      <c r="A1046" s="14"/>
      <c r="B1046" s="73"/>
      <c r="C1046" s="443"/>
      <c r="D1046" s="1703" t="s">
        <v>1299</v>
      </c>
      <c r="E1046" s="1704"/>
      <c r="F1046" s="1704"/>
      <c r="G1046" s="1704"/>
      <c r="H1046" s="1704"/>
      <c r="I1046" s="1704"/>
      <c r="J1046" s="1704"/>
      <c r="K1046" s="1704"/>
      <c r="L1046" s="1704"/>
      <c r="M1046" s="1704"/>
      <c r="N1046" s="1704"/>
      <c r="O1046" s="1704"/>
      <c r="P1046" s="1704"/>
      <c r="Q1046" s="1704"/>
      <c r="R1046" s="1704"/>
      <c r="S1046" s="1704"/>
      <c r="T1046" s="1704"/>
      <c r="U1046" s="1704"/>
      <c r="V1046" s="1704"/>
      <c r="W1046" s="1704"/>
      <c r="X1046" s="1704"/>
      <c r="Y1046" s="1704"/>
      <c r="Z1046" s="1704"/>
      <c r="AA1046" s="1704"/>
      <c r="AB1046" s="1704"/>
      <c r="AC1046" s="1704"/>
      <c r="AD1046" s="1704"/>
      <c r="AE1046" s="1705"/>
      <c r="AF1046" s="73"/>
      <c r="AG1046" s="444"/>
      <c r="AH1046" s="444"/>
      <c r="AI1046" s="83"/>
      <c r="AJ1046" s="1737"/>
      <c r="AK1046" s="1738"/>
      <c r="AL1046" s="1738"/>
      <c r="AM1046" s="1738"/>
      <c r="AN1046" s="1738"/>
      <c r="AO1046" s="1738"/>
      <c r="AP1046" s="1738"/>
      <c r="AQ1046" s="1739"/>
      <c r="AR1046" s="68"/>
      <c r="AS1046" s="68"/>
      <c r="AT1046" s="68"/>
      <c r="AU1046" s="13"/>
      <c r="AV1046" s="68"/>
      <c r="AW1046" s="68"/>
      <c r="AX1046" s="68"/>
      <c r="AY1046" s="68"/>
      <c r="AZ1046" s="963">
        <f>'Sources and Uses Budget'!S97*BA1046</f>
        <v>1609017</v>
      </c>
      <c r="BA1046" s="1184">
        <f>IF(BA1040,20%,15%)</f>
        <v>0.15</v>
      </c>
      <c r="BB1046" s="3" t="s">
        <v>2482</v>
      </c>
      <c r="BC1046" s="3" t="s">
        <v>2483</v>
      </c>
      <c r="BD1046" s="3"/>
    </row>
    <row r="1047" spans="1:56" ht="12.95" customHeight="1">
      <c r="A1047" s="14"/>
      <c r="B1047" s="73"/>
      <c r="C1047" s="443"/>
      <c r="D1047" s="1703"/>
      <c r="E1047" s="1704"/>
      <c r="F1047" s="1704"/>
      <c r="G1047" s="1704"/>
      <c r="H1047" s="1704"/>
      <c r="I1047" s="1704"/>
      <c r="J1047" s="1704"/>
      <c r="K1047" s="1704"/>
      <c r="L1047" s="1704"/>
      <c r="M1047" s="1704"/>
      <c r="N1047" s="1704"/>
      <c r="O1047" s="1704"/>
      <c r="P1047" s="1704"/>
      <c r="Q1047" s="1704"/>
      <c r="R1047" s="1704"/>
      <c r="S1047" s="1704"/>
      <c r="T1047" s="1704"/>
      <c r="U1047" s="1704"/>
      <c r="V1047" s="1704"/>
      <c r="W1047" s="1704"/>
      <c r="X1047" s="1704"/>
      <c r="Y1047" s="1704"/>
      <c r="Z1047" s="1704"/>
      <c r="AA1047" s="1704"/>
      <c r="AB1047" s="1704"/>
      <c r="AC1047" s="1704"/>
      <c r="AD1047" s="1704"/>
      <c r="AE1047" s="1705"/>
      <c r="AF1047" s="73"/>
      <c r="AG1047" s="444"/>
      <c r="AH1047" s="444"/>
      <c r="AI1047" s="83"/>
      <c r="AJ1047" s="1737"/>
      <c r="AK1047" s="1738"/>
      <c r="AL1047" s="1738"/>
      <c r="AM1047" s="1738"/>
      <c r="AN1047" s="1738"/>
      <c r="AO1047" s="1738"/>
      <c r="AP1047" s="1738"/>
      <c r="AQ1047" s="1739"/>
      <c r="AR1047" s="68"/>
      <c r="AS1047" s="68"/>
      <c r="AT1047" s="68"/>
      <c r="AU1047" s="13"/>
      <c r="AV1047" s="68"/>
      <c r="AW1047" s="68"/>
      <c r="AX1047" s="68"/>
      <c r="AY1047" s="68"/>
      <c r="AZ1047" s="963">
        <f>IF(M356="N/A",0,'Sources and Uses Budget'!T97*BA1047)</f>
        <v>0</v>
      </c>
      <c r="BA1047" s="1184">
        <v>0.15</v>
      </c>
      <c r="BB1047" s="3" t="s">
        <v>2482</v>
      </c>
      <c r="BC1047" s="3" t="s">
        <v>2484</v>
      </c>
      <c r="BD1047" s="3"/>
    </row>
    <row r="1048" spans="1:56" ht="12.95" customHeight="1">
      <c r="A1048" s="14"/>
      <c r="B1048" s="77"/>
      <c r="C1048" s="78"/>
      <c r="D1048" s="132" t="s">
        <v>972</v>
      </c>
      <c r="E1048" s="133"/>
      <c r="F1048" s="133"/>
      <c r="G1048" s="133"/>
      <c r="H1048" s="133"/>
      <c r="I1048" s="1799">
        <f>AY1003</f>
        <v>84</v>
      </c>
      <c r="J1048" s="1800"/>
      <c r="K1048" s="7"/>
      <c r="L1048" s="133"/>
      <c r="M1048" s="133"/>
      <c r="N1048" s="133"/>
      <c r="O1048" s="133"/>
      <c r="P1048" s="133"/>
      <c r="Q1048" s="133"/>
      <c r="R1048" s="133"/>
      <c r="S1048" s="133"/>
      <c r="T1048" s="133"/>
      <c r="U1048" s="133"/>
      <c r="V1048" s="134" t="s">
        <v>973</v>
      </c>
      <c r="W1048" s="48"/>
      <c r="X1048" s="1797">
        <f>CI753</f>
        <v>58</v>
      </c>
      <c r="Y1048" s="1798"/>
      <c r="Z1048" s="48"/>
      <c r="AA1048" s="48"/>
      <c r="AB1048" s="48"/>
      <c r="AC1048" s="48"/>
      <c r="AD1048" s="48"/>
      <c r="AE1048" s="49"/>
      <c r="AF1048" s="925"/>
      <c r="AG1048" s="926"/>
      <c r="AH1048" s="926"/>
      <c r="AI1048" s="927"/>
      <c r="AJ1048" s="1740"/>
      <c r="AK1048" s="1741"/>
      <c r="AL1048" s="1741"/>
      <c r="AM1048" s="1741"/>
      <c r="AN1048" s="1741"/>
      <c r="AO1048" s="1741"/>
      <c r="AP1048" s="1741"/>
      <c r="AQ1048" s="1742"/>
      <c r="AR1048" s="68"/>
      <c r="AS1048" s="68"/>
      <c r="AT1048" s="68"/>
      <c r="AU1048" s="14"/>
      <c r="AV1048" s="68"/>
      <c r="AW1048" s="68"/>
      <c r="AX1048" s="68"/>
      <c r="AY1048" s="68"/>
      <c r="AZ1048" s="963">
        <f>IF(M358="N/A",0,'Sources and Uses Budget'!T97*BA1048)</f>
        <v>772000</v>
      </c>
      <c r="BA1048" s="1184" cm="1">
        <f t="array" ref="BA1048">_xlfn.IFS(X180="Yes",5%,$BA$1038&gt;50000,15%,BA1039&gt;=30%,15%,TRUE,5%)</f>
        <v>0.05</v>
      </c>
      <c r="BB1048" s="3" t="s">
        <v>2482</v>
      </c>
      <c r="BC1048" s="3" t="s">
        <v>2485</v>
      </c>
      <c r="BD1048" s="3"/>
    </row>
    <row r="1049" spans="1:56" ht="12.95" customHeight="1">
      <c r="A1049" s="14"/>
      <c r="B1049" s="79"/>
      <c r="C1049" s="131" t="s">
        <v>1685</v>
      </c>
      <c r="D1049" s="1774" t="s">
        <v>2172</v>
      </c>
      <c r="E1049" s="1775"/>
      <c r="F1049" s="1775"/>
      <c r="G1049" s="1775"/>
      <c r="H1049" s="1775"/>
      <c r="I1049" s="1775"/>
      <c r="J1049" s="1775"/>
      <c r="K1049" s="1775"/>
      <c r="L1049" s="1775"/>
      <c r="M1049" s="1775"/>
      <c r="N1049" s="1775"/>
      <c r="O1049" s="1775"/>
      <c r="P1049" s="1775"/>
      <c r="Q1049" s="1775"/>
      <c r="R1049" s="1775"/>
      <c r="S1049" s="1775"/>
      <c r="T1049" s="1775"/>
      <c r="U1049" s="1775"/>
      <c r="V1049" s="1775"/>
      <c r="W1049" s="1775"/>
      <c r="X1049" s="1775"/>
      <c r="Y1049" s="1775"/>
      <c r="Z1049" s="1775"/>
      <c r="AA1049" s="1775"/>
      <c r="AB1049" s="1775"/>
      <c r="AC1049" s="1775"/>
      <c r="AD1049" s="1775"/>
      <c r="AE1049" s="1776"/>
      <c r="AF1049" s="73"/>
      <c r="AG1049" s="1758" t="str">
        <f>IF(X1052&gt;0,"Yes","No")</f>
        <v>Yes</v>
      </c>
      <c r="AH1049" s="1759"/>
      <c r="AI1049" s="83"/>
      <c r="AJ1049" s="1734">
        <f>IF((X1052=0),0,(2*AY1006)*AJ992)</f>
        <v>38165796</v>
      </c>
      <c r="AK1049" s="1735"/>
      <c r="AL1049" s="1735"/>
      <c r="AM1049" s="1735"/>
      <c r="AN1049" s="1735"/>
      <c r="AO1049" s="1735"/>
      <c r="AP1049" s="1735"/>
      <c r="AQ1049" s="1736"/>
      <c r="AR1049" s="68"/>
      <c r="AS1049" s="68"/>
      <c r="AT1049" s="68"/>
      <c r="AU1049" s="14"/>
      <c r="AV1049" s="68"/>
      <c r="AW1049" s="68"/>
      <c r="AX1049" s="68"/>
      <c r="AY1049" s="68"/>
      <c r="AZ1049" s="963">
        <f>AZ1045*BA1049</f>
        <v>0</v>
      </c>
      <c r="BA1049" s="1184">
        <v>0.15</v>
      </c>
      <c r="BB1049" s="3" t="s">
        <v>2482</v>
      </c>
      <c r="BC1049" s="3" t="s">
        <v>2486</v>
      </c>
      <c r="BD1049" s="3"/>
    </row>
    <row r="1050" spans="1:56" ht="12.95" customHeight="1">
      <c r="A1050" s="14"/>
      <c r="B1050" s="73"/>
      <c r="C1050" s="443"/>
      <c r="D1050" s="1703" t="s">
        <v>1298</v>
      </c>
      <c r="E1050" s="1704"/>
      <c r="F1050" s="1704"/>
      <c r="G1050" s="1704"/>
      <c r="H1050" s="1704"/>
      <c r="I1050" s="1704"/>
      <c r="J1050" s="1704"/>
      <c r="K1050" s="1704"/>
      <c r="L1050" s="1704"/>
      <c r="M1050" s="1704"/>
      <c r="N1050" s="1704"/>
      <c r="O1050" s="1704"/>
      <c r="P1050" s="1704"/>
      <c r="Q1050" s="1704"/>
      <c r="R1050" s="1704"/>
      <c r="S1050" s="1704"/>
      <c r="T1050" s="1704"/>
      <c r="U1050" s="1704"/>
      <c r="V1050" s="1704"/>
      <c r="W1050" s="1704"/>
      <c r="X1050" s="1704"/>
      <c r="Y1050" s="1704"/>
      <c r="Z1050" s="1704"/>
      <c r="AA1050" s="1704"/>
      <c r="AB1050" s="1704"/>
      <c r="AC1050" s="1704"/>
      <c r="AD1050" s="1704"/>
      <c r="AE1050" s="1705"/>
      <c r="AF1050" s="73"/>
      <c r="AG1050" s="444"/>
      <c r="AH1050" s="444"/>
      <c r="AI1050" s="83"/>
      <c r="AJ1050" s="1737"/>
      <c r="AK1050" s="1738"/>
      <c r="AL1050" s="1738"/>
      <c r="AM1050" s="1738"/>
      <c r="AN1050" s="1738"/>
      <c r="AO1050" s="1738"/>
      <c r="AP1050" s="1738"/>
      <c r="AQ1050" s="1739"/>
      <c r="AR1050" s="68"/>
      <c r="AS1050" s="68"/>
      <c r="AT1050" s="68"/>
      <c r="AU1050" s="68"/>
      <c r="AV1050" s="68"/>
      <c r="AW1050" s="68"/>
      <c r="AX1050" s="68"/>
      <c r="AY1050" s="68"/>
      <c r="AZ1050" s="963"/>
      <c r="BA1050" s="3"/>
      <c r="BB1050" s="3"/>
      <c r="BC1050" s="3"/>
      <c r="BD1050" s="3"/>
    </row>
    <row r="1051" spans="1:56" ht="12.95" customHeight="1">
      <c r="A1051" s="14"/>
      <c r="B1051" s="73"/>
      <c r="C1051" s="83"/>
      <c r="D1051" s="1703"/>
      <c r="E1051" s="1704"/>
      <c r="F1051" s="1704"/>
      <c r="G1051" s="1704"/>
      <c r="H1051" s="1704"/>
      <c r="I1051" s="1704"/>
      <c r="J1051" s="1704"/>
      <c r="K1051" s="1704"/>
      <c r="L1051" s="1704"/>
      <c r="M1051" s="1704"/>
      <c r="N1051" s="1704"/>
      <c r="O1051" s="1704"/>
      <c r="P1051" s="1704"/>
      <c r="Q1051" s="1704"/>
      <c r="R1051" s="1704"/>
      <c r="S1051" s="1704"/>
      <c r="T1051" s="1704"/>
      <c r="U1051" s="1704"/>
      <c r="V1051" s="1704"/>
      <c r="W1051" s="1704"/>
      <c r="X1051" s="1704"/>
      <c r="Y1051" s="1704"/>
      <c r="Z1051" s="1704"/>
      <c r="AA1051" s="1704"/>
      <c r="AB1051" s="1704"/>
      <c r="AC1051" s="1704"/>
      <c r="AD1051" s="1704"/>
      <c r="AE1051" s="1705"/>
      <c r="AF1051" s="922"/>
      <c r="AG1051" s="923"/>
      <c r="AH1051" s="923"/>
      <c r="AI1051" s="924"/>
      <c r="AJ1051" s="1737"/>
      <c r="AK1051" s="1738"/>
      <c r="AL1051" s="1738"/>
      <c r="AM1051" s="1738"/>
      <c r="AN1051" s="1738"/>
      <c r="AO1051" s="1738"/>
      <c r="AP1051" s="1738"/>
      <c r="AQ1051" s="1739"/>
      <c r="AR1051" s="68"/>
      <c r="AS1051" s="68"/>
      <c r="AT1051" s="68"/>
      <c r="AU1051" s="68"/>
      <c r="AV1051" s="68"/>
      <c r="AW1051" s="68"/>
      <c r="AX1051" s="68"/>
      <c r="AY1051" s="68"/>
      <c r="AZ1051" s="963">
        <f>ROUNDDOWN(MIN(SUM(AZ1046,AZ1047,AZ1048,AZ1049),BD1051),0)</f>
        <v>2381017</v>
      </c>
      <c r="BA1051" s="3" t="s">
        <v>2487</v>
      </c>
      <c r="BB1051" s="3"/>
      <c r="BC1051" s="3"/>
      <c r="BD1051" s="3" cm="1">
        <f t="array" ref="BD1051">_xlfn.IFS(BA1040,3000000,AND(BA1041&gt;=25%,BA1042&gt;=15),2800000,TRUE,2500000)</f>
        <v>2500000</v>
      </c>
    </row>
    <row r="1052" spans="1:56" ht="12.95" customHeight="1">
      <c r="A1052" s="14"/>
      <c r="B1052" s="77"/>
      <c r="C1052" s="78"/>
      <c r="D1052" s="132" t="s">
        <v>972</v>
      </c>
      <c r="E1052" s="133"/>
      <c r="F1052" s="133"/>
      <c r="G1052" s="133"/>
      <c r="H1052" s="133"/>
      <c r="I1052" s="1799">
        <f>AY1003</f>
        <v>84</v>
      </c>
      <c r="J1052" s="1800"/>
      <c r="K1052" s="14"/>
      <c r="L1052" s="133"/>
      <c r="M1052" s="133"/>
      <c r="N1052" s="133"/>
      <c r="O1052" s="133"/>
      <c r="P1052" s="133"/>
      <c r="Q1052" s="133"/>
      <c r="R1052" s="133"/>
      <c r="S1052" s="133"/>
      <c r="T1052" s="133"/>
      <c r="U1052" s="133"/>
      <c r="V1052" s="134" t="s">
        <v>974</v>
      </c>
      <c r="X1052" s="1797">
        <f>CM753</f>
        <v>26</v>
      </c>
      <c r="Y1052" s="1798"/>
      <c r="AF1052" s="925"/>
      <c r="AG1052" s="926"/>
      <c r="AH1052" s="926"/>
      <c r="AI1052" s="927"/>
      <c r="AJ1052" s="1740"/>
      <c r="AK1052" s="1741"/>
      <c r="AL1052" s="1741"/>
      <c r="AM1052" s="1741"/>
      <c r="AN1052" s="1741"/>
      <c r="AO1052" s="1741"/>
      <c r="AP1052" s="1741"/>
      <c r="AQ1052" s="1742"/>
      <c r="AR1052" s="68"/>
      <c r="AS1052" s="68"/>
      <c r="AT1052" s="68"/>
      <c r="AU1052" s="68"/>
      <c r="AV1052" s="68"/>
      <c r="AW1052" s="68"/>
      <c r="AX1052" s="68"/>
      <c r="AY1052" s="68"/>
      <c r="AZ1052" s="963">
        <f>ROUNDDOWN(MAX(0,BA1052*(SUM(AG1093,AL1093,AZ1045)-BD1052))+BF1052,0)</f>
        <v>0</v>
      </c>
      <c r="BA1052" s="1184">
        <f>IF(L1042,7%,5%)</f>
        <v>0.05</v>
      </c>
      <c r="BB1052" s="3" t="s">
        <v>2488</v>
      </c>
      <c r="BC1052" s="3"/>
      <c r="BD1052" s="3">
        <v>6666667</v>
      </c>
    </row>
    <row r="1053" spans="1:56" ht="12.95" customHeight="1">
      <c r="A1053" s="14"/>
      <c r="B1053" s="102"/>
      <c r="C1053" s="103"/>
      <c r="D1053" s="1795" t="s">
        <v>513</v>
      </c>
      <c r="E1053" s="1795"/>
      <c r="F1053" s="1795"/>
      <c r="G1053" s="1795"/>
      <c r="H1053" s="1795"/>
      <c r="I1053" s="1795"/>
      <c r="J1053" s="1795"/>
      <c r="K1053" s="1795"/>
      <c r="L1053" s="1795"/>
      <c r="M1053" s="1795"/>
      <c r="N1053" s="1795"/>
      <c r="O1053" s="1795"/>
      <c r="P1053" s="1795"/>
      <c r="Q1053" s="1795"/>
      <c r="R1053" s="1795"/>
      <c r="S1053" s="1795"/>
      <c r="T1053" s="1795"/>
      <c r="U1053" s="1795"/>
      <c r="V1053" s="1795"/>
      <c r="W1053" s="1795"/>
      <c r="X1053" s="1795"/>
      <c r="Y1053" s="1795"/>
      <c r="Z1053" s="1795"/>
      <c r="AA1053" s="1795"/>
      <c r="AB1053" s="1795"/>
      <c r="AC1053" s="1795"/>
      <c r="AD1053" s="1795"/>
      <c r="AE1053" s="1795"/>
      <c r="AF1053" s="1795"/>
      <c r="AG1053" s="1795"/>
      <c r="AH1053" s="1795"/>
      <c r="AI1053" s="1796"/>
      <c r="AJ1053" s="1807">
        <f>SUM(AJ992:AQ1052)</f>
        <v>145666121.40000001</v>
      </c>
      <c r="AK1053" s="1808"/>
      <c r="AL1053" s="1808"/>
      <c r="AM1053" s="1808"/>
      <c r="AN1053" s="1808"/>
      <c r="AO1053" s="1808"/>
      <c r="AP1053" s="1808"/>
      <c r="AQ1053" s="1809"/>
      <c r="AR1053" s="68"/>
      <c r="AS1053" s="68"/>
      <c r="AT1053" s="68"/>
      <c r="AU1053" s="68"/>
      <c r="AV1053" s="68"/>
      <c r="AW1053" s="68"/>
      <c r="AX1053" s="68"/>
      <c r="AY1053" s="68"/>
      <c r="AZ1053" s="1183">
        <v>6000000</v>
      </c>
      <c r="BA1053" s="3" t="s">
        <v>2489</v>
      </c>
      <c r="BB1053" s="3"/>
      <c r="BC1053" s="3"/>
      <c r="BD1053" s="3"/>
    </row>
    <row r="1054" spans="1:56" ht="12.95" customHeight="1">
      <c r="A1054" s="14"/>
      <c r="B1054" s="14"/>
      <c r="C1054" s="209"/>
      <c r="D1054" s="214"/>
      <c r="E1054" s="214"/>
      <c r="F1054" s="214"/>
      <c r="G1054" s="214"/>
      <c r="H1054" s="214"/>
      <c r="I1054" s="214"/>
      <c r="J1054" s="214"/>
      <c r="K1054" s="214"/>
      <c r="L1054" s="214"/>
      <c r="M1054" s="214"/>
      <c r="N1054" s="214"/>
      <c r="O1054" s="214"/>
      <c r="P1054" s="214"/>
      <c r="Q1054" s="214"/>
      <c r="R1054" s="214"/>
      <c r="S1054" s="214"/>
      <c r="T1054" s="210"/>
      <c r="U1054" s="210"/>
      <c r="V1054" s="210"/>
      <c r="W1054" s="210"/>
      <c r="X1054" s="210"/>
      <c r="Y1054" s="210"/>
      <c r="Z1054" s="210"/>
      <c r="AA1054" s="210"/>
      <c r="AB1054" s="210"/>
      <c r="AC1054" s="210"/>
      <c r="AD1054" s="208"/>
      <c r="AE1054" s="208"/>
      <c r="AF1054" s="208"/>
      <c r="AG1054" s="208"/>
      <c r="AH1054" s="208"/>
      <c r="AI1054" s="208"/>
      <c r="AJ1054" s="208"/>
      <c r="AK1054" s="208"/>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5" t="s">
        <v>2474</v>
      </c>
      <c r="H1055" s="1176"/>
      <c r="I1055" s="1176"/>
      <c r="J1055" s="1176"/>
      <c r="K1055" s="1176"/>
      <c r="L1055" s="1176"/>
      <c r="M1055" s="1176"/>
      <c r="N1055" s="1176"/>
      <c r="O1055" s="1176"/>
      <c r="P1055" s="1176"/>
      <c r="Q1055" s="1176"/>
      <c r="R1055" s="1176"/>
      <c r="S1055" s="1176"/>
      <c r="T1055" s="1176"/>
      <c r="U1055" s="1176"/>
      <c r="V1055" s="1176"/>
      <c r="W1055" s="1176"/>
      <c r="X1055" s="1176"/>
      <c r="Y1055" s="1176"/>
      <c r="Z1055" s="1176"/>
      <c r="AA1055" s="1176"/>
      <c r="AB1055" s="1176"/>
      <c r="AC1055" s="1176"/>
      <c r="AD1055" s="1176"/>
      <c r="AE1055" s="1176"/>
      <c r="AF1055" s="1176"/>
      <c r="AG1055" s="1177"/>
      <c r="AH1055" s="1177"/>
      <c r="AI1055" s="1177"/>
      <c r="AJ1055" s="1177"/>
      <c r="AK1055" s="1177"/>
      <c r="AL1055" s="1177"/>
      <c r="AM1055" s="1177"/>
      <c r="AN1055" s="1177"/>
      <c r="AO1055" s="68"/>
      <c r="AP1055" s="68"/>
      <c r="AQ1055" s="68"/>
      <c r="AR1055" s="68"/>
      <c r="AS1055" s="68"/>
      <c r="AT1055" s="68"/>
      <c r="AU1055" s="68"/>
      <c r="AV1055" s="68"/>
      <c r="AW1055" s="68"/>
      <c r="AX1055" s="68"/>
      <c r="AY1055" s="68"/>
      <c r="AZ1055" s="3"/>
      <c r="BA1055" s="963">
        <f>MIN(MIN(MAX(AZ1051,AZ1052),AZ1053),BA1056)</f>
        <v>2381017</v>
      </c>
      <c r="BB1055" s="3" t="s">
        <v>2490</v>
      </c>
      <c r="BC1055" s="3"/>
      <c r="BD1055" s="3"/>
    </row>
    <row r="1056" spans="1:56" ht="12.95" customHeight="1">
      <c r="A1056" s="14"/>
      <c r="B1056" s="68"/>
      <c r="C1056" s="68"/>
      <c r="D1056" s="68"/>
      <c r="E1056" s="68"/>
      <c r="F1056" s="68"/>
      <c r="G1056" s="1178" t="s">
        <v>2475</v>
      </c>
      <c r="H1056" s="1179"/>
      <c r="I1056" s="1179"/>
      <c r="J1056" s="1179"/>
      <c r="K1056" s="1179"/>
      <c r="L1056" s="1179"/>
      <c r="M1056" s="1179"/>
      <c r="N1056" s="1179"/>
      <c r="O1056" s="1179"/>
      <c r="P1056" s="1179"/>
      <c r="Q1056" s="1179"/>
      <c r="R1056" s="1179"/>
      <c r="S1056" s="1179"/>
      <c r="T1056" s="1179"/>
      <c r="U1056" s="1179"/>
      <c r="V1056" s="1179"/>
      <c r="W1056" s="1179"/>
      <c r="X1056" s="1179"/>
      <c r="Y1056" s="1179"/>
      <c r="Z1056" s="1179"/>
      <c r="AA1056" s="1342">
        <f>'Sources and Uses Budget'!S107+'Sources and Uses Budget'!T107</f>
        <v>28547797</v>
      </c>
      <c r="AB1056" s="1342"/>
      <c r="AC1056" s="1342"/>
      <c r="AD1056" s="1342"/>
      <c r="AE1056" s="1342"/>
      <c r="AF1056" s="1342"/>
      <c r="AG1056" s="1177"/>
      <c r="AH1056" s="1177"/>
      <c r="AI1056" s="1177"/>
      <c r="AJ1056" s="1177"/>
      <c r="AK1056" s="1177"/>
      <c r="AL1056" s="1177"/>
      <c r="AM1056" s="1177"/>
      <c r="AN1056" s="1177"/>
      <c r="AO1056" s="68"/>
      <c r="AP1056" s="68"/>
      <c r="AQ1056" s="68"/>
      <c r="AR1056" s="68"/>
      <c r="AS1056" s="68"/>
      <c r="AT1056" s="68"/>
      <c r="AU1056" s="68"/>
      <c r="AV1056" s="13"/>
      <c r="AW1056" s="13"/>
      <c r="AX1056" s="13"/>
      <c r="AY1056" s="13"/>
      <c r="AZ1056" s="3"/>
      <c r="BA1056" s="963">
        <f>SUM(AZ1046:AZ1049)</f>
        <v>2381017</v>
      </c>
      <c r="BB1056" s="3" t="s">
        <v>2491</v>
      </c>
      <c r="BC1056" s="3"/>
      <c r="BD1056" s="3"/>
    </row>
    <row r="1057" spans="1:54" ht="12.95" customHeight="1">
      <c r="A1057" s="14"/>
      <c r="B1057" s="68"/>
      <c r="C1057" s="68"/>
      <c r="D1057" s="68"/>
      <c r="E1057" s="68"/>
      <c r="F1057" s="68"/>
      <c r="G1057" s="1178"/>
      <c r="H1057" s="1178" t="s">
        <v>2476</v>
      </c>
      <c r="I1057" s="1179"/>
      <c r="J1057" s="1179"/>
      <c r="K1057" s="1179"/>
      <c r="L1057" s="1179"/>
      <c r="M1057" s="1179"/>
      <c r="N1057" s="1179"/>
      <c r="O1057" s="1179"/>
      <c r="P1057" s="1179"/>
      <c r="Q1057" s="1179"/>
      <c r="R1057" s="1179"/>
      <c r="S1057" s="1179"/>
      <c r="T1057" s="1179"/>
      <c r="U1057" s="1179"/>
      <c r="V1057" s="1179"/>
      <c r="W1057" s="1179"/>
      <c r="X1057" s="1179"/>
      <c r="Y1057" s="1179"/>
      <c r="Z1057" s="1181"/>
      <c r="AA1057" s="1343">
        <f>IFERROR((AA1056-BA1059)/(AJ1053-AJ1045-AJ1049),"")</f>
        <v>0.44879656643346311</v>
      </c>
      <c r="AB1057" s="1344"/>
      <c r="AC1057" s="1344"/>
      <c r="AD1057" s="1344"/>
      <c r="AE1057" s="1344"/>
      <c r="AF1057" s="1345"/>
      <c r="AG1057" s="1180"/>
      <c r="AH1057" s="1177"/>
      <c r="AI1057" s="1177"/>
      <c r="AJ1057" s="1177"/>
      <c r="AK1057" s="1177"/>
      <c r="AL1057" s="1177"/>
      <c r="AM1057" s="1177"/>
      <c r="AN1057" s="1177"/>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346"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6"/>
      <c r="I1058" s="1346"/>
      <c r="J1058" s="1346"/>
      <c r="K1058" s="1346"/>
      <c r="L1058" s="1346"/>
      <c r="M1058" s="1346"/>
      <c r="N1058" s="1346"/>
      <c r="O1058" s="1346"/>
      <c r="P1058" s="1346"/>
      <c r="Q1058" s="1346"/>
      <c r="R1058" s="1346"/>
      <c r="S1058" s="1346"/>
      <c r="T1058" s="1346"/>
      <c r="U1058" s="1346"/>
      <c r="V1058" s="1346"/>
      <c r="W1058" s="1346"/>
      <c r="X1058" s="1346"/>
      <c r="Y1058" s="1346"/>
      <c r="Z1058" s="1346"/>
      <c r="AA1058" s="1346"/>
      <c r="AB1058" s="1346"/>
      <c r="AC1058" s="1346"/>
      <c r="AD1058" s="1346"/>
      <c r="AE1058" s="1346"/>
      <c r="AF1058" s="1346"/>
      <c r="AG1058" s="1346"/>
      <c r="AH1058" s="1346"/>
      <c r="AI1058" s="1346"/>
      <c r="AJ1058" s="1346"/>
      <c r="AK1058" s="1346"/>
      <c r="AL1058" s="1346"/>
      <c r="AM1058" s="1346"/>
      <c r="AN1058" s="1346"/>
      <c r="AO1058" s="68"/>
      <c r="AP1058" s="68"/>
      <c r="AQ1058" s="68"/>
      <c r="AR1058" s="68"/>
      <c r="AS1058" s="68"/>
      <c r="AT1058" s="68"/>
      <c r="AU1058" s="68"/>
      <c r="AV1058" s="14"/>
      <c r="AW1058" s="14"/>
      <c r="AX1058" s="14"/>
      <c r="AY1058" s="14"/>
      <c r="BA1058" s="1187">
        <f>'Sources and Uses Budget'!$S$104+'Sources and Uses Budget'!$T$104</f>
        <v>2381017</v>
      </c>
      <c r="BB1058" s="3" t="s">
        <v>2497</v>
      </c>
    </row>
    <row r="1059" spans="1:54" ht="12.95" customHeight="1">
      <c r="A1059" s="14"/>
      <c r="B1059" s="14"/>
      <c r="C1059" s="209"/>
      <c r="D1059" s="859"/>
      <c r="E1059" s="859"/>
      <c r="F1059" s="859"/>
      <c r="G1059" s="1346"/>
      <c r="H1059" s="1346"/>
      <c r="I1059" s="1346"/>
      <c r="J1059" s="1346"/>
      <c r="K1059" s="1346"/>
      <c r="L1059" s="1346"/>
      <c r="M1059" s="1346"/>
      <c r="N1059" s="1346"/>
      <c r="O1059" s="1346"/>
      <c r="P1059" s="1346"/>
      <c r="Q1059" s="1346"/>
      <c r="R1059" s="1346"/>
      <c r="S1059" s="1346"/>
      <c r="T1059" s="1346"/>
      <c r="U1059" s="1346"/>
      <c r="V1059" s="1346"/>
      <c r="W1059" s="1346"/>
      <c r="X1059" s="1346"/>
      <c r="Y1059" s="1346"/>
      <c r="Z1059" s="1346"/>
      <c r="AA1059" s="1346"/>
      <c r="AB1059" s="1346"/>
      <c r="AC1059" s="1346"/>
      <c r="AD1059" s="1346"/>
      <c r="AE1059" s="1346"/>
      <c r="AF1059" s="1346"/>
      <c r="AG1059" s="1346"/>
      <c r="AH1059" s="1346"/>
      <c r="AI1059" s="1346"/>
      <c r="AJ1059" s="1346"/>
      <c r="AK1059" s="1346"/>
      <c r="AL1059" s="1346"/>
      <c r="AM1059" s="1346"/>
      <c r="AN1059" s="1346"/>
      <c r="AO1059" s="68"/>
      <c r="AP1059" s="68"/>
      <c r="AQ1059" s="68"/>
      <c r="AR1059" s="68"/>
      <c r="AS1059" s="68"/>
      <c r="AT1059" s="68"/>
      <c r="AU1059" s="68"/>
      <c r="AV1059" s="14"/>
      <c r="AW1059" s="14"/>
      <c r="AX1059" s="14"/>
      <c r="AY1059" s="14"/>
      <c r="BA1059" s="1188">
        <f>MAX($BA$1058-$BA$1055,0)</f>
        <v>0</v>
      </c>
      <c r="BB1059" s="3" t="s">
        <v>2498</v>
      </c>
    </row>
    <row r="1060" spans="1:54" ht="12.95" customHeight="1">
      <c r="A1060" s="88"/>
      <c r="B1060" s="1174"/>
      <c r="C1060" s="1174"/>
      <c r="D1060" s="1174"/>
      <c r="E1060" s="1174"/>
      <c r="F1060" s="1174"/>
      <c r="G1060" s="1346"/>
      <c r="H1060" s="1346"/>
      <c r="I1060" s="1346"/>
      <c r="J1060" s="1346"/>
      <c r="K1060" s="1346"/>
      <c r="L1060" s="1346"/>
      <c r="M1060" s="1346"/>
      <c r="N1060" s="1346"/>
      <c r="O1060" s="1346"/>
      <c r="P1060" s="1346"/>
      <c r="Q1060" s="1346"/>
      <c r="R1060" s="1346"/>
      <c r="S1060" s="1346"/>
      <c r="T1060" s="1346"/>
      <c r="U1060" s="1346"/>
      <c r="V1060" s="1346"/>
      <c r="W1060" s="1346"/>
      <c r="X1060" s="1346"/>
      <c r="Y1060" s="1346"/>
      <c r="Z1060" s="1346"/>
      <c r="AA1060" s="1346"/>
      <c r="AB1060" s="1346"/>
      <c r="AC1060" s="1346"/>
      <c r="AD1060" s="1346"/>
      <c r="AE1060" s="1346"/>
      <c r="AF1060" s="1346"/>
      <c r="AG1060" s="1346"/>
      <c r="AH1060" s="1346"/>
      <c r="AI1060" s="1346"/>
      <c r="AJ1060" s="1346"/>
      <c r="AK1060" s="1346"/>
      <c r="AL1060" s="1346"/>
      <c r="AM1060" s="1346"/>
      <c r="AN1060" s="1346"/>
      <c r="AO1060" s="1174"/>
      <c r="AP1060" s="1174"/>
      <c r="AQ1060" s="68"/>
      <c r="AR1060" s="68"/>
      <c r="AS1060" s="68"/>
      <c r="AT1060" s="68"/>
      <c r="AU1060" s="68"/>
      <c r="AV1060" s="68"/>
      <c r="AW1060" s="68"/>
      <c r="AX1060" s="68"/>
      <c r="AY1060" s="68"/>
    </row>
    <row r="1061" spans="1:54" ht="12.95" customHeight="1">
      <c r="A1061" s="1844" t="s">
        <v>794</v>
      </c>
      <c r="B1061" s="1844"/>
      <c r="C1061" s="1844"/>
      <c r="D1061" s="1844"/>
      <c r="E1061" s="1844"/>
      <c r="F1061" s="1844"/>
      <c r="G1061" s="1844"/>
      <c r="H1061" s="1844"/>
      <c r="I1061" s="1844"/>
      <c r="J1061" s="1844"/>
      <c r="K1061" s="1844"/>
      <c r="L1061" s="1844"/>
      <c r="M1061" s="1844"/>
      <c r="N1061" s="1844"/>
      <c r="O1061" s="1844"/>
      <c r="P1061" s="1844"/>
      <c r="Q1061" s="1844"/>
      <c r="R1061" s="1844"/>
      <c r="S1061" s="1844"/>
      <c r="T1061" s="1844"/>
      <c r="U1061" s="1844"/>
      <c r="V1061" s="1844"/>
      <c r="W1061" s="1844"/>
      <c r="X1061" s="1844"/>
      <c r="Y1061" s="1844"/>
      <c r="Z1061" s="1844"/>
      <c r="AA1061" s="1844"/>
      <c r="AB1061" s="1844"/>
      <c r="AC1061" s="1844"/>
      <c r="AD1061" s="1844"/>
      <c r="AE1061" s="1844"/>
      <c r="AF1061" s="1844"/>
      <c r="AG1061" s="1844"/>
      <c r="AH1061" s="1844"/>
      <c r="AI1061" s="1844"/>
      <c r="AJ1061" s="1844"/>
      <c r="AK1061" s="1844"/>
      <c r="AL1061" s="1844"/>
      <c r="AM1061" s="1844"/>
      <c r="AN1061" s="1844"/>
      <c r="AO1061" s="1844"/>
      <c r="AP1061" s="1844"/>
      <c r="AQ1061" s="1844"/>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418" t="s">
        <v>591</v>
      </c>
      <c r="B1065" s="1418"/>
      <c r="C1065" s="1863">
        <v>1</v>
      </c>
      <c r="D1065" s="1863"/>
      <c r="E1065" s="14" t="s">
        <v>2240</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863"/>
      <c r="D1066" s="1863"/>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418" t="s">
        <v>591</v>
      </c>
      <c r="B1067" s="1418"/>
      <c r="C1067" s="1863">
        <v>2</v>
      </c>
      <c r="D1067" s="1863"/>
      <c r="E1067" s="1865" t="s">
        <v>2241</v>
      </c>
      <c r="F1067" s="1865"/>
      <c r="G1067" s="1865"/>
      <c r="H1067" s="1865"/>
      <c r="I1067" s="1865"/>
      <c r="J1067" s="1865"/>
      <c r="K1067" s="1865"/>
      <c r="L1067" s="1865"/>
      <c r="M1067" s="1865"/>
      <c r="N1067" s="1865"/>
      <c r="O1067" s="1865"/>
      <c r="P1067" s="1865"/>
      <c r="Q1067" s="1865"/>
      <c r="R1067" s="1865"/>
      <c r="S1067" s="1865"/>
      <c r="T1067" s="1865"/>
      <c r="U1067" s="1865"/>
      <c r="V1067" s="1865"/>
      <c r="W1067" s="1865"/>
      <c r="X1067" s="1865"/>
      <c r="Y1067" s="1865"/>
      <c r="Z1067" s="1865"/>
      <c r="AA1067" s="1865"/>
      <c r="AB1067" s="1865"/>
      <c r="AC1067" s="1865"/>
      <c r="AD1067" s="1865"/>
      <c r="AE1067" s="1865"/>
      <c r="AF1067" s="1865"/>
      <c r="AG1067" s="1865"/>
      <c r="AH1067" s="1865"/>
      <c r="AI1067" s="1865"/>
      <c r="AJ1067" s="1865"/>
      <c r="AK1067" s="1865"/>
      <c r="AL1067" s="1865"/>
      <c r="AM1067" s="1865"/>
      <c r="AN1067" s="1865"/>
      <c r="AO1067" s="1865"/>
      <c r="AP1067" s="1865"/>
      <c r="AQ1067" s="1865"/>
      <c r="AR1067" s="1865"/>
      <c r="AS1067" s="14"/>
      <c r="AT1067" s="14"/>
      <c r="AV1067" s="68"/>
      <c r="AW1067" s="68"/>
      <c r="AX1067" s="68"/>
      <c r="AY1067" s="68"/>
    </row>
    <row r="1068" spans="1:54" ht="12.95" customHeight="1">
      <c r="A1068" s="198"/>
      <c r="B1068" s="67"/>
      <c r="C1068" s="1863"/>
      <c r="D1068" s="1863"/>
      <c r="E1068" s="1865"/>
      <c r="F1068" s="1865"/>
      <c r="G1068" s="1865"/>
      <c r="H1068" s="1865"/>
      <c r="I1068" s="1865"/>
      <c r="J1068" s="1865"/>
      <c r="K1068" s="1865"/>
      <c r="L1068" s="1865"/>
      <c r="M1068" s="1865"/>
      <c r="N1068" s="1865"/>
      <c r="O1068" s="1865"/>
      <c r="P1068" s="1865"/>
      <c r="Q1068" s="1865"/>
      <c r="R1068" s="1865"/>
      <c r="S1068" s="1865"/>
      <c r="T1068" s="1865"/>
      <c r="U1068" s="1865"/>
      <c r="V1068" s="1865"/>
      <c r="W1068" s="1865"/>
      <c r="X1068" s="1865"/>
      <c r="Y1068" s="1865"/>
      <c r="Z1068" s="1865"/>
      <c r="AA1068" s="1865"/>
      <c r="AB1068" s="1865"/>
      <c r="AC1068" s="1865"/>
      <c r="AD1068" s="1865"/>
      <c r="AE1068" s="1865"/>
      <c r="AF1068" s="1865"/>
      <c r="AG1068" s="1865"/>
      <c r="AH1068" s="1865"/>
      <c r="AI1068" s="1865"/>
      <c r="AJ1068" s="1865"/>
      <c r="AK1068" s="1865"/>
      <c r="AL1068" s="1865"/>
      <c r="AM1068" s="1865"/>
      <c r="AN1068" s="1865"/>
      <c r="AO1068" s="1865"/>
      <c r="AP1068" s="1865"/>
      <c r="AQ1068" s="1865"/>
      <c r="AR1068" s="1865"/>
      <c r="AS1068" s="14"/>
      <c r="AT1068" s="14"/>
      <c r="AV1068" s="68"/>
      <c r="AW1068" s="68"/>
      <c r="AX1068" s="68"/>
      <c r="AY1068" s="68"/>
    </row>
    <row r="1069" spans="1:54" ht="12.95" customHeight="1">
      <c r="A1069" s="198"/>
      <c r="B1069" s="67"/>
      <c r="C1069" s="1863"/>
      <c r="D1069" s="1863"/>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418" t="s">
        <v>591</v>
      </c>
      <c r="B1070" s="1418"/>
      <c r="C1070" s="1409">
        <v>3</v>
      </c>
      <c r="D1070" s="1409"/>
      <c r="E1070" s="1330" t="s">
        <v>1080</v>
      </c>
      <c r="F1070" s="1330"/>
      <c r="G1070" s="1330"/>
      <c r="H1070" s="1330"/>
      <c r="I1070" s="1330"/>
      <c r="J1070" s="1330"/>
      <c r="K1070" s="1330"/>
      <c r="L1070" s="1330"/>
      <c r="M1070" s="1330"/>
      <c r="N1070" s="1330"/>
      <c r="O1070" s="1330"/>
      <c r="P1070" s="1330"/>
      <c r="Q1070" s="1330"/>
      <c r="R1070" s="1330"/>
      <c r="S1070" s="1330"/>
      <c r="T1070" s="1330"/>
      <c r="U1070" s="1330"/>
      <c r="V1070" s="1330"/>
      <c r="W1070" s="1330"/>
      <c r="X1070" s="1330"/>
      <c r="Y1070" s="1330"/>
      <c r="Z1070" s="1330"/>
      <c r="AA1070" s="1330"/>
      <c r="AB1070" s="1330"/>
      <c r="AC1070" s="1330"/>
      <c r="AD1070" s="1330"/>
      <c r="AE1070" s="1330"/>
      <c r="AF1070" s="1330"/>
      <c r="AG1070" s="1330"/>
      <c r="AH1070" s="1330"/>
      <c r="AI1070" s="1330"/>
      <c r="AJ1070" s="1330"/>
      <c r="AK1070" s="1330"/>
      <c r="AL1070" s="1330"/>
      <c r="AM1070" s="1330"/>
      <c r="AN1070" s="1330"/>
      <c r="AO1070" s="1330"/>
      <c r="AP1070" s="1330"/>
      <c r="AQ1070" s="1330"/>
      <c r="AR1070" s="1330"/>
      <c r="AS1070" s="14"/>
      <c r="AT1070" s="68"/>
      <c r="AV1070" s="68"/>
      <c r="AW1070" s="68"/>
      <c r="AX1070" s="68"/>
      <c r="AY1070" s="68"/>
    </row>
    <row r="1071" spans="1:54" ht="12.95" customHeight="1">
      <c r="A1071" s="1"/>
      <c r="B1071" s="1"/>
      <c r="C1071" s="1409"/>
      <c r="D1071" s="1409"/>
      <c r="E1071" s="1330"/>
      <c r="F1071" s="1330"/>
      <c r="G1071" s="1330"/>
      <c r="H1071" s="1330"/>
      <c r="I1071" s="1330"/>
      <c r="J1071" s="1330"/>
      <c r="K1071" s="1330"/>
      <c r="L1071" s="1330"/>
      <c r="M1071" s="1330"/>
      <c r="N1071" s="1330"/>
      <c r="O1071" s="1330"/>
      <c r="P1071" s="1330"/>
      <c r="Q1071" s="1330"/>
      <c r="R1071" s="1330"/>
      <c r="S1071" s="1330"/>
      <c r="T1071" s="1330"/>
      <c r="U1071" s="1330"/>
      <c r="V1071" s="1330"/>
      <c r="W1071" s="1330"/>
      <c r="X1071" s="1330"/>
      <c r="Y1071" s="1330"/>
      <c r="Z1071" s="1330"/>
      <c r="AA1071" s="1330"/>
      <c r="AB1071" s="1330"/>
      <c r="AC1071" s="1330"/>
      <c r="AD1071" s="1330"/>
      <c r="AE1071" s="1330"/>
      <c r="AF1071" s="1330"/>
      <c r="AG1071" s="1330"/>
      <c r="AH1071" s="1330"/>
      <c r="AI1071" s="1330"/>
      <c r="AJ1071" s="1330"/>
      <c r="AK1071" s="1330"/>
      <c r="AL1071" s="1330"/>
      <c r="AM1071" s="1330"/>
      <c r="AN1071" s="1330"/>
      <c r="AO1071" s="1330"/>
      <c r="AP1071" s="1330"/>
      <c r="AQ1071" s="1330"/>
      <c r="AR1071" s="1330"/>
      <c r="AS1071" s="14"/>
      <c r="AT1071" s="68"/>
      <c r="AV1071" s="68"/>
      <c r="AW1071" s="68"/>
      <c r="AX1071" s="68"/>
      <c r="AY1071" s="68"/>
    </row>
    <row r="1072" spans="1:54" ht="12.95" customHeight="1">
      <c r="A1072" s="1"/>
      <c r="B1072" s="1"/>
      <c r="C1072" s="1409"/>
      <c r="D1072" s="1409"/>
      <c r="E1072" s="1330"/>
      <c r="F1072" s="1330"/>
      <c r="G1072" s="1330"/>
      <c r="H1072" s="1330"/>
      <c r="I1072" s="1330"/>
      <c r="J1072" s="1330"/>
      <c r="K1072" s="1330"/>
      <c r="L1072" s="1330"/>
      <c r="M1072" s="1330"/>
      <c r="N1072" s="1330"/>
      <c r="O1072" s="1330"/>
      <c r="P1072" s="1330"/>
      <c r="Q1072" s="1330"/>
      <c r="R1072" s="1330"/>
      <c r="S1072" s="1330"/>
      <c r="T1072" s="1330"/>
      <c r="U1072" s="1330"/>
      <c r="V1072" s="1330"/>
      <c r="W1072" s="1330"/>
      <c r="X1072" s="1330"/>
      <c r="Y1072" s="1330"/>
      <c r="Z1072" s="1330"/>
      <c r="AA1072" s="1330"/>
      <c r="AB1072" s="1330"/>
      <c r="AC1072" s="1330"/>
      <c r="AD1072" s="1330"/>
      <c r="AE1072" s="1330"/>
      <c r="AF1072" s="1330"/>
      <c r="AG1072" s="1330"/>
      <c r="AH1072" s="1330"/>
      <c r="AI1072" s="1330"/>
      <c r="AJ1072" s="1330"/>
      <c r="AK1072" s="1330"/>
      <c r="AL1072" s="1330"/>
      <c r="AM1072" s="1330"/>
      <c r="AN1072" s="1330"/>
      <c r="AO1072" s="1330"/>
      <c r="AP1072" s="1330"/>
      <c r="AQ1072" s="1330"/>
      <c r="AR1072" s="1330"/>
      <c r="AS1072" s="14"/>
      <c r="AT1072" s="68"/>
      <c r="AV1072" s="68"/>
      <c r="AW1072" s="68"/>
      <c r="AX1072" s="68"/>
      <c r="AY1072" s="68"/>
    </row>
    <row r="1073" spans="1:51" ht="12.95" customHeight="1">
      <c r="A1073" s="1"/>
      <c r="B1073" s="1"/>
      <c r="C1073" s="1409"/>
      <c r="D1073" s="1409"/>
      <c r="E1073" s="1330"/>
      <c r="F1073" s="1330"/>
      <c r="G1073" s="1330"/>
      <c r="H1073" s="1330"/>
      <c r="I1073" s="1330"/>
      <c r="J1073" s="1330"/>
      <c r="K1073" s="1330"/>
      <c r="L1073" s="1330"/>
      <c r="M1073" s="1330"/>
      <c r="N1073" s="1330"/>
      <c r="O1073" s="1330"/>
      <c r="P1073" s="1330"/>
      <c r="Q1073" s="1330"/>
      <c r="R1073" s="1330"/>
      <c r="S1073" s="1330"/>
      <c r="T1073" s="1330"/>
      <c r="U1073" s="1330"/>
      <c r="V1073" s="1330"/>
      <c r="W1073" s="1330"/>
      <c r="X1073" s="1330"/>
      <c r="Y1073" s="1330"/>
      <c r="Z1073" s="1330"/>
      <c r="AA1073" s="1330"/>
      <c r="AB1073" s="1330"/>
      <c r="AC1073" s="1330"/>
      <c r="AD1073" s="1330"/>
      <c r="AE1073" s="1330"/>
      <c r="AF1073" s="1330"/>
      <c r="AG1073" s="1330"/>
      <c r="AH1073" s="1330"/>
      <c r="AI1073" s="1330"/>
      <c r="AJ1073" s="1330"/>
      <c r="AK1073" s="1330"/>
      <c r="AL1073" s="1330"/>
      <c r="AM1073" s="1330"/>
      <c r="AN1073" s="1330"/>
      <c r="AO1073" s="1330"/>
      <c r="AP1073" s="1330"/>
      <c r="AQ1073" s="1330"/>
      <c r="AR1073" s="1330"/>
      <c r="AS1073" s="14"/>
      <c r="AT1073" s="68"/>
      <c r="AV1073" s="68"/>
      <c r="AW1073" s="68"/>
      <c r="AX1073" s="68"/>
      <c r="AY1073" s="68"/>
    </row>
    <row r="1074" spans="1:51" ht="12.95" customHeight="1">
      <c r="A1074" s="2"/>
      <c r="B1074" s="25"/>
      <c r="C1074" s="1409"/>
      <c r="D1074" s="1409"/>
      <c r="E1074" s="456"/>
      <c r="F1074" s="456"/>
      <c r="G1074" s="456"/>
      <c r="H1074" s="456"/>
      <c r="I1074" s="456"/>
      <c r="J1074" s="456"/>
      <c r="K1074" s="456"/>
      <c r="L1074" s="456"/>
      <c r="M1074" s="456"/>
      <c r="N1074" s="456"/>
      <c r="O1074" s="456"/>
      <c r="P1074" s="456"/>
      <c r="Q1074" s="456"/>
      <c r="R1074" s="456"/>
      <c r="S1074" s="456"/>
      <c r="T1074" s="456"/>
      <c r="U1074" s="456"/>
      <c r="V1074" s="456"/>
      <c r="W1074" s="456"/>
      <c r="X1074" s="456"/>
      <c r="Y1074" s="456"/>
      <c r="Z1074" s="456"/>
      <c r="AA1074" s="456"/>
      <c r="AB1074" s="456"/>
      <c r="AC1074" s="456"/>
      <c r="AD1074" s="456"/>
      <c r="AE1074" s="456"/>
      <c r="AF1074" s="456"/>
      <c r="AG1074" s="456"/>
      <c r="AH1074" s="456"/>
      <c r="AI1074" s="456"/>
      <c r="AJ1074" s="456"/>
      <c r="AK1074" s="456"/>
      <c r="AL1074" s="68"/>
      <c r="AM1074" s="68"/>
      <c r="AN1074" s="68"/>
      <c r="AO1074" s="68"/>
      <c r="AP1074" s="68"/>
      <c r="AQ1074" s="68"/>
      <c r="AR1074" s="68"/>
      <c r="AS1074" s="14"/>
      <c r="AT1074" s="68"/>
      <c r="AV1074" s="68"/>
      <c r="AW1074" s="68"/>
      <c r="AX1074" s="68"/>
      <c r="AY1074" s="68"/>
    </row>
    <row r="1075" spans="1:51" ht="12.95" customHeight="1">
      <c r="A1075" s="1418" t="s">
        <v>591</v>
      </c>
      <c r="B1075" s="1418"/>
      <c r="C1075" s="1409">
        <v>4</v>
      </c>
      <c r="D1075" s="1409"/>
      <c r="E1075" s="1330" t="s">
        <v>1079</v>
      </c>
      <c r="F1075" s="1330"/>
      <c r="G1075" s="1330"/>
      <c r="H1075" s="1330"/>
      <c r="I1075" s="1330"/>
      <c r="J1075" s="1330"/>
      <c r="K1075" s="1330"/>
      <c r="L1075" s="1330"/>
      <c r="M1075" s="1330"/>
      <c r="N1075" s="1330"/>
      <c r="O1075" s="1330"/>
      <c r="P1075" s="1330"/>
      <c r="Q1075" s="1330"/>
      <c r="R1075" s="1330"/>
      <c r="S1075" s="1330"/>
      <c r="T1075" s="1330"/>
      <c r="U1075" s="1330"/>
      <c r="V1075" s="1330"/>
      <c r="W1075" s="1330"/>
      <c r="X1075" s="1330"/>
      <c r="Y1075" s="1330"/>
      <c r="Z1075" s="1330"/>
      <c r="AA1075" s="1330"/>
      <c r="AB1075" s="1330"/>
      <c r="AC1075" s="1330"/>
      <c r="AD1075" s="1330"/>
      <c r="AE1075" s="1330"/>
      <c r="AF1075" s="1330"/>
      <c r="AG1075" s="1330"/>
      <c r="AH1075" s="1330"/>
      <c r="AI1075" s="1330"/>
      <c r="AJ1075" s="1330"/>
      <c r="AK1075" s="1330"/>
      <c r="AL1075" s="1330"/>
      <c r="AM1075" s="1330"/>
      <c r="AN1075" s="1330"/>
      <c r="AO1075" s="1330"/>
      <c r="AP1075" s="1330"/>
      <c r="AQ1075" s="1330"/>
      <c r="AR1075" s="1330"/>
      <c r="AS1075" s="14"/>
      <c r="AT1075" s="68"/>
    </row>
    <row r="1076" spans="1:51" ht="12.95" customHeight="1">
      <c r="A1076" s="1"/>
      <c r="B1076" s="1"/>
      <c r="C1076" s="1409"/>
      <c r="D1076" s="1409"/>
      <c r="E1076" s="1330"/>
      <c r="F1076" s="1330"/>
      <c r="G1076" s="1330"/>
      <c r="H1076" s="1330"/>
      <c r="I1076" s="1330"/>
      <c r="J1076" s="1330"/>
      <c r="K1076" s="1330"/>
      <c r="L1076" s="1330"/>
      <c r="M1076" s="1330"/>
      <c r="N1076" s="1330"/>
      <c r="O1076" s="1330"/>
      <c r="P1076" s="1330"/>
      <c r="Q1076" s="1330"/>
      <c r="R1076" s="1330"/>
      <c r="S1076" s="1330"/>
      <c r="T1076" s="1330"/>
      <c r="U1076" s="1330"/>
      <c r="V1076" s="1330"/>
      <c r="W1076" s="1330"/>
      <c r="X1076" s="1330"/>
      <c r="Y1076" s="1330"/>
      <c r="Z1076" s="1330"/>
      <c r="AA1076" s="1330"/>
      <c r="AB1076" s="1330"/>
      <c r="AC1076" s="1330"/>
      <c r="AD1076" s="1330"/>
      <c r="AE1076" s="1330"/>
      <c r="AF1076" s="1330"/>
      <c r="AG1076" s="1330"/>
      <c r="AH1076" s="1330"/>
      <c r="AI1076" s="1330"/>
      <c r="AJ1076" s="1330"/>
      <c r="AK1076" s="1330"/>
      <c r="AL1076" s="1330"/>
      <c r="AM1076" s="1330"/>
      <c r="AN1076" s="1330"/>
      <c r="AO1076" s="1330"/>
      <c r="AP1076" s="1330"/>
      <c r="AQ1076" s="1330"/>
      <c r="AR1076" s="1330"/>
      <c r="AS1076" s="14"/>
      <c r="AT1076" s="68"/>
    </row>
    <row r="1077" spans="1:51" ht="12.95" customHeight="1">
      <c r="A1077" s="1"/>
      <c r="B1077" s="1"/>
      <c r="C1077" s="1409"/>
      <c r="D1077" s="1409"/>
      <c r="E1077" s="1330"/>
      <c r="F1077" s="1330"/>
      <c r="G1077" s="1330"/>
      <c r="H1077" s="1330"/>
      <c r="I1077" s="1330"/>
      <c r="J1077" s="1330"/>
      <c r="K1077" s="1330"/>
      <c r="L1077" s="1330"/>
      <c r="M1077" s="1330"/>
      <c r="N1077" s="1330"/>
      <c r="O1077" s="1330"/>
      <c r="P1077" s="1330"/>
      <c r="Q1077" s="1330"/>
      <c r="R1077" s="1330"/>
      <c r="S1077" s="1330"/>
      <c r="T1077" s="1330"/>
      <c r="U1077" s="1330"/>
      <c r="V1077" s="1330"/>
      <c r="W1077" s="1330"/>
      <c r="X1077" s="1330"/>
      <c r="Y1077" s="1330"/>
      <c r="Z1077" s="1330"/>
      <c r="AA1077" s="1330"/>
      <c r="AB1077" s="1330"/>
      <c r="AC1077" s="1330"/>
      <c r="AD1077" s="1330"/>
      <c r="AE1077" s="1330"/>
      <c r="AF1077" s="1330"/>
      <c r="AG1077" s="1330"/>
      <c r="AH1077" s="1330"/>
      <c r="AI1077" s="1330"/>
      <c r="AJ1077" s="1330"/>
      <c r="AK1077" s="1330"/>
      <c r="AL1077" s="1330"/>
      <c r="AM1077" s="1330"/>
      <c r="AN1077" s="1330"/>
      <c r="AO1077" s="1330"/>
      <c r="AP1077" s="1330"/>
      <c r="AQ1077" s="1330"/>
      <c r="AR1077" s="1330"/>
      <c r="AS1077" s="14"/>
      <c r="AT1077" s="68"/>
    </row>
    <row r="1078" spans="1:51" ht="12.95" customHeight="1">
      <c r="A1078" s="1"/>
      <c r="B1078" s="1"/>
      <c r="C1078" s="1409"/>
      <c r="D1078" s="1409"/>
      <c r="E1078" s="1330"/>
      <c r="F1078" s="1330"/>
      <c r="G1078" s="1330"/>
      <c r="H1078" s="1330"/>
      <c r="I1078" s="1330"/>
      <c r="J1078" s="1330"/>
      <c r="K1078" s="1330"/>
      <c r="L1078" s="1330"/>
      <c r="M1078" s="1330"/>
      <c r="N1078" s="1330"/>
      <c r="O1078" s="1330"/>
      <c r="P1078" s="1330"/>
      <c r="Q1078" s="1330"/>
      <c r="R1078" s="1330"/>
      <c r="S1078" s="1330"/>
      <c r="T1078" s="1330"/>
      <c r="U1078" s="1330"/>
      <c r="V1078" s="1330"/>
      <c r="W1078" s="1330"/>
      <c r="X1078" s="1330"/>
      <c r="Y1078" s="1330"/>
      <c r="Z1078" s="1330"/>
      <c r="AA1078" s="1330"/>
      <c r="AB1078" s="1330"/>
      <c r="AC1078" s="1330"/>
      <c r="AD1078" s="1330"/>
      <c r="AE1078" s="1330"/>
      <c r="AF1078" s="1330"/>
      <c r="AG1078" s="1330"/>
      <c r="AH1078" s="1330"/>
      <c r="AI1078" s="1330"/>
      <c r="AJ1078" s="1330"/>
      <c r="AK1078" s="1330"/>
      <c r="AL1078" s="1330"/>
      <c r="AM1078" s="1330"/>
      <c r="AN1078" s="1330"/>
      <c r="AO1078" s="1330"/>
      <c r="AP1078" s="1330"/>
      <c r="AQ1078" s="1330"/>
      <c r="AR1078" s="1330"/>
      <c r="AS1078" s="14"/>
      <c r="AT1078" s="68"/>
    </row>
    <row r="1079" spans="1:51" ht="12.95" customHeight="1">
      <c r="A1079" s="1"/>
      <c r="B1079" s="1"/>
      <c r="C1079" s="1409"/>
      <c r="D1079" s="1409"/>
      <c r="E1079" s="1330"/>
      <c r="F1079" s="1330"/>
      <c r="G1079" s="1330"/>
      <c r="H1079" s="1330"/>
      <c r="I1079" s="1330"/>
      <c r="J1079" s="1330"/>
      <c r="K1079" s="1330"/>
      <c r="L1079" s="1330"/>
      <c r="M1079" s="1330"/>
      <c r="N1079" s="1330"/>
      <c r="O1079" s="1330"/>
      <c r="P1079" s="1330"/>
      <c r="Q1079" s="1330"/>
      <c r="R1079" s="1330"/>
      <c r="S1079" s="1330"/>
      <c r="T1079" s="1330"/>
      <c r="U1079" s="1330"/>
      <c r="V1079" s="1330"/>
      <c r="W1079" s="1330"/>
      <c r="X1079" s="1330"/>
      <c r="Y1079" s="1330"/>
      <c r="Z1079" s="1330"/>
      <c r="AA1079" s="1330"/>
      <c r="AB1079" s="1330"/>
      <c r="AC1079" s="1330"/>
      <c r="AD1079" s="1330"/>
      <c r="AE1079" s="1330"/>
      <c r="AF1079" s="1330"/>
      <c r="AG1079" s="1330"/>
      <c r="AH1079" s="1330"/>
      <c r="AI1079" s="1330"/>
      <c r="AJ1079" s="1330"/>
      <c r="AK1079" s="1330"/>
      <c r="AL1079" s="1330"/>
      <c r="AM1079" s="1330"/>
      <c r="AN1079" s="1330"/>
      <c r="AO1079" s="1330"/>
      <c r="AP1079" s="1330"/>
      <c r="AQ1079" s="1330"/>
      <c r="AR1079" s="1330"/>
      <c r="AS1079" s="14"/>
      <c r="AT1079" s="68"/>
    </row>
    <row r="1080" spans="1:51" ht="12.95" customHeight="1">
      <c r="A1080" s="1"/>
      <c r="B1080" s="1"/>
      <c r="C1080" s="1409"/>
      <c r="D1080" s="1409"/>
      <c r="E1080" s="456"/>
      <c r="F1080" s="456"/>
      <c r="G1080" s="456"/>
      <c r="H1080" s="456"/>
      <c r="I1080" s="456"/>
      <c r="J1080" s="456"/>
      <c r="K1080" s="456"/>
      <c r="L1080" s="456"/>
      <c r="M1080" s="456"/>
      <c r="N1080" s="456"/>
      <c r="O1080" s="456"/>
      <c r="P1080" s="456"/>
      <c r="Q1080" s="456"/>
      <c r="R1080" s="456"/>
      <c r="S1080" s="456"/>
      <c r="T1080" s="456"/>
      <c r="U1080" s="456"/>
      <c r="V1080" s="456"/>
      <c r="W1080" s="456"/>
      <c r="X1080" s="456"/>
      <c r="Y1080" s="456"/>
      <c r="Z1080" s="456"/>
      <c r="AA1080" s="456"/>
      <c r="AB1080" s="456"/>
      <c r="AC1080" s="456"/>
      <c r="AD1080" s="456"/>
      <c r="AE1080" s="456"/>
      <c r="AF1080" s="456"/>
      <c r="AG1080" s="456"/>
      <c r="AH1080" s="456"/>
      <c r="AI1080" s="456"/>
      <c r="AJ1080" s="456"/>
      <c r="AK1080" s="456"/>
      <c r="AS1080" s="14"/>
    </row>
    <row r="1081" spans="1:51" ht="12.95" customHeight="1">
      <c r="A1081" s="1418" t="s">
        <v>591</v>
      </c>
      <c r="B1081" s="1418"/>
      <c r="C1081" s="1409">
        <v>5</v>
      </c>
      <c r="D1081" s="1409"/>
      <c r="E1081" s="1330" t="s">
        <v>2245</v>
      </c>
      <c r="F1081" s="1330"/>
      <c r="G1081" s="1330"/>
      <c r="H1081" s="1330"/>
      <c r="I1081" s="1330"/>
      <c r="J1081" s="1330"/>
      <c r="K1081" s="1330"/>
      <c r="L1081" s="1330"/>
      <c r="M1081" s="1330"/>
      <c r="N1081" s="1330"/>
      <c r="O1081" s="1330"/>
      <c r="P1081" s="1330"/>
      <c r="Q1081" s="1330"/>
      <c r="R1081" s="1330"/>
      <c r="S1081" s="1330"/>
      <c r="T1081" s="1330"/>
      <c r="U1081" s="1330"/>
      <c r="V1081" s="1330"/>
      <c r="W1081" s="1330"/>
      <c r="X1081" s="1330"/>
      <c r="Y1081" s="1330"/>
      <c r="Z1081" s="1330"/>
      <c r="AA1081" s="1330"/>
      <c r="AB1081" s="1330"/>
      <c r="AC1081" s="1330"/>
      <c r="AD1081" s="1330"/>
      <c r="AE1081" s="1330"/>
      <c r="AF1081" s="1330"/>
      <c r="AG1081" s="1330"/>
      <c r="AH1081" s="1330"/>
      <c r="AI1081" s="1330"/>
      <c r="AJ1081" s="1330"/>
      <c r="AK1081" s="1330"/>
      <c r="AL1081" s="1330"/>
      <c r="AM1081" s="1330"/>
      <c r="AN1081" s="1330"/>
      <c r="AO1081" s="1330"/>
      <c r="AP1081" s="1330"/>
      <c r="AQ1081" s="1330"/>
      <c r="AR1081" s="1330"/>
      <c r="AS1081" s="14"/>
    </row>
    <row r="1082" spans="1:51" ht="12.95" customHeight="1">
      <c r="A1082" s="4"/>
      <c r="B1082" s="4"/>
      <c r="C1082" s="1409"/>
      <c r="D1082" s="1409"/>
      <c r="E1082" s="1330"/>
      <c r="F1082" s="1330"/>
      <c r="G1082" s="1330"/>
      <c r="H1082" s="1330"/>
      <c r="I1082" s="1330"/>
      <c r="J1082" s="1330"/>
      <c r="K1082" s="1330"/>
      <c r="L1082" s="1330"/>
      <c r="M1082" s="1330"/>
      <c r="N1082" s="1330"/>
      <c r="O1082" s="1330"/>
      <c r="P1082" s="1330"/>
      <c r="Q1082" s="1330"/>
      <c r="R1082" s="1330"/>
      <c r="S1082" s="1330"/>
      <c r="T1082" s="1330"/>
      <c r="U1082" s="1330"/>
      <c r="V1082" s="1330"/>
      <c r="W1082" s="1330"/>
      <c r="X1082" s="1330"/>
      <c r="Y1082" s="1330"/>
      <c r="Z1082" s="1330"/>
      <c r="AA1082" s="1330"/>
      <c r="AB1082" s="1330"/>
      <c r="AC1082" s="1330"/>
      <c r="AD1082" s="1330"/>
      <c r="AE1082" s="1330"/>
      <c r="AF1082" s="1330"/>
      <c r="AG1082" s="1330"/>
      <c r="AH1082" s="1330"/>
      <c r="AI1082" s="1330"/>
      <c r="AJ1082" s="1330"/>
      <c r="AK1082" s="1330"/>
      <c r="AL1082" s="1330"/>
      <c r="AM1082" s="1330"/>
      <c r="AN1082" s="1330"/>
      <c r="AO1082" s="1330"/>
      <c r="AP1082" s="1330"/>
      <c r="AQ1082" s="1330"/>
      <c r="AR1082" s="1330"/>
      <c r="AS1082" s="14"/>
    </row>
    <row r="1083" spans="1:51" ht="12.95" customHeight="1">
      <c r="A1083" s="4"/>
      <c r="B1083" s="4"/>
      <c r="C1083" s="1409"/>
      <c r="D1083" s="1409"/>
      <c r="E1083" s="1330"/>
      <c r="F1083" s="1330"/>
      <c r="G1083" s="1330"/>
      <c r="H1083" s="1330"/>
      <c r="I1083" s="1330"/>
      <c r="J1083" s="1330"/>
      <c r="K1083" s="1330"/>
      <c r="L1083" s="1330"/>
      <c r="M1083" s="1330"/>
      <c r="N1083" s="1330"/>
      <c r="O1083" s="1330"/>
      <c r="P1083" s="1330"/>
      <c r="Q1083" s="1330"/>
      <c r="R1083" s="1330"/>
      <c r="S1083" s="1330"/>
      <c r="T1083" s="1330"/>
      <c r="U1083" s="1330"/>
      <c r="V1083" s="1330"/>
      <c r="W1083" s="1330"/>
      <c r="X1083" s="1330"/>
      <c r="Y1083" s="1330"/>
      <c r="Z1083" s="1330"/>
      <c r="AA1083" s="1330"/>
      <c r="AB1083" s="1330"/>
      <c r="AC1083" s="1330"/>
      <c r="AD1083" s="1330"/>
      <c r="AE1083" s="1330"/>
      <c r="AF1083" s="1330"/>
      <c r="AG1083" s="1330"/>
      <c r="AH1083" s="1330"/>
      <c r="AI1083" s="1330"/>
      <c r="AJ1083" s="1330"/>
      <c r="AK1083" s="1330"/>
      <c r="AL1083" s="1330"/>
      <c r="AM1083" s="1330"/>
      <c r="AN1083" s="1330"/>
      <c r="AO1083" s="1330"/>
      <c r="AP1083" s="1330"/>
      <c r="AQ1083" s="1330"/>
      <c r="AR1083" s="1330"/>
      <c r="AS1083" s="14"/>
    </row>
    <row r="1084" spans="1:51" ht="12.95" customHeight="1">
      <c r="A1084" s="35"/>
      <c r="B1084" s="25"/>
      <c r="C1084" s="1409"/>
      <c r="D1084" s="1409"/>
      <c r="E1084" s="456"/>
      <c r="F1084" s="456"/>
      <c r="G1084" s="456"/>
      <c r="H1084" s="456"/>
      <c r="I1084" s="456"/>
      <c r="J1084" s="456"/>
      <c r="K1084" s="456"/>
      <c r="L1084" s="456"/>
      <c r="M1084" s="456"/>
      <c r="N1084" s="456"/>
      <c r="O1084" s="456"/>
      <c r="P1084" s="456"/>
      <c r="Q1084" s="456"/>
      <c r="R1084" s="456"/>
      <c r="S1084" s="456"/>
      <c r="T1084" s="456"/>
      <c r="U1084" s="456"/>
      <c r="V1084" s="456"/>
      <c r="W1084" s="456"/>
      <c r="X1084" s="456"/>
      <c r="Y1084" s="456"/>
      <c r="Z1084" s="456"/>
      <c r="AA1084" s="456"/>
      <c r="AB1084" s="456"/>
      <c r="AC1084" s="456"/>
      <c r="AD1084" s="456"/>
      <c r="AE1084" s="456"/>
      <c r="AF1084" s="456"/>
      <c r="AG1084" s="456"/>
      <c r="AH1084" s="456"/>
      <c r="AI1084" s="456"/>
      <c r="AJ1084" s="456"/>
      <c r="AK1084" s="456"/>
      <c r="AS1084" s="14"/>
    </row>
    <row r="1085" spans="1:51" ht="12.95" customHeight="1">
      <c r="A1085" s="1418" t="s">
        <v>591</v>
      </c>
      <c r="B1085" s="1418"/>
      <c r="C1085" s="1409">
        <v>6</v>
      </c>
      <c r="D1085" s="1409"/>
      <c r="E1085" s="1330" t="s">
        <v>2246</v>
      </c>
      <c r="F1085" s="1330"/>
      <c r="G1085" s="1330"/>
      <c r="H1085" s="1330"/>
      <c r="I1085" s="1330"/>
      <c r="J1085" s="1330"/>
      <c r="K1085" s="1330"/>
      <c r="L1085" s="1330"/>
      <c r="M1085" s="1330"/>
      <c r="N1085" s="1330"/>
      <c r="O1085" s="1330"/>
      <c r="P1085" s="1330"/>
      <c r="Q1085" s="1330"/>
      <c r="R1085" s="1330"/>
      <c r="S1085" s="1330"/>
      <c r="T1085" s="1330"/>
      <c r="U1085" s="1330"/>
      <c r="V1085" s="1330"/>
      <c r="W1085" s="1330"/>
      <c r="X1085" s="1330"/>
      <c r="Y1085" s="1330"/>
      <c r="Z1085" s="1330"/>
      <c r="AA1085" s="1330"/>
      <c r="AB1085" s="1330"/>
      <c r="AC1085" s="1330"/>
      <c r="AD1085" s="1330"/>
      <c r="AE1085" s="1330"/>
      <c r="AF1085" s="1330"/>
      <c r="AG1085" s="1330"/>
      <c r="AH1085" s="1330"/>
      <c r="AI1085" s="1330"/>
      <c r="AJ1085" s="1330"/>
      <c r="AK1085" s="1330"/>
      <c r="AL1085" s="1330"/>
      <c r="AM1085" s="1330"/>
      <c r="AN1085" s="1330"/>
      <c r="AO1085" s="1330"/>
      <c r="AP1085" s="1330"/>
      <c r="AQ1085" s="1330"/>
      <c r="AR1085" s="1330"/>
      <c r="AS1085" s="14"/>
    </row>
    <row r="1086" spans="1:51" ht="12.95" customHeight="1">
      <c r="A1086" s="1"/>
      <c r="B1086" s="1"/>
      <c r="C1086" s="1"/>
      <c r="D1086" s="1"/>
      <c r="E1086" s="1330"/>
      <c r="F1086" s="1330"/>
      <c r="G1086" s="1330"/>
      <c r="H1086" s="1330"/>
      <c r="I1086" s="1330"/>
      <c r="J1086" s="1330"/>
      <c r="K1086" s="1330"/>
      <c r="L1086" s="1330"/>
      <c r="M1086" s="1330"/>
      <c r="N1086" s="1330"/>
      <c r="O1086" s="1330"/>
      <c r="P1086" s="1330"/>
      <c r="Q1086" s="1330"/>
      <c r="R1086" s="1330"/>
      <c r="S1086" s="1330"/>
      <c r="T1086" s="1330"/>
      <c r="U1086" s="1330"/>
      <c r="V1086" s="1330"/>
      <c r="W1086" s="1330"/>
      <c r="X1086" s="1330"/>
      <c r="Y1086" s="1330"/>
      <c r="Z1086" s="1330"/>
      <c r="AA1086" s="1330"/>
      <c r="AB1086" s="1330"/>
      <c r="AC1086" s="1330"/>
      <c r="AD1086" s="1330"/>
      <c r="AE1086" s="1330"/>
      <c r="AF1086" s="1330"/>
      <c r="AG1086" s="1330"/>
      <c r="AH1086" s="1330"/>
      <c r="AI1086" s="1330"/>
      <c r="AJ1086" s="1330"/>
      <c r="AK1086" s="1330"/>
      <c r="AL1086" s="1330"/>
      <c r="AM1086" s="1330"/>
      <c r="AN1086" s="1330"/>
      <c r="AO1086" s="1330"/>
      <c r="AP1086" s="1330"/>
      <c r="AQ1086" s="1330"/>
      <c r="AR1086" s="1330"/>
      <c r="AS1086" s="14"/>
    </row>
    <row r="1087" spans="1:51" ht="12.95" customHeight="1">
      <c r="A1087" s="1"/>
      <c r="B1087" s="1"/>
      <c r="C1087" s="1409"/>
      <c r="D1087" s="1409"/>
      <c r="E1087" s="1330"/>
      <c r="F1087" s="1330"/>
      <c r="G1087" s="1330"/>
      <c r="H1087" s="1330"/>
      <c r="I1087" s="1330"/>
      <c r="J1087" s="1330"/>
      <c r="K1087" s="1330"/>
      <c r="L1087" s="1330"/>
      <c r="M1087" s="1330"/>
      <c r="N1087" s="1330"/>
      <c r="O1087" s="1330"/>
      <c r="P1087" s="1330"/>
      <c r="Q1087" s="1330"/>
      <c r="R1087" s="1330"/>
      <c r="S1087" s="1330"/>
      <c r="T1087" s="1330"/>
      <c r="U1087" s="1330"/>
      <c r="V1087" s="1330"/>
      <c r="W1087" s="1330"/>
      <c r="X1087" s="1330"/>
      <c r="Y1087" s="1330"/>
      <c r="Z1087" s="1330"/>
      <c r="AA1087" s="1330"/>
      <c r="AB1087" s="1330"/>
      <c r="AC1087" s="1330"/>
      <c r="AD1087" s="1330"/>
      <c r="AE1087" s="1330"/>
      <c r="AF1087" s="1330"/>
      <c r="AG1087" s="1330"/>
      <c r="AH1087" s="1330"/>
      <c r="AI1087" s="1330"/>
      <c r="AJ1087" s="1330"/>
      <c r="AK1087" s="1330"/>
      <c r="AL1087" s="1330"/>
      <c r="AM1087" s="1330"/>
      <c r="AN1087" s="1330"/>
      <c r="AO1087" s="1330"/>
      <c r="AP1087" s="1330"/>
      <c r="AQ1087" s="1330"/>
      <c r="AR1087" s="1330"/>
      <c r="AS1087" s="14"/>
    </row>
    <row r="1088" spans="1:51" ht="12.95" customHeight="1">
      <c r="A1088" s="35"/>
      <c r="B1088" s="25"/>
      <c r="C1088" s="1409"/>
      <c r="D1088" s="1409"/>
      <c r="E1088" s="456"/>
      <c r="F1088" s="456"/>
      <c r="G1088" s="456"/>
      <c r="H1088" s="456"/>
      <c r="I1088" s="456"/>
      <c r="J1088" s="456"/>
      <c r="K1088" s="456"/>
      <c r="L1088" s="456"/>
      <c r="M1088" s="456"/>
      <c r="N1088" s="456"/>
      <c r="O1088" s="456"/>
      <c r="P1088" s="456"/>
      <c r="Q1088" s="456"/>
      <c r="R1088" s="456"/>
      <c r="S1088" s="456"/>
      <c r="T1088" s="456"/>
      <c r="U1088" s="456"/>
      <c r="V1088" s="456"/>
      <c r="W1088" s="456"/>
      <c r="X1088" s="456"/>
      <c r="Y1088" s="456"/>
      <c r="Z1088" s="456"/>
      <c r="AA1088" s="456"/>
      <c r="AB1088" s="456"/>
      <c r="AC1088" s="456"/>
      <c r="AD1088" s="456"/>
      <c r="AE1088" s="456"/>
      <c r="AF1088" s="456"/>
      <c r="AG1088" s="456"/>
      <c r="AH1088" s="456"/>
      <c r="AI1088" s="456"/>
      <c r="AJ1088" s="456"/>
      <c r="AK1088" s="456"/>
      <c r="AS1088" s="14"/>
    </row>
    <row r="1089" spans="1:45" ht="12.95" customHeight="1">
      <c r="A1089" s="1418" t="s">
        <v>591</v>
      </c>
      <c r="B1089" s="1418"/>
      <c r="C1089" s="1409">
        <v>7</v>
      </c>
      <c r="D1089" s="1409"/>
      <c r="E1089" s="1330" t="s">
        <v>2140</v>
      </c>
      <c r="F1089" s="1330"/>
      <c r="G1089" s="1330"/>
      <c r="H1089" s="1330"/>
      <c r="I1089" s="1330"/>
      <c r="J1089" s="1330"/>
      <c r="K1089" s="1330"/>
      <c r="L1089" s="1330"/>
      <c r="M1089" s="1330"/>
      <c r="N1089" s="1330"/>
      <c r="O1089" s="1330"/>
      <c r="P1089" s="1330"/>
      <c r="Q1089" s="1330"/>
      <c r="R1089" s="1330"/>
      <c r="S1089" s="1330"/>
      <c r="T1089" s="1330"/>
      <c r="U1089" s="1330"/>
      <c r="V1089" s="1330"/>
      <c r="W1089" s="1330"/>
      <c r="X1089" s="1330"/>
      <c r="Y1089" s="1330"/>
      <c r="Z1089" s="1330"/>
      <c r="AA1089" s="1330"/>
      <c r="AB1089" s="1330"/>
      <c r="AC1089" s="1330"/>
      <c r="AD1089" s="1330"/>
      <c r="AE1089" s="1330"/>
      <c r="AF1089" s="1330"/>
      <c r="AG1089" s="1330"/>
      <c r="AH1089" s="1330"/>
      <c r="AI1089" s="1330"/>
      <c r="AJ1089" s="1330"/>
      <c r="AK1089" s="1330"/>
      <c r="AL1089" s="1330"/>
      <c r="AM1089" s="1330"/>
      <c r="AN1089" s="1330"/>
      <c r="AO1089" s="1330"/>
      <c r="AP1089" s="1330"/>
      <c r="AQ1089" s="1330"/>
      <c r="AR1089" s="1330"/>
      <c r="AS1089" s="14"/>
    </row>
    <row r="1090" spans="1:45" ht="12.95" customHeight="1">
      <c r="A1090" s="1"/>
      <c r="B1090" s="1"/>
      <c r="C1090" s="1409"/>
      <c r="D1090" s="1409"/>
      <c r="E1090" s="1330"/>
      <c r="F1090" s="1330"/>
      <c r="G1090" s="1330"/>
      <c r="H1090" s="1330"/>
      <c r="I1090" s="1330"/>
      <c r="J1090" s="1330"/>
      <c r="K1090" s="1330"/>
      <c r="L1090" s="1330"/>
      <c r="M1090" s="1330"/>
      <c r="N1090" s="1330"/>
      <c r="O1090" s="1330"/>
      <c r="P1090" s="1330"/>
      <c r="Q1090" s="1330"/>
      <c r="R1090" s="1330"/>
      <c r="S1090" s="1330"/>
      <c r="T1090" s="1330"/>
      <c r="U1090" s="1330"/>
      <c r="V1090" s="1330"/>
      <c r="W1090" s="1330"/>
      <c r="X1090" s="1330"/>
      <c r="Y1090" s="1330"/>
      <c r="Z1090" s="1330"/>
      <c r="AA1090" s="1330"/>
      <c r="AB1090" s="1330"/>
      <c r="AC1090" s="1330"/>
      <c r="AD1090" s="1330"/>
      <c r="AE1090" s="1330"/>
      <c r="AF1090" s="1330"/>
      <c r="AG1090" s="1330"/>
      <c r="AH1090" s="1330"/>
      <c r="AI1090" s="1330"/>
      <c r="AJ1090" s="1330"/>
      <c r="AK1090" s="1330"/>
      <c r="AL1090" s="1330"/>
      <c r="AM1090" s="1330"/>
      <c r="AN1090" s="1330"/>
      <c r="AO1090" s="1330"/>
      <c r="AP1090" s="1330"/>
      <c r="AQ1090" s="1330"/>
      <c r="AR1090" s="1330"/>
      <c r="AS1090" s="14"/>
    </row>
    <row r="1091" spans="1:45" ht="12.95" customHeight="1">
      <c r="A1091" s="1"/>
      <c r="B1091" s="1"/>
      <c r="C1091" s="1409"/>
      <c r="D1091" s="1409"/>
      <c r="E1091" s="1330"/>
      <c r="F1091" s="1330"/>
      <c r="G1091" s="1330"/>
      <c r="H1091" s="1330"/>
      <c r="I1091" s="1330"/>
      <c r="J1091" s="1330"/>
      <c r="K1091" s="1330"/>
      <c r="L1091" s="1330"/>
      <c r="M1091" s="1330"/>
      <c r="N1091" s="1330"/>
      <c r="O1091" s="1330"/>
      <c r="P1091" s="1330"/>
      <c r="Q1091" s="1330"/>
      <c r="R1091" s="1330"/>
      <c r="S1091" s="1330"/>
      <c r="T1091" s="1330"/>
      <c r="U1091" s="1330"/>
      <c r="V1091" s="1330"/>
      <c r="W1091" s="1330"/>
      <c r="X1091" s="1330"/>
      <c r="Y1091" s="1330"/>
      <c r="Z1091" s="1330"/>
      <c r="AA1091" s="1330"/>
      <c r="AB1091" s="1330"/>
      <c r="AC1091" s="1330"/>
      <c r="AD1091" s="1330"/>
      <c r="AE1091" s="1330"/>
      <c r="AF1091" s="1330"/>
      <c r="AG1091" s="1330"/>
      <c r="AH1091" s="1330"/>
      <c r="AI1091" s="1330"/>
      <c r="AJ1091" s="1330"/>
      <c r="AK1091" s="1330"/>
      <c r="AL1091" s="1330"/>
      <c r="AM1091" s="1330"/>
      <c r="AN1091" s="1330"/>
      <c r="AO1091" s="1330"/>
      <c r="AP1091" s="1330"/>
      <c r="AQ1091" s="1330"/>
      <c r="AR1091" s="1330"/>
      <c r="AS1091" s="14"/>
    </row>
    <row r="1092" spans="1:45" ht="12.95" customHeight="1">
      <c r="A1092" s="1"/>
      <c r="B1092" s="1"/>
      <c r="C1092" s="1409"/>
      <c r="D1092" s="1409"/>
      <c r="E1092" s="456"/>
      <c r="F1092" s="456"/>
      <c r="G1092" s="456"/>
      <c r="H1092" s="456"/>
      <c r="I1092" s="456"/>
      <c r="J1092" s="456"/>
      <c r="K1092" s="456"/>
      <c r="L1092" s="456"/>
      <c r="M1092" s="456"/>
      <c r="N1092" s="456"/>
      <c r="O1092" s="456"/>
      <c r="P1092" s="456"/>
      <c r="Q1092" s="456"/>
      <c r="R1092" s="456"/>
      <c r="S1092" s="456"/>
      <c r="T1092" s="456"/>
      <c r="U1092" s="456"/>
      <c r="V1092" s="456"/>
      <c r="W1092" s="456"/>
      <c r="X1092" s="456"/>
      <c r="Y1092" s="456"/>
      <c r="Z1092" s="456"/>
      <c r="AA1092" s="456"/>
      <c r="AB1092" s="456"/>
      <c r="AC1092" s="456"/>
      <c r="AD1092" s="456"/>
      <c r="AE1092" s="456"/>
      <c r="AF1092" s="456"/>
      <c r="AG1092" s="456"/>
      <c r="AH1092" s="456"/>
      <c r="AI1092" s="456"/>
      <c r="AJ1092" s="456"/>
      <c r="AK1092" s="456"/>
    </row>
    <row r="1093" spans="1:45" ht="12.95" customHeight="1">
      <c r="A1093" s="35"/>
      <c r="B1093" s="25"/>
      <c r="C1093" s="1409"/>
      <c r="D1093" s="1409"/>
      <c r="E1093" s="456"/>
      <c r="F1093" s="456"/>
      <c r="G1093" s="456"/>
      <c r="H1093" s="456"/>
      <c r="I1093" s="456"/>
      <c r="J1093" s="456"/>
      <c r="K1093" s="456"/>
      <c r="L1093" s="456"/>
      <c r="M1093" s="456"/>
      <c r="N1093" s="456"/>
      <c r="O1093" s="456"/>
      <c r="P1093" s="456"/>
      <c r="Q1093" s="456"/>
      <c r="R1093" s="456"/>
      <c r="S1093" s="456"/>
      <c r="T1093" s="456"/>
      <c r="U1093" s="456"/>
      <c r="V1093" s="456"/>
      <c r="W1093" s="456"/>
      <c r="X1093" s="456"/>
      <c r="Y1093" s="456"/>
      <c r="Z1093" s="456"/>
      <c r="AA1093" s="456"/>
      <c r="AB1093" s="456"/>
      <c r="AC1093" s="456"/>
      <c r="AD1093" s="456"/>
      <c r="AE1093" s="456"/>
      <c r="AF1093" s="456"/>
      <c r="AG1093" s="456"/>
      <c r="AH1093" s="456"/>
      <c r="AI1093" s="456"/>
      <c r="AJ1093" s="456"/>
      <c r="AK1093" s="456"/>
    </row>
    <row r="1094" spans="1:45" ht="12.95" customHeight="1">
      <c r="A1094" s="1418" t="s">
        <v>591</v>
      </c>
      <c r="B1094" s="1418"/>
      <c r="C1094" s="1409">
        <v>8</v>
      </c>
      <c r="D1094" s="1409"/>
      <c r="E1094" s="1330" t="s">
        <v>1073</v>
      </c>
      <c r="F1094" s="1330"/>
      <c r="G1094" s="1330"/>
      <c r="H1094" s="1330"/>
      <c r="I1094" s="1330"/>
      <c r="J1094" s="1330"/>
      <c r="K1094" s="1330"/>
      <c r="L1094" s="1330"/>
      <c r="M1094" s="1330"/>
      <c r="N1094" s="1330"/>
      <c r="O1094" s="1330"/>
      <c r="P1094" s="1330"/>
      <c r="Q1094" s="1330"/>
      <c r="R1094" s="1330"/>
      <c r="S1094" s="1330"/>
      <c r="T1094" s="1330"/>
      <c r="U1094" s="1330"/>
      <c r="V1094" s="1330"/>
      <c r="W1094" s="1330"/>
      <c r="X1094" s="1330"/>
      <c r="Y1094" s="1330"/>
      <c r="Z1094" s="1330"/>
      <c r="AA1094" s="1330"/>
      <c r="AB1094" s="1330"/>
      <c r="AC1094" s="1330"/>
      <c r="AD1094" s="1330"/>
      <c r="AE1094" s="1330"/>
      <c r="AF1094" s="1330"/>
      <c r="AG1094" s="1330"/>
      <c r="AH1094" s="1330"/>
      <c r="AI1094" s="1330"/>
      <c r="AJ1094" s="1330"/>
      <c r="AK1094" s="1330"/>
      <c r="AL1094" s="1330"/>
      <c r="AM1094" s="1330"/>
      <c r="AN1094" s="1330"/>
      <c r="AO1094" s="1330"/>
      <c r="AP1094" s="1330"/>
      <c r="AQ1094" s="1330"/>
      <c r="AR1094" s="1330"/>
    </row>
    <row r="1095" spans="1:45" ht="12.95" customHeight="1">
      <c r="A1095" s="35"/>
      <c r="B1095" s="25"/>
      <c r="C1095" s="1409"/>
      <c r="D1095" s="1409"/>
      <c r="E1095" s="1330"/>
      <c r="F1095" s="1330"/>
      <c r="G1095" s="1330"/>
      <c r="H1095" s="1330"/>
      <c r="I1095" s="1330"/>
      <c r="J1095" s="1330"/>
      <c r="K1095" s="1330"/>
      <c r="L1095" s="1330"/>
      <c r="M1095" s="1330"/>
      <c r="N1095" s="1330"/>
      <c r="O1095" s="1330"/>
      <c r="P1095" s="1330"/>
      <c r="Q1095" s="1330"/>
      <c r="R1095" s="1330"/>
      <c r="S1095" s="1330"/>
      <c r="T1095" s="1330"/>
      <c r="U1095" s="1330"/>
      <c r="V1095" s="1330"/>
      <c r="W1095" s="1330"/>
      <c r="X1095" s="1330"/>
      <c r="Y1095" s="1330"/>
      <c r="Z1095" s="1330"/>
      <c r="AA1095" s="1330"/>
      <c r="AB1095" s="1330"/>
      <c r="AC1095" s="1330"/>
      <c r="AD1095" s="1330"/>
      <c r="AE1095" s="1330"/>
      <c r="AF1095" s="1330"/>
      <c r="AG1095" s="1330"/>
      <c r="AH1095" s="1330"/>
      <c r="AI1095" s="1330"/>
      <c r="AJ1095" s="1330"/>
      <c r="AK1095" s="1330"/>
      <c r="AL1095" s="1330"/>
      <c r="AM1095" s="1330"/>
      <c r="AN1095" s="1330"/>
      <c r="AO1095" s="1330"/>
      <c r="AP1095" s="1330"/>
      <c r="AQ1095" s="1330"/>
      <c r="AR1095" s="1330"/>
    </row>
    <row r="1096" spans="1:45" ht="12.95" customHeight="1">
      <c r="A1096" s="35"/>
      <c r="B1096" s="25"/>
      <c r="C1096" s="1409"/>
      <c r="D1096" s="1409"/>
      <c r="E1096" s="456"/>
      <c r="F1096" s="456"/>
      <c r="G1096" s="456"/>
      <c r="H1096" s="456"/>
      <c r="I1096" s="456"/>
      <c r="J1096" s="456"/>
      <c r="K1096" s="456"/>
      <c r="L1096" s="456"/>
      <c r="M1096" s="456"/>
      <c r="N1096" s="456"/>
      <c r="O1096" s="456"/>
      <c r="P1096" s="456"/>
      <c r="Q1096" s="456"/>
      <c r="R1096" s="456"/>
      <c r="S1096" s="456"/>
      <c r="T1096" s="456"/>
      <c r="U1096" s="456"/>
      <c r="V1096" s="456"/>
      <c r="W1096" s="456"/>
      <c r="X1096" s="456"/>
      <c r="Y1096" s="456"/>
      <c r="Z1096" s="456"/>
      <c r="AA1096" s="456"/>
      <c r="AB1096" s="456"/>
      <c r="AC1096" s="456"/>
      <c r="AD1096" s="456"/>
      <c r="AE1096" s="456"/>
      <c r="AF1096" s="456"/>
      <c r="AG1096" s="456"/>
      <c r="AH1096" s="456"/>
      <c r="AI1096" s="456"/>
      <c r="AJ1096" s="456"/>
      <c r="AK1096" s="456"/>
    </row>
    <row r="1097" spans="1:45" ht="12.95" customHeight="1">
      <c r="A1097" s="1418" t="s">
        <v>591</v>
      </c>
      <c r="B1097" s="1418"/>
      <c r="C1097" s="1863">
        <v>9</v>
      </c>
      <c r="D1097" s="1863"/>
      <c r="E1097" s="1330" t="s">
        <v>1075</v>
      </c>
      <c r="F1097" s="1330"/>
      <c r="G1097" s="1330"/>
      <c r="H1097" s="1330"/>
      <c r="I1097" s="1330"/>
      <c r="J1097" s="1330"/>
      <c r="K1097" s="1330"/>
      <c r="L1097" s="1330"/>
      <c r="M1097" s="1330"/>
      <c r="N1097" s="1330"/>
      <c r="O1097" s="1330"/>
      <c r="P1097" s="1330"/>
      <c r="Q1097" s="1330"/>
      <c r="R1097" s="1330"/>
      <c r="S1097" s="1330"/>
      <c r="T1097" s="1330"/>
      <c r="U1097" s="1330"/>
      <c r="V1097" s="1330"/>
      <c r="W1097" s="1330"/>
      <c r="X1097" s="1330"/>
      <c r="Y1097" s="1330"/>
      <c r="Z1097" s="1330"/>
      <c r="AA1097" s="1330"/>
      <c r="AB1097" s="1330"/>
      <c r="AC1097" s="1330"/>
      <c r="AD1097" s="1330"/>
      <c r="AE1097" s="1330"/>
      <c r="AF1097" s="1330"/>
      <c r="AG1097" s="1330"/>
      <c r="AH1097" s="1330"/>
      <c r="AI1097" s="1330"/>
      <c r="AJ1097" s="1330"/>
      <c r="AK1097" s="1330"/>
      <c r="AL1097" s="1330"/>
      <c r="AM1097" s="1330"/>
      <c r="AN1097" s="1330"/>
      <c r="AO1097" s="1330"/>
      <c r="AP1097" s="1330"/>
      <c r="AQ1097" s="1330"/>
      <c r="AR1097" s="1330"/>
    </row>
    <row r="1098" spans="1:45" ht="12.95" customHeight="1">
      <c r="A1098" s="1"/>
      <c r="B1098" s="1"/>
      <c r="C1098" s="1863"/>
      <c r="D1098" s="1863"/>
      <c r="E1098" s="1330"/>
      <c r="F1098" s="1330"/>
      <c r="G1098" s="1330"/>
      <c r="H1098" s="1330"/>
      <c r="I1098" s="1330"/>
      <c r="J1098" s="1330"/>
      <c r="K1098" s="1330"/>
      <c r="L1098" s="1330"/>
      <c r="M1098" s="1330"/>
      <c r="N1098" s="1330"/>
      <c r="O1098" s="1330"/>
      <c r="P1098" s="1330"/>
      <c r="Q1098" s="1330"/>
      <c r="R1098" s="1330"/>
      <c r="S1098" s="1330"/>
      <c r="T1098" s="1330"/>
      <c r="U1098" s="1330"/>
      <c r="V1098" s="1330"/>
      <c r="W1098" s="1330"/>
      <c r="X1098" s="1330"/>
      <c r="Y1098" s="1330"/>
      <c r="Z1098" s="1330"/>
      <c r="AA1098" s="1330"/>
      <c r="AB1098" s="1330"/>
      <c r="AC1098" s="1330"/>
      <c r="AD1098" s="1330"/>
      <c r="AE1098" s="1330"/>
      <c r="AF1098" s="1330"/>
      <c r="AG1098" s="1330"/>
      <c r="AH1098" s="1330"/>
      <c r="AI1098" s="1330"/>
      <c r="AJ1098" s="1330"/>
      <c r="AK1098" s="1330"/>
      <c r="AL1098" s="1330"/>
      <c r="AM1098" s="1330"/>
      <c r="AN1098" s="1330"/>
      <c r="AO1098" s="1330"/>
      <c r="AP1098" s="1330"/>
      <c r="AQ1098" s="1330"/>
      <c r="AR1098" s="1330"/>
    </row>
    <row r="1099" spans="1:45" ht="12.95" customHeight="1">
      <c r="A1099" s="35"/>
      <c r="B1099" s="25"/>
      <c r="C1099" s="1863"/>
      <c r="D1099" s="1863"/>
      <c r="E1099" s="456"/>
      <c r="F1099" s="456"/>
      <c r="G1099" s="456"/>
      <c r="H1099" s="456"/>
      <c r="I1099" s="456"/>
      <c r="J1099" s="456"/>
      <c r="K1099" s="456"/>
      <c r="L1099" s="456"/>
      <c r="M1099" s="456"/>
      <c r="N1099" s="456"/>
      <c r="O1099" s="456"/>
      <c r="P1099" s="456"/>
      <c r="Q1099" s="456"/>
      <c r="R1099" s="456"/>
      <c r="S1099" s="456"/>
      <c r="T1099" s="456"/>
      <c r="U1099" s="456"/>
      <c r="V1099" s="456"/>
      <c r="W1099" s="456"/>
      <c r="X1099" s="456"/>
      <c r="Y1099" s="456"/>
      <c r="Z1099" s="456"/>
      <c r="AA1099" s="456"/>
      <c r="AB1099" s="456"/>
      <c r="AC1099" s="456"/>
      <c r="AD1099" s="456"/>
      <c r="AE1099" s="456"/>
      <c r="AF1099" s="456"/>
      <c r="AG1099" s="456"/>
      <c r="AH1099" s="456"/>
      <c r="AI1099" s="456"/>
      <c r="AJ1099" s="456"/>
      <c r="AK1099" s="456"/>
    </row>
    <row r="1100" spans="1:45" ht="12.95" customHeight="1">
      <c r="A1100" s="1418" t="s">
        <v>591</v>
      </c>
      <c r="B1100" s="1418"/>
      <c r="C1100" s="1863">
        <v>10</v>
      </c>
      <c r="D1100" s="1863"/>
      <c r="E1100" s="1864" t="s">
        <v>2242</v>
      </c>
      <c r="F1100" s="1864"/>
      <c r="G1100" s="1864"/>
      <c r="H1100" s="1864"/>
      <c r="I1100" s="1864"/>
      <c r="J1100" s="1864"/>
      <c r="K1100" s="1864"/>
      <c r="L1100" s="1864"/>
      <c r="M1100" s="1864"/>
      <c r="N1100" s="1864"/>
      <c r="O1100" s="1864"/>
      <c r="P1100" s="1864"/>
      <c r="Q1100" s="1864"/>
      <c r="R1100" s="1864"/>
      <c r="S1100" s="1864"/>
      <c r="T1100" s="1864"/>
      <c r="U1100" s="1864"/>
      <c r="V1100" s="1864"/>
      <c r="W1100" s="1864"/>
      <c r="X1100" s="1864"/>
      <c r="Y1100" s="1864"/>
      <c r="Z1100" s="1864"/>
      <c r="AA1100" s="1864"/>
      <c r="AB1100" s="1864"/>
      <c r="AC1100" s="1864"/>
      <c r="AD1100" s="1864"/>
      <c r="AE1100" s="1864"/>
      <c r="AF1100" s="1864"/>
      <c r="AG1100" s="1864"/>
      <c r="AH1100" s="1864"/>
      <c r="AI1100" s="1864"/>
      <c r="AJ1100" s="1864"/>
      <c r="AK1100" s="1864"/>
      <c r="AL1100" s="1864"/>
      <c r="AM1100" s="1864"/>
      <c r="AN1100" s="1864"/>
      <c r="AO1100" s="1864"/>
      <c r="AP1100" s="1864"/>
      <c r="AQ1100" s="1864"/>
      <c r="AR1100" s="1864"/>
    </row>
    <row r="1101" spans="1:45" ht="12.95" customHeight="1">
      <c r="A1101" s="1"/>
      <c r="B1101" s="1"/>
      <c r="C1101" s="199"/>
      <c r="D1101" s="1163"/>
      <c r="E1101" s="1864"/>
      <c r="F1101" s="1864"/>
      <c r="G1101" s="1864"/>
      <c r="H1101" s="1864"/>
      <c r="I1101" s="1864"/>
      <c r="J1101" s="1864"/>
      <c r="K1101" s="1864"/>
      <c r="L1101" s="1864"/>
      <c r="M1101" s="1864"/>
      <c r="N1101" s="1864"/>
      <c r="O1101" s="1864"/>
      <c r="P1101" s="1864"/>
      <c r="Q1101" s="1864"/>
      <c r="R1101" s="1864"/>
      <c r="S1101" s="1864"/>
      <c r="T1101" s="1864"/>
      <c r="U1101" s="1864"/>
      <c r="V1101" s="1864"/>
      <c r="W1101" s="1864"/>
      <c r="X1101" s="1864"/>
      <c r="Y1101" s="1864"/>
      <c r="Z1101" s="1864"/>
      <c r="AA1101" s="1864"/>
      <c r="AB1101" s="1864"/>
      <c r="AC1101" s="1864"/>
      <c r="AD1101" s="1864"/>
      <c r="AE1101" s="1864"/>
      <c r="AF1101" s="1864"/>
      <c r="AG1101" s="1864"/>
      <c r="AH1101" s="1864"/>
      <c r="AI1101" s="1864"/>
      <c r="AJ1101" s="1864"/>
      <c r="AK1101" s="1864"/>
      <c r="AL1101" s="1864"/>
      <c r="AM1101" s="1864"/>
      <c r="AN1101" s="1864"/>
      <c r="AO1101" s="1864"/>
      <c r="AP1101" s="1864"/>
      <c r="AQ1101" s="1864"/>
      <c r="AR1101" s="1864"/>
    </row>
    <row r="1102" spans="1:45" ht="12.95" customHeight="1">
      <c r="A1102" s="1"/>
      <c r="B1102" s="1"/>
      <c r="C1102" s="199"/>
      <c r="D1102" s="1163"/>
      <c r="E1102" s="1163"/>
      <c r="F1102" s="1163"/>
      <c r="G1102" s="1163"/>
      <c r="H1102" s="1163"/>
      <c r="I1102" s="1163"/>
      <c r="J1102" s="1163"/>
      <c r="K1102" s="1163"/>
      <c r="L1102" s="1163"/>
      <c r="M1102" s="1163"/>
      <c r="N1102" s="1163"/>
      <c r="O1102" s="1163"/>
      <c r="P1102" s="1163"/>
      <c r="Q1102" s="1163"/>
      <c r="R1102" s="1163"/>
      <c r="S1102" s="1163"/>
      <c r="T1102" s="1163"/>
      <c r="U1102" s="1163"/>
      <c r="V1102" s="1163"/>
      <c r="W1102" s="1163"/>
      <c r="X1102" s="1163"/>
      <c r="Y1102" s="1163"/>
      <c r="Z1102" s="1163"/>
      <c r="AA1102" s="1163"/>
      <c r="AB1102" s="1163"/>
      <c r="AC1102" s="1163"/>
      <c r="AD1102" s="1163"/>
      <c r="AE1102" s="1163"/>
      <c r="AF1102" s="1163"/>
      <c r="AG1102" s="1163"/>
      <c r="AH1102" s="1163"/>
      <c r="AI1102" s="1163"/>
      <c r="AJ1102" s="1163"/>
      <c r="AK1102" s="1163"/>
    </row>
    <row r="1103" spans="1:45" ht="12.95" customHeight="1">
      <c r="A1103" s="1418" t="s">
        <v>591</v>
      </c>
      <c r="B1103" s="1418"/>
      <c r="C1103" s="1863">
        <v>11</v>
      </c>
      <c r="D1103" s="1863"/>
      <c r="E1103" s="1864" t="s">
        <v>2244</v>
      </c>
      <c r="F1103" s="1864"/>
      <c r="G1103" s="1864"/>
      <c r="H1103" s="1864"/>
      <c r="I1103" s="1864"/>
      <c r="J1103" s="1864"/>
      <c r="K1103" s="1864"/>
      <c r="L1103" s="1864"/>
      <c r="M1103" s="1864"/>
      <c r="N1103" s="1864"/>
      <c r="O1103" s="1864"/>
      <c r="P1103" s="1864"/>
      <c r="Q1103" s="1864"/>
      <c r="R1103" s="1864"/>
      <c r="S1103" s="1864"/>
      <c r="T1103" s="1864"/>
      <c r="U1103" s="1864"/>
      <c r="V1103" s="1864"/>
      <c r="W1103" s="1864"/>
      <c r="X1103" s="1864"/>
      <c r="Y1103" s="1864"/>
      <c r="Z1103" s="1864"/>
      <c r="AA1103" s="1864"/>
      <c r="AB1103" s="1864"/>
      <c r="AC1103" s="1864"/>
      <c r="AD1103" s="1864"/>
      <c r="AE1103" s="1864"/>
      <c r="AF1103" s="1864"/>
      <c r="AG1103" s="1864"/>
      <c r="AH1103" s="1864"/>
      <c r="AI1103" s="1864"/>
      <c r="AJ1103" s="1864"/>
      <c r="AK1103" s="1864"/>
      <c r="AL1103" s="1864"/>
      <c r="AM1103" s="1864"/>
      <c r="AN1103" s="1864"/>
      <c r="AO1103" s="1864"/>
      <c r="AP1103" s="1864"/>
      <c r="AQ1103" s="1864"/>
      <c r="AR1103" s="1864"/>
    </row>
    <row r="1104" spans="1:45" ht="12.95" customHeight="1">
      <c r="A1104" s="1"/>
      <c r="B1104" s="1"/>
      <c r="C1104" s="199"/>
      <c r="D1104" s="1163"/>
      <c r="E1104" s="1864"/>
      <c r="F1104" s="1864"/>
      <c r="G1104" s="1864"/>
      <c r="H1104" s="1864"/>
      <c r="I1104" s="1864"/>
      <c r="J1104" s="1864"/>
      <c r="K1104" s="1864"/>
      <c r="L1104" s="1864"/>
      <c r="M1104" s="1864"/>
      <c r="N1104" s="1864"/>
      <c r="O1104" s="1864"/>
      <c r="P1104" s="1864"/>
      <c r="Q1104" s="1864"/>
      <c r="R1104" s="1864"/>
      <c r="S1104" s="1864"/>
      <c r="T1104" s="1864"/>
      <c r="U1104" s="1864"/>
      <c r="V1104" s="1864"/>
      <c r="W1104" s="1864"/>
      <c r="X1104" s="1864"/>
      <c r="Y1104" s="1864"/>
      <c r="Z1104" s="1864"/>
      <c r="AA1104" s="1864"/>
      <c r="AB1104" s="1864"/>
      <c r="AC1104" s="1864"/>
      <c r="AD1104" s="1864"/>
      <c r="AE1104" s="1864"/>
      <c r="AF1104" s="1864"/>
      <c r="AG1104" s="1864"/>
      <c r="AH1104" s="1864"/>
      <c r="AI1104" s="1864"/>
      <c r="AJ1104" s="1864"/>
      <c r="AK1104" s="1864"/>
      <c r="AL1104" s="1864"/>
      <c r="AM1104" s="1864"/>
      <c r="AN1104" s="1864"/>
      <c r="AO1104" s="1864"/>
      <c r="AP1104" s="1864"/>
      <c r="AQ1104" s="1864"/>
      <c r="AR1104" s="1864"/>
    </row>
    <row r="1105" spans="1:37" ht="12.95" customHeight="1">
      <c r="A1105" s="1"/>
      <c r="B1105" s="1"/>
      <c r="C1105" s="199"/>
      <c r="D1105" s="1163"/>
      <c r="E1105" s="1163"/>
      <c r="F1105" s="1163"/>
      <c r="G1105" s="1163"/>
      <c r="H1105" s="1163"/>
      <c r="I1105" s="1163"/>
      <c r="J1105" s="1163"/>
      <c r="K1105" s="1163"/>
      <c r="L1105" s="1163"/>
      <c r="M1105" s="1163"/>
      <c r="N1105" s="1163"/>
      <c r="O1105" s="1163"/>
      <c r="P1105" s="1163"/>
      <c r="Q1105" s="1163"/>
      <c r="R1105" s="1163"/>
      <c r="S1105" s="1163"/>
      <c r="T1105" s="1163"/>
      <c r="U1105" s="1163"/>
      <c r="V1105" s="1163"/>
      <c r="W1105" s="1163"/>
      <c r="X1105" s="1163"/>
      <c r="Y1105" s="1163"/>
      <c r="Z1105" s="1163"/>
      <c r="AA1105" s="1163"/>
      <c r="AB1105" s="1163"/>
      <c r="AC1105" s="1163"/>
      <c r="AD1105" s="1163"/>
      <c r="AE1105" s="1163"/>
      <c r="AF1105" s="1163"/>
      <c r="AG1105" s="1163"/>
      <c r="AH1105" s="1163"/>
      <c r="AI1105" s="1163"/>
      <c r="AJ1105" s="1163"/>
      <c r="AK1105" s="1163"/>
    </row>
    <row r="1106" spans="1:37" ht="12.95" hidden="1" customHeight="1">
      <c r="A1106" s="1"/>
      <c r="B1106" s="1"/>
      <c r="C1106" s="199"/>
      <c r="D1106" s="1163"/>
      <c r="E1106" s="1163"/>
      <c r="F1106" s="1163"/>
      <c r="G1106" s="1163"/>
      <c r="H1106" s="1163"/>
      <c r="I1106" s="1163"/>
      <c r="J1106" s="1163"/>
      <c r="K1106" s="1163"/>
      <c r="L1106" s="1163"/>
      <c r="M1106" s="1163"/>
      <c r="N1106" s="1163"/>
      <c r="O1106" s="1163"/>
      <c r="P1106" s="1163"/>
      <c r="Q1106" s="1163"/>
      <c r="R1106" s="1163"/>
      <c r="S1106" s="1163"/>
      <c r="T1106" s="1163"/>
      <c r="U1106" s="1163"/>
      <c r="V1106" s="1163"/>
      <c r="W1106" s="1163"/>
      <c r="X1106" s="1163"/>
      <c r="Y1106" s="1163"/>
      <c r="Z1106" s="1163"/>
      <c r="AA1106" s="1163"/>
      <c r="AB1106" s="1163"/>
      <c r="AC1106" s="1163"/>
      <c r="AD1106" s="1163"/>
      <c r="AE1106" s="1163"/>
      <c r="AF1106" s="1163"/>
      <c r="AG1106" s="1163"/>
      <c r="AH1106" s="1163"/>
      <c r="AI1106" s="1163"/>
      <c r="AJ1106" s="1163"/>
      <c r="AK1106" s="1163"/>
    </row>
    <row r="1107" spans="1:37" ht="12.95" hidden="1" customHeight="1">
      <c r="A1107" s="1"/>
      <c r="B1107" s="1"/>
      <c r="C1107" s="199"/>
      <c r="D1107" s="1163"/>
      <c r="E1107" s="1163"/>
      <c r="F1107" s="1163"/>
      <c r="G1107" s="1163"/>
      <c r="H1107" s="1163"/>
      <c r="I1107" s="1163"/>
      <c r="J1107" s="1163"/>
      <c r="K1107" s="1163"/>
      <c r="L1107" s="1163"/>
      <c r="M1107" s="1163"/>
      <c r="N1107" s="1163"/>
      <c r="O1107" s="1163"/>
      <c r="P1107" s="1163"/>
      <c r="Q1107" s="1163"/>
      <c r="R1107" s="1163"/>
      <c r="S1107" s="1163"/>
      <c r="T1107" s="1163"/>
      <c r="U1107" s="1163"/>
      <c r="V1107" s="1163"/>
      <c r="W1107" s="1163"/>
      <c r="X1107" s="1163"/>
      <c r="Y1107" s="1163"/>
      <c r="Z1107" s="1163"/>
      <c r="AA1107" s="1163"/>
      <c r="AB1107" s="1163"/>
      <c r="AC1107" s="1163"/>
      <c r="AD1107" s="1163"/>
      <c r="AE1107" s="1163"/>
      <c r="AF1107" s="1163"/>
      <c r="AG1107" s="1163"/>
      <c r="AH1107" s="1163"/>
      <c r="AI1107" s="1163"/>
      <c r="AJ1107" s="1163"/>
      <c r="AK1107" s="1163"/>
    </row>
    <row r="1108" spans="1:37" ht="12.95" hidden="1" customHeight="1">
      <c r="A1108" s="1"/>
      <c r="B1108" s="1"/>
      <c r="C1108" s="199"/>
      <c r="D1108" s="1163"/>
      <c r="E1108" s="1163"/>
      <c r="F1108" s="1163"/>
      <c r="G1108" s="1163"/>
      <c r="H1108" s="1163"/>
      <c r="I1108" s="1163"/>
      <c r="J1108" s="1163"/>
      <c r="K1108" s="1163"/>
      <c r="L1108" s="1163"/>
      <c r="M1108" s="1163"/>
      <c r="N1108" s="1163"/>
      <c r="O1108" s="1163"/>
      <c r="P1108" s="1163"/>
      <c r="Q1108" s="1163"/>
      <c r="R1108" s="1163"/>
      <c r="S1108" s="1163"/>
      <c r="T1108" s="1163"/>
      <c r="U1108" s="1163"/>
      <c r="V1108" s="1163"/>
      <c r="W1108" s="1163"/>
      <c r="X1108" s="1163"/>
      <c r="Y1108" s="1163"/>
      <c r="Z1108" s="1163"/>
      <c r="AA1108" s="1163"/>
      <c r="AB1108" s="1163"/>
      <c r="AC1108" s="1163"/>
      <c r="AD1108" s="1163"/>
      <c r="AE1108" s="1163"/>
      <c r="AF1108" s="1163"/>
      <c r="AG1108" s="1163"/>
      <c r="AH1108" s="1163"/>
      <c r="AI1108" s="1163"/>
      <c r="AJ1108" s="1163"/>
      <c r="AK1108" s="1163"/>
    </row>
    <row r="1109" spans="1:37" ht="12.95" hidden="1" customHeight="1">
      <c r="A1109" s="1"/>
      <c r="B1109" s="1"/>
      <c r="C1109" s="199"/>
      <c r="D1109" s="1163"/>
      <c r="E1109" s="1163"/>
      <c r="F1109" s="1163"/>
      <c r="G1109" s="1163"/>
      <c r="H1109" s="1163"/>
      <c r="I1109" s="1163"/>
      <c r="J1109" s="1163"/>
      <c r="K1109" s="1163"/>
      <c r="L1109" s="1163"/>
      <c r="M1109" s="1163"/>
      <c r="N1109" s="1163"/>
      <c r="O1109" s="1163"/>
      <c r="P1109" s="1163"/>
      <c r="Q1109" s="1163"/>
      <c r="R1109" s="1163"/>
      <c r="S1109" s="1163"/>
      <c r="T1109" s="1163"/>
      <c r="U1109" s="1163"/>
      <c r="V1109" s="1163"/>
      <c r="W1109" s="1163"/>
      <c r="X1109" s="1163"/>
      <c r="Y1109" s="1163"/>
      <c r="Z1109" s="1163"/>
      <c r="AA1109" s="1163"/>
      <c r="AB1109" s="1163"/>
      <c r="AC1109" s="1163"/>
      <c r="AD1109" s="1163"/>
      <c r="AE1109" s="1163"/>
      <c r="AF1109" s="1163"/>
      <c r="AG1109" s="1163"/>
      <c r="AH1109" s="1163"/>
      <c r="AI1109" s="1163"/>
      <c r="AJ1109" s="1163"/>
      <c r="AK1109" s="1163"/>
    </row>
    <row r="1110" spans="1:37" ht="12.95" hidden="1" customHeight="1">
      <c r="A1110" s="1"/>
      <c r="B1110" s="1"/>
      <c r="C1110" s="199"/>
      <c r="D1110" s="1163"/>
      <c r="E1110" s="1163"/>
      <c r="F1110" s="1163"/>
      <c r="G1110" s="1163"/>
      <c r="H1110" s="1163"/>
      <c r="I1110" s="1163"/>
      <c r="J1110" s="1163"/>
      <c r="K1110" s="1163"/>
      <c r="L1110" s="1163"/>
      <c r="M1110" s="1163"/>
      <c r="N1110" s="1163"/>
      <c r="O1110" s="1163"/>
      <c r="P1110" s="1163"/>
      <c r="Q1110" s="1163"/>
      <c r="R1110" s="1163"/>
      <c r="S1110" s="1163"/>
      <c r="T1110" s="1163"/>
      <c r="U1110" s="1163"/>
      <c r="V1110" s="1163"/>
      <c r="W1110" s="1163"/>
      <c r="X1110" s="1163"/>
      <c r="Y1110" s="1163"/>
      <c r="Z1110" s="1163"/>
      <c r="AA1110" s="1163"/>
      <c r="AB1110" s="1163"/>
      <c r="AC1110" s="1163"/>
      <c r="AD1110" s="1163"/>
      <c r="AE1110" s="1163"/>
      <c r="AF1110" s="1163"/>
      <c r="AG1110" s="1163"/>
      <c r="AH1110" s="1163"/>
      <c r="AI1110" s="1163"/>
      <c r="AJ1110" s="1163"/>
      <c r="AK1110" s="1163"/>
    </row>
    <row r="1111" spans="1:37" ht="12.95" hidden="1" customHeight="1">
      <c r="A1111" s="1"/>
      <c r="B1111" s="1"/>
      <c r="C1111" s="199"/>
      <c r="D1111" s="1163"/>
      <c r="E1111" s="1163"/>
      <c r="F1111" s="1163"/>
      <c r="G1111" s="1163"/>
      <c r="H1111" s="1163"/>
      <c r="I1111" s="1163"/>
      <c r="J1111" s="1163"/>
      <c r="K1111" s="1163"/>
      <c r="L1111" s="1163"/>
      <c r="M1111" s="1163"/>
      <c r="N1111" s="1163"/>
      <c r="O1111" s="1163"/>
      <c r="P1111" s="1163"/>
      <c r="Q1111" s="1163"/>
      <c r="R1111" s="1163"/>
      <c r="S1111" s="1163"/>
      <c r="T1111" s="1163"/>
      <c r="U1111" s="1163"/>
      <c r="V1111" s="1163"/>
      <c r="W1111" s="1163"/>
      <c r="X1111" s="1163"/>
      <c r="Y1111" s="1163"/>
      <c r="Z1111" s="1163"/>
      <c r="AA1111" s="1163"/>
      <c r="AB1111" s="1163"/>
      <c r="AC1111" s="1163"/>
      <c r="AD1111" s="1163"/>
      <c r="AE1111" s="1163"/>
      <c r="AF1111" s="1163"/>
      <c r="AG1111" s="1163"/>
      <c r="AH1111" s="1163"/>
      <c r="AI1111" s="1163"/>
      <c r="AJ1111" s="1163"/>
      <c r="AK1111" s="1163"/>
    </row>
    <row r="1112" spans="1:37" ht="12.95" hidden="1" customHeight="1">
      <c r="A1112" s="1"/>
      <c r="B1112" s="1"/>
      <c r="C1112" s="199"/>
      <c r="D1112" s="1163"/>
      <c r="E1112" s="1163"/>
      <c r="F1112" s="1163"/>
      <c r="G1112" s="1163"/>
      <c r="H1112" s="1163"/>
      <c r="I1112" s="1163"/>
      <c r="J1112" s="1163"/>
      <c r="K1112" s="1163"/>
      <c r="L1112" s="1163"/>
      <c r="M1112" s="1163"/>
      <c r="N1112" s="1163"/>
      <c r="O1112" s="1163"/>
      <c r="P1112" s="1163"/>
      <c r="Q1112" s="1163"/>
      <c r="R1112" s="1163"/>
      <c r="S1112" s="1163"/>
      <c r="T1112" s="1163"/>
      <c r="U1112" s="1163"/>
      <c r="V1112" s="1163"/>
      <c r="W1112" s="1163"/>
      <c r="X1112" s="1163"/>
      <c r="Y1112" s="1163"/>
      <c r="Z1112" s="1163"/>
      <c r="AA1112" s="1163"/>
      <c r="AB1112" s="1163"/>
      <c r="AC1112" s="1163"/>
      <c r="AD1112" s="1163"/>
      <c r="AE1112" s="1163"/>
      <c r="AF1112" s="1163"/>
      <c r="AG1112" s="1163"/>
      <c r="AH1112" s="1163"/>
      <c r="AI1112" s="1163"/>
      <c r="AJ1112" s="1163"/>
      <c r="AK1112" s="1163"/>
    </row>
    <row r="1113" spans="1:37" ht="12.95" hidden="1" customHeight="1">
      <c r="A1113" s="1"/>
      <c r="B1113" s="1"/>
      <c r="C1113" s="199"/>
      <c r="D1113" s="1163"/>
      <c r="E1113" s="1163"/>
      <c r="F1113" s="1163"/>
      <c r="G1113" s="1163"/>
      <c r="H1113" s="1163"/>
      <c r="I1113" s="1163"/>
      <c r="J1113" s="1163"/>
      <c r="K1113" s="1163"/>
      <c r="L1113" s="1163"/>
      <c r="M1113" s="1163"/>
      <c r="N1113" s="1163"/>
      <c r="O1113" s="1163"/>
      <c r="P1113" s="1163"/>
      <c r="Q1113" s="1163"/>
      <c r="R1113" s="1163"/>
      <c r="S1113" s="1163"/>
      <c r="T1113" s="1163"/>
      <c r="U1113" s="1163"/>
      <c r="V1113" s="1163"/>
      <c r="W1113" s="1163"/>
      <c r="X1113" s="1163"/>
      <c r="Y1113" s="1163"/>
      <c r="Z1113" s="1163"/>
      <c r="AA1113" s="1163"/>
      <c r="AB1113" s="1163"/>
      <c r="AC1113" s="1163"/>
      <c r="AD1113" s="1163"/>
      <c r="AE1113" s="1163"/>
      <c r="AF1113" s="1163"/>
      <c r="AG1113" s="1163"/>
      <c r="AH1113" s="1163"/>
      <c r="AI1113" s="1163"/>
      <c r="AJ1113" s="1163"/>
      <c r="AK1113" s="1163"/>
    </row>
    <row r="1114" spans="1:37" ht="12.95" hidden="1" customHeight="1">
      <c r="A1114" s="1"/>
      <c r="B1114" s="1"/>
      <c r="C1114" s="199"/>
      <c r="D1114" s="1163"/>
      <c r="E1114" s="1163"/>
      <c r="F1114" s="1163"/>
      <c r="G1114" s="1163"/>
      <c r="H1114" s="1163"/>
      <c r="I1114" s="1163"/>
      <c r="J1114" s="1163"/>
      <c r="K1114" s="1163"/>
      <c r="L1114" s="1163"/>
      <c r="M1114" s="1163"/>
      <c r="N1114" s="1163"/>
      <c r="O1114" s="1163"/>
      <c r="P1114" s="1163"/>
      <c r="Q1114" s="1163"/>
      <c r="R1114" s="1163"/>
      <c r="S1114" s="1163"/>
      <c r="T1114" s="1163"/>
      <c r="U1114" s="1163"/>
      <c r="V1114" s="1163"/>
      <c r="W1114" s="1163"/>
      <c r="X1114" s="1163"/>
      <c r="Y1114" s="1163"/>
      <c r="Z1114" s="1163"/>
      <c r="AA1114" s="1163"/>
      <c r="AB1114" s="1163"/>
      <c r="AC1114" s="1163"/>
      <c r="AD1114" s="1163"/>
      <c r="AE1114" s="1163"/>
      <c r="AF1114" s="1163"/>
      <c r="AG1114" s="1163"/>
      <c r="AH1114" s="1163"/>
      <c r="AI1114" s="1163"/>
      <c r="AJ1114" s="1163"/>
      <c r="AK1114" s="1163"/>
    </row>
    <row r="1115" spans="1:37" ht="12.95" hidden="1" customHeight="1">
      <c r="A1115" s="1"/>
      <c r="B1115" s="1"/>
      <c r="C1115" s="199"/>
      <c r="D1115" s="1163"/>
      <c r="E1115" s="1163"/>
      <c r="F1115" s="1163"/>
      <c r="G1115" s="1163"/>
      <c r="H1115" s="1163"/>
      <c r="I1115" s="1163"/>
      <c r="J1115" s="1163"/>
      <c r="K1115" s="1163"/>
      <c r="L1115" s="1163"/>
      <c r="M1115" s="1163"/>
      <c r="N1115" s="1163"/>
      <c r="O1115" s="1163"/>
      <c r="P1115" s="1163"/>
      <c r="Q1115" s="1163"/>
      <c r="R1115" s="1163"/>
      <c r="S1115" s="1163"/>
      <c r="T1115" s="1163"/>
      <c r="U1115" s="1163"/>
      <c r="V1115" s="1163"/>
      <c r="W1115" s="1163"/>
      <c r="X1115" s="1163"/>
      <c r="Y1115" s="1163"/>
      <c r="Z1115" s="1163"/>
      <c r="AA1115" s="1163"/>
      <c r="AB1115" s="1163"/>
      <c r="AC1115" s="1163"/>
      <c r="AD1115" s="1163"/>
      <c r="AE1115" s="1163"/>
      <c r="AF1115" s="1163"/>
      <c r="AG1115" s="1163"/>
      <c r="AH1115" s="1163"/>
      <c r="AI1115" s="1163"/>
      <c r="AJ1115" s="1163"/>
      <c r="AK1115" s="1163"/>
    </row>
    <row r="1116" spans="1:37" ht="12.95" hidden="1" customHeight="1">
      <c r="A1116" s="1"/>
      <c r="B1116" s="1"/>
      <c r="C1116" s="199"/>
      <c r="D1116" s="1163"/>
      <c r="E1116" s="1163"/>
      <c r="F1116" s="1163"/>
      <c r="G1116" s="1163"/>
      <c r="H1116" s="1163"/>
      <c r="I1116" s="1163"/>
      <c r="J1116" s="1163"/>
      <c r="K1116" s="1163"/>
      <c r="L1116" s="1163"/>
      <c r="M1116" s="1163"/>
      <c r="N1116" s="1163"/>
      <c r="O1116" s="1163"/>
      <c r="P1116" s="1163"/>
      <c r="Q1116" s="1163"/>
      <c r="R1116" s="1163"/>
      <c r="S1116" s="1163"/>
      <c r="T1116" s="1163"/>
      <c r="U1116" s="1163"/>
      <c r="V1116" s="1163"/>
      <c r="W1116" s="1163"/>
      <c r="X1116" s="1163"/>
      <c r="Y1116" s="1163"/>
      <c r="Z1116" s="1163"/>
      <c r="AA1116" s="1163"/>
      <c r="AB1116" s="1163"/>
      <c r="AC1116" s="1163"/>
      <c r="AD1116" s="1163"/>
      <c r="AE1116" s="1163"/>
      <c r="AF1116" s="1163"/>
      <c r="AG1116" s="1163"/>
      <c r="AH1116" s="1163"/>
      <c r="AI1116" s="1163"/>
      <c r="AJ1116" s="1163"/>
      <c r="AK1116" s="1163"/>
    </row>
    <row r="1117" spans="1:37" ht="12.95" hidden="1" customHeight="1">
      <c r="A1117" s="1"/>
      <c r="B1117" s="1"/>
      <c r="C1117" s="199"/>
      <c r="D1117" s="1163"/>
      <c r="E1117" s="1163"/>
      <c r="F1117" s="1163"/>
      <c r="G1117" s="1163"/>
      <c r="H1117" s="1163"/>
      <c r="I1117" s="1163"/>
      <c r="J1117" s="1163"/>
      <c r="K1117" s="1163"/>
      <c r="L1117" s="1163"/>
      <c r="M1117" s="1163"/>
      <c r="N1117" s="1163"/>
      <c r="O1117" s="1163"/>
      <c r="P1117" s="1163"/>
      <c r="Q1117" s="1163"/>
      <c r="R1117" s="1163"/>
      <c r="S1117" s="1163"/>
      <c r="T1117" s="1163"/>
      <c r="U1117" s="1163"/>
      <c r="V1117" s="1163"/>
      <c r="W1117" s="1163"/>
      <c r="X1117" s="1163"/>
      <c r="Y1117" s="1163"/>
      <c r="Z1117" s="1163"/>
      <c r="AA1117" s="1163"/>
      <c r="AB1117" s="1163"/>
      <c r="AC1117" s="1163"/>
      <c r="AD1117" s="1163"/>
      <c r="AE1117" s="1163"/>
      <c r="AF1117" s="1163"/>
      <c r="AG1117" s="1163"/>
      <c r="AH1117" s="1163"/>
      <c r="AI1117" s="1163"/>
      <c r="AJ1117" s="1163"/>
      <c r="AK1117" s="1163"/>
    </row>
    <row r="1118" spans="1:37" ht="12.95" hidden="1" customHeight="1">
      <c r="A1118" s="1"/>
      <c r="B1118" s="1"/>
      <c r="C1118" s="199"/>
      <c r="D1118" s="1163"/>
      <c r="E1118" s="1163"/>
      <c r="F1118" s="1163"/>
      <c r="G1118" s="1163"/>
      <c r="H1118" s="1163"/>
      <c r="I1118" s="1163"/>
      <c r="J1118" s="1163"/>
      <c r="K1118" s="1163"/>
      <c r="L1118" s="1163"/>
      <c r="M1118" s="1163"/>
      <c r="N1118" s="1163"/>
      <c r="O1118" s="1163"/>
      <c r="P1118" s="1163"/>
      <c r="Q1118" s="1163"/>
      <c r="R1118" s="1163"/>
      <c r="S1118" s="1163"/>
      <c r="T1118" s="1163"/>
      <c r="U1118" s="1163"/>
      <c r="V1118" s="1163"/>
      <c r="W1118" s="1163"/>
      <c r="X1118" s="1163"/>
      <c r="Y1118" s="1163"/>
      <c r="Z1118" s="1163"/>
      <c r="AA1118" s="1163"/>
      <c r="AB1118" s="1163"/>
      <c r="AC1118" s="1163"/>
      <c r="AD1118" s="1163"/>
      <c r="AE1118" s="1163"/>
      <c r="AF1118" s="1163"/>
      <c r="AG1118" s="1163"/>
      <c r="AH1118" s="1163"/>
      <c r="AI1118" s="1163"/>
      <c r="AJ1118" s="1163"/>
      <c r="AK1118" s="1163"/>
    </row>
    <row r="1119" spans="1:37" ht="12.95" hidden="1" customHeight="1">
      <c r="A1119" s="1"/>
      <c r="B1119" s="1"/>
      <c r="C1119" s="199"/>
      <c r="D1119" s="1163"/>
      <c r="E1119" s="1163"/>
      <c r="F1119" s="1163"/>
      <c r="G1119" s="1163"/>
      <c r="H1119" s="1163"/>
      <c r="I1119" s="1163"/>
      <c r="J1119" s="1163"/>
      <c r="K1119" s="1163"/>
      <c r="L1119" s="1163"/>
      <c r="M1119" s="1163"/>
      <c r="N1119" s="1163"/>
      <c r="O1119" s="1163"/>
      <c r="P1119" s="1163"/>
      <c r="Q1119" s="1163"/>
      <c r="R1119" s="1163"/>
      <c r="S1119" s="1163"/>
      <c r="T1119" s="1163"/>
      <c r="U1119" s="1163"/>
      <c r="V1119" s="1163"/>
      <c r="W1119" s="1163"/>
      <c r="X1119" s="1163"/>
      <c r="Y1119" s="1163"/>
      <c r="Z1119" s="1163"/>
      <c r="AA1119" s="1163"/>
      <c r="AB1119" s="1163"/>
      <c r="AC1119" s="1163"/>
      <c r="AD1119" s="1163"/>
      <c r="AE1119" s="1163"/>
      <c r="AF1119" s="1163"/>
      <c r="AG1119" s="1163"/>
      <c r="AH1119" s="1163"/>
      <c r="AI1119" s="1163"/>
      <c r="AJ1119" s="1163"/>
      <c r="AK1119" s="1163"/>
    </row>
    <row r="1120" spans="1:37" ht="12.95" hidden="1" customHeight="1">
      <c r="A1120" s="1"/>
      <c r="B1120" s="1"/>
      <c r="C1120" s="199"/>
      <c r="D1120" s="1163"/>
      <c r="E1120" s="1163"/>
      <c r="F1120" s="1163"/>
      <c r="G1120" s="1163"/>
      <c r="H1120" s="1163"/>
      <c r="I1120" s="1163"/>
      <c r="J1120" s="1163"/>
      <c r="K1120" s="1163"/>
      <c r="L1120" s="1163"/>
      <c r="M1120" s="1163"/>
      <c r="N1120" s="1163"/>
      <c r="O1120" s="1163"/>
      <c r="P1120" s="1163"/>
      <c r="Q1120" s="1163"/>
      <c r="R1120" s="1163"/>
      <c r="S1120" s="1163"/>
      <c r="T1120" s="1163"/>
      <c r="U1120" s="1163"/>
      <c r="V1120" s="1163"/>
      <c r="W1120" s="1163"/>
      <c r="X1120" s="1163"/>
      <c r="Y1120" s="1163"/>
      <c r="Z1120" s="1163"/>
      <c r="AA1120" s="1163"/>
      <c r="AB1120" s="1163"/>
      <c r="AC1120" s="1163"/>
      <c r="AD1120" s="1163"/>
      <c r="AE1120" s="1163"/>
      <c r="AF1120" s="1163"/>
      <c r="AG1120" s="1163"/>
      <c r="AH1120" s="1163"/>
      <c r="AI1120" s="1163"/>
      <c r="AJ1120" s="1163"/>
      <c r="AK1120" s="1163"/>
    </row>
    <row r="1121" spans="1:37" ht="12.95" hidden="1" customHeight="1">
      <c r="A1121" s="1"/>
      <c r="B1121" s="1"/>
      <c r="C1121" s="199"/>
      <c r="D1121" s="1163"/>
      <c r="E1121" s="1163"/>
      <c r="F1121" s="1163"/>
      <c r="G1121" s="1163"/>
      <c r="H1121" s="1163"/>
      <c r="I1121" s="1163"/>
      <c r="J1121" s="1163"/>
      <c r="K1121" s="1163"/>
      <c r="L1121" s="1163"/>
      <c r="M1121" s="1163"/>
      <c r="N1121" s="1163"/>
      <c r="O1121" s="1163"/>
      <c r="P1121" s="1163"/>
      <c r="Q1121" s="1163"/>
      <c r="R1121" s="1163"/>
      <c r="S1121" s="1163"/>
      <c r="T1121" s="1163"/>
      <c r="U1121" s="1163"/>
      <c r="V1121" s="1163"/>
      <c r="W1121" s="1163"/>
      <c r="X1121" s="1163"/>
      <c r="Y1121" s="1163"/>
      <c r="Z1121" s="1163"/>
      <c r="AA1121" s="1163"/>
      <c r="AB1121" s="1163"/>
      <c r="AC1121" s="1163"/>
      <c r="AD1121" s="1163"/>
      <c r="AE1121" s="1163"/>
      <c r="AF1121" s="1163"/>
      <c r="AG1121" s="1163"/>
      <c r="AH1121" s="1163"/>
      <c r="AI1121" s="1163"/>
      <c r="AJ1121" s="1163"/>
      <c r="AK1121" s="1163"/>
    </row>
    <row r="1122" spans="1:37" ht="12.95" hidden="1" customHeight="1">
      <c r="A1122" s="1"/>
      <c r="B1122" s="1"/>
      <c r="C1122" s="199"/>
      <c r="D1122" s="1163"/>
      <c r="E1122" s="1163"/>
      <c r="F1122" s="1163"/>
      <c r="G1122" s="1163"/>
      <c r="H1122" s="1163"/>
      <c r="I1122" s="1163"/>
      <c r="J1122" s="1163"/>
      <c r="K1122" s="1163"/>
      <c r="L1122" s="1163"/>
      <c r="M1122" s="1163"/>
      <c r="N1122" s="1163"/>
      <c r="O1122" s="1163"/>
      <c r="P1122" s="1163"/>
      <c r="Q1122" s="1163"/>
      <c r="R1122" s="1163"/>
      <c r="S1122" s="1163"/>
      <c r="T1122" s="1163"/>
      <c r="U1122" s="1163"/>
      <c r="V1122" s="1163"/>
      <c r="W1122" s="1163"/>
      <c r="X1122" s="1163"/>
      <c r="Y1122" s="1163"/>
      <c r="Z1122" s="1163"/>
      <c r="AA1122" s="1163"/>
      <c r="AB1122" s="1163"/>
      <c r="AC1122" s="1163"/>
      <c r="AD1122" s="1163"/>
      <c r="AE1122" s="1163"/>
      <c r="AF1122" s="1163"/>
      <c r="AG1122" s="1163"/>
      <c r="AH1122" s="1163"/>
      <c r="AI1122" s="1163"/>
      <c r="AJ1122" s="1163"/>
      <c r="AK1122" s="1163"/>
    </row>
    <row r="1123" spans="1:37" ht="0" hidden="1" customHeight="1">
      <c r="A1123" s="1"/>
      <c r="B1123" s="1"/>
      <c r="C1123" s="199"/>
      <c r="D1123" s="1163"/>
      <c r="E1123" s="1163"/>
      <c r="F1123" s="1163"/>
      <c r="G1123" s="1163"/>
      <c r="H1123" s="1163"/>
      <c r="I1123" s="1163"/>
      <c r="J1123" s="1163"/>
      <c r="K1123" s="1163"/>
      <c r="L1123" s="1163"/>
      <c r="M1123" s="1163"/>
      <c r="N1123" s="1163"/>
      <c r="O1123" s="1163"/>
      <c r="P1123" s="1163"/>
      <c r="Q1123" s="1163"/>
      <c r="R1123" s="1163"/>
      <c r="S1123" s="1163"/>
      <c r="T1123" s="1163"/>
      <c r="U1123" s="1163"/>
      <c r="V1123" s="1163"/>
      <c r="W1123" s="1163"/>
      <c r="X1123" s="1163"/>
      <c r="Y1123" s="1163"/>
      <c r="Z1123" s="1163"/>
      <c r="AA1123" s="1163"/>
      <c r="AB1123" s="1163"/>
      <c r="AC1123" s="1163"/>
      <c r="AD1123" s="1163"/>
      <c r="AE1123" s="1163"/>
      <c r="AF1123" s="1163"/>
      <c r="AG1123" s="1163"/>
      <c r="AH1123" s="1163"/>
      <c r="AI1123" s="1163"/>
      <c r="AJ1123" s="1163"/>
      <c r="AK1123" s="1163"/>
    </row>
    <row r="1124" spans="1:37" ht="0" hidden="1" customHeight="1">
      <c r="A1124" s="35"/>
      <c r="B1124" s="25"/>
      <c r="C1124" s="199"/>
      <c r="D1124" s="1163"/>
      <c r="E1124" s="1163"/>
      <c r="F1124" s="1163"/>
      <c r="G1124" s="1163"/>
      <c r="H1124" s="1163"/>
      <c r="I1124" s="1163"/>
      <c r="J1124" s="1163"/>
      <c r="K1124" s="1163"/>
      <c r="L1124" s="1163"/>
      <c r="M1124" s="1163"/>
      <c r="N1124" s="1163"/>
      <c r="O1124" s="1163"/>
      <c r="P1124" s="1163"/>
      <c r="Q1124" s="1163"/>
      <c r="R1124" s="1163"/>
      <c r="S1124" s="1163"/>
      <c r="T1124" s="1163"/>
      <c r="U1124" s="1163"/>
      <c r="V1124" s="1163"/>
      <c r="W1124" s="1163"/>
      <c r="X1124" s="1163"/>
      <c r="Y1124" s="1163"/>
      <c r="Z1124" s="1163"/>
      <c r="AA1124" s="1163"/>
      <c r="AB1124" s="1163"/>
      <c r="AC1124" s="1163"/>
      <c r="AD1124" s="1163"/>
      <c r="AE1124" s="1163"/>
      <c r="AF1124" s="1163"/>
      <c r="AG1124" s="1163"/>
      <c r="AH1124" s="1163"/>
      <c r="AI1124" s="1163"/>
      <c r="AJ1124" s="1163"/>
      <c r="AK1124" s="1163"/>
    </row>
    <row r="1125" spans="1:37" ht="0" hidden="1" customHeight="1">
      <c r="A1125" s="1418" t="s">
        <v>591</v>
      </c>
      <c r="B1125" s="1418"/>
      <c r="C1125" s="199">
        <v>9</v>
      </c>
      <c r="D1125" s="1262" t="s">
        <v>1074</v>
      </c>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2"/>
    </row>
    <row r="1126" spans="1:37" ht="0" hidden="1" customHeight="1">
      <c r="A1126" s="35"/>
      <c r="B1126" s="25"/>
      <c r="C1126" s="199"/>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2"/>
    </row>
    <row r="1127" spans="1:37" ht="0" hidden="1" customHeight="1">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2"/>
    </row>
    <row r="1137" ht="15" hidden="1" customHeight="1"/>
    <row r="2017" ht="9.9499999999999993" hidden="1" customHeight="1"/>
  </sheetData>
  <sheetProtection algorithmName="SHA-512" hashValue="3OZYhn2X6AOnyzWynqJna/dzVTjBAYIWKyt/u5doWQBsykwIIAWZN1uiCQNaqm/LWjo+dhu8QUj77hiFHv3UgA==" saltValue="0JlcGN1wU46pyZEk+TkK7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76">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AC733:AG733"/>
    <mergeCell ref="H688:R688"/>
    <mergeCell ref="J705:O705"/>
    <mergeCell ref="B728:F728"/>
    <mergeCell ref="B725:F725"/>
    <mergeCell ref="B729:F729"/>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G647:L647"/>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G570:R570"/>
    <mergeCell ref="G571:R571"/>
    <mergeCell ref="G569:R569"/>
    <mergeCell ref="EH647:EL647"/>
    <mergeCell ref="EM647:EQ647"/>
    <mergeCell ref="DX648:EB648"/>
    <mergeCell ref="DX651:EB651"/>
    <mergeCell ref="EC651:EG651"/>
    <mergeCell ref="EM648:EQ648"/>
    <mergeCell ref="DO774:DS774"/>
    <mergeCell ref="DU753:DY753"/>
    <mergeCell ref="DZ753:ED753"/>
    <mergeCell ref="DE774:DI774"/>
    <mergeCell ref="DZ738:ED738"/>
    <mergeCell ref="EE738:EI738"/>
    <mergeCell ref="EJ738:EN738"/>
    <mergeCell ref="DE735:DI735"/>
    <mergeCell ref="EW657:FA657"/>
    <mergeCell ref="EH659:EL659"/>
    <mergeCell ref="EC661:EG661"/>
    <mergeCell ref="EH661:EL661"/>
    <mergeCell ref="DU719:DY719"/>
    <mergeCell ref="EE717:EI717"/>
    <mergeCell ref="EJ720:EN720"/>
    <mergeCell ref="EO722:ES722"/>
    <mergeCell ref="EO717:ES717"/>
    <mergeCell ref="DJ730:DN730"/>
    <mergeCell ref="ET736:EX736"/>
    <mergeCell ref="EE735:EI735"/>
    <mergeCell ref="EJ734:EN734"/>
    <mergeCell ref="EE733:EI733"/>
    <mergeCell ref="ET732:EX732"/>
    <mergeCell ref="ET721:EX721"/>
    <mergeCell ref="EE720:EI720"/>
    <mergeCell ref="DJ734:DN734"/>
    <mergeCell ref="EE753:EI753"/>
    <mergeCell ref="EO753:ES753"/>
    <mergeCell ref="EW666:FA666"/>
    <mergeCell ref="EJ739:EN739"/>
    <mergeCell ref="DZ727:ED727"/>
    <mergeCell ref="EE727:EI727"/>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T719:EX719"/>
    <mergeCell ref="EJ722:EN722"/>
    <mergeCell ref="DO717:DS717"/>
    <mergeCell ref="DO718:DS718"/>
    <mergeCell ref="DO719:DS719"/>
    <mergeCell ref="EW660:FA660"/>
    <mergeCell ref="DX661:EB661"/>
    <mergeCell ref="DO720:DS720"/>
    <mergeCell ref="DU718:DY718"/>
    <mergeCell ref="DU721:DY721"/>
    <mergeCell ref="EE721:EI721"/>
    <mergeCell ref="EJ721:EN721"/>
    <mergeCell ref="DZ721:ED721"/>
    <mergeCell ref="DZ722:ED722"/>
    <mergeCell ref="DU717:DY717"/>
    <mergeCell ref="DE776:DI776"/>
    <mergeCell ref="DJ746:DN746"/>
    <mergeCell ref="ER653:EV653"/>
    <mergeCell ref="EW647:FA647"/>
    <mergeCell ref="EW655:FA655"/>
    <mergeCell ref="EW650:FA650"/>
    <mergeCell ref="EW648:FA648"/>
    <mergeCell ref="EW651:FA651"/>
    <mergeCell ref="EW649:FA649"/>
    <mergeCell ref="EW652:FA652"/>
    <mergeCell ref="ER657:EV657"/>
    <mergeCell ref="EH652:EL652"/>
    <mergeCell ref="DX666:EB666"/>
    <mergeCell ref="EC666:EG666"/>
    <mergeCell ref="EM651:EQ651"/>
    <mergeCell ref="ER649:EV649"/>
    <mergeCell ref="ER668:EV668"/>
    <mergeCell ref="EW668:FA668"/>
    <mergeCell ref="EW664:FA664"/>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DX645:EB645"/>
    <mergeCell ref="DO746:DS746"/>
    <mergeCell ref="CZ746:DD746"/>
    <mergeCell ref="DE744:DI744"/>
    <mergeCell ref="DE750:DI750"/>
    <mergeCell ref="DJ750:DN750"/>
    <mergeCell ref="AK737:AO737"/>
    <mergeCell ref="AK733:AO733"/>
    <mergeCell ref="AK734:AO734"/>
    <mergeCell ref="AK735:AO735"/>
    <mergeCell ref="AK726:AO726"/>
    <mergeCell ref="ER669:EV669"/>
    <mergeCell ref="DX656:EB656"/>
    <mergeCell ref="EC656:EG656"/>
    <mergeCell ref="EH656:EL656"/>
    <mergeCell ref="EM656:EQ656"/>
    <mergeCell ref="EH653:EL653"/>
    <mergeCell ref="EM653:EQ653"/>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AK742:AO742"/>
    <mergeCell ref="CI748:CJ748"/>
    <mergeCell ref="CK750:CL750"/>
    <mergeCell ref="CM750:CN750"/>
    <mergeCell ref="CG747:CH747"/>
    <mergeCell ref="CI747:CJ747"/>
    <mergeCell ref="CK747:CL747"/>
    <mergeCell ref="CM747:CN747"/>
    <mergeCell ref="CM745:CN745"/>
    <mergeCell ref="CG746:CH746"/>
    <mergeCell ref="CI746:CJ746"/>
    <mergeCell ref="CG744:CH744"/>
    <mergeCell ref="CI744:CJ744"/>
    <mergeCell ref="CG750:CH750"/>
    <mergeCell ref="CZ743:DD743"/>
    <mergeCell ref="CI753:CJ753"/>
    <mergeCell ref="CM753:CN753"/>
    <mergeCell ref="CP753:CT753"/>
    <mergeCell ref="CK751:CL751"/>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EO751:ES751"/>
    <mergeCell ref="CZ752:DD752"/>
    <mergeCell ref="CU740:CY740"/>
    <mergeCell ref="CU741:CY741"/>
    <mergeCell ref="CP745:CT745"/>
    <mergeCell ref="DU741:DY741"/>
    <mergeCell ref="DZ741:ED741"/>
    <mergeCell ref="DJ747:DN747"/>
    <mergeCell ref="DO747:DS747"/>
    <mergeCell ref="CZ744:DD744"/>
    <mergeCell ref="CP743:CT743"/>
    <mergeCell ref="DO742:DS742"/>
    <mergeCell ref="CU743:CY743"/>
    <mergeCell ref="CP775:CT775"/>
    <mergeCell ref="CP776:CT776"/>
    <mergeCell ref="EO740:ES740"/>
    <mergeCell ref="CP751:CT751"/>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E738:DI738"/>
    <mergeCell ref="EM649:EQ649"/>
    <mergeCell ref="EM654:EQ654"/>
    <mergeCell ref="ER654:EV654"/>
    <mergeCell ref="EM652:EQ652"/>
    <mergeCell ref="DX650:EB650"/>
    <mergeCell ref="EC650:EG650"/>
    <mergeCell ref="EC655:EG655"/>
    <mergeCell ref="DX667:EB667"/>
    <mergeCell ref="EE725:EI725"/>
    <mergeCell ref="EJ725:EN725"/>
    <mergeCell ref="DZ728:ED728"/>
    <mergeCell ref="EE724:EI724"/>
    <mergeCell ref="DX668:EB668"/>
    <mergeCell ref="ER650:EV650"/>
    <mergeCell ref="EM650:EQ650"/>
    <mergeCell ref="DZ737:ED737"/>
    <mergeCell ref="EJ727:EN727"/>
    <mergeCell ref="DU729:DY729"/>
    <mergeCell ref="EO719:ES719"/>
    <mergeCell ref="DO732:DS732"/>
    <mergeCell ref="DU730:DY730"/>
    <mergeCell ref="EE728:EI728"/>
    <mergeCell ref="EJ728:EN728"/>
    <mergeCell ref="EO727:ES727"/>
    <mergeCell ref="EJ733:EN733"/>
    <mergeCell ref="DZ729:ED729"/>
    <mergeCell ref="ET727:EX727"/>
    <mergeCell ref="ER655:EV655"/>
    <mergeCell ref="EH651:EL651"/>
    <mergeCell ref="EH650:EL650"/>
    <mergeCell ref="EW669:FA669"/>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M670:EQ670"/>
    <mergeCell ref="EO729:ES729"/>
    <mergeCell ref="EO732:ES732"/>
    <mergeCell ref="EC668:EG668"/>
    <mergeCell ref="EW661:FA661"/>
    <mergeCell ref="EM662:EQ662"/>
    <mergeCell ref="ER662:EV662"/>
    <mergeCell ref="EW654:FA654"/>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O738:ES738"/>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W656:FA656"/>
    <mergeCell ref="DX640:EB640"/>
    <mergeCell ref="DX647:EB647"/>
    <mergeCell ref="ER661:EV661"/>
    <mergeCell ref="EM641:EQ641"/>
    <mergeCell ref="EH648:EL648"/>
    <mergeCell ref="EW641:FA641"/>
    <mergeCell ref="EC642:EG642"/>
    <mergeCell ref="EH642:EL642"/>
    <mergeCell ref="EM642:EQ642"/>
    <mergeCell ref="ER642:EV642"/>
    <mergeCell ref="DX641:EB641"/>
    <mergeCell ref="EC644:EG644"/>
    <mergeCell ref="EH644:EL644"/>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FY720:GC720"/>
    <mergeCell ref="EZ723:FD723"/>
    <mergeCell ref="FE723:FI723"/>
    <mergeCell ref="FJ723:FN723"/>
    <mergeCell ref="FO723:FS723"/>
    <mergeCell ref="FT723:FX723"/>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AA967:AG967"/>
    <mergeCell ref="M958:S958"/>
    <mergeCell ref="AA972:AG972"/>
    <mergeCell ref="FT721:FX721"/>
    <mergeCell ref="AJ994:AQ1000"/>
    <mergeCell ref="AJ1007:AQ1010"/>
    <mergeCell ref="AJ1011:AQ1012"/>
    <mergeCell ref="AJ986:AQ986"/>
    <mergeCell ref="AJ1001:AQ1006"/>
    <mergeCell ref="AJ1020:AQ1024"/>
    <mergeCell ref="D1020:AE1021"/>
    <mergeCell ref="AB991:AI991"/>
    <mergeCell ref="AA968:AG968"/>
    <mergeCell ref="AE955:AK955"/>
    <mergeCell ref="I950:T950"/>
    <mergeCell ref="D995:AE998"/>
    <mergeCell ref="D999:AE999"/>
    <mergeCell ref="M971:S971"/>
    <mergeCell ref="M956:S956"/>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D1033:AE1035"/>
    <mergeCell ref="AJ1032:AQ1035"/>
    <mergeCell ref="D1025:AE1025"/>
    <mergeCell ref="AF1026:AI1026"/>
    <mergeCell ref="J1024:AE1024"/>
    <mergeCell ref="AJ992:AQ992"/>
    <mergeCell ref="AJ993:AQ993"/>
    <mergeCell ref="D1013:AE1013"/>
    <mergeCell ref="AF993:AI993"/>
    <mergeCell ref="AG994:AH994"/>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W634:Y634"/>
    <mergeCell ref="X774:AB774"/>
    <mergeCell ref="T773:W773"/>
    <mergeCell ref="AC747:AG747"/>
    <mergeCell ref="J773:N773"/>
    <mergeCell ref="O773:S773"/>
    <mergeCell ref="T752:W752"/>
    <mergeCell ref="J776:N776"/>
    <mergeCell ref="AF638:AJ638"/>
    <mergeCell ref="B739:F739"/>
    <mergeCell ref="K735:N735"/>
    <mergeCell ref="K736:N736"/>
    <mergeCell ref="G736:J736"/>
    <mergeCell ref="J774:N774"/>
    <mergeCell ref="O756:R756"/>
    <mergeCell ref="AG756:AJ756"/>
    <mergeCell ref="O750:S750"/>
    <mergeCell ref="AK749:AO749"/>
    <mergeCell ref="AK751:AO751"/>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J792:N792"/>
    <mergeCell ref="Z806:AE806"/>
    <mergeCell ref="X791:AB791"/>
    <mergeCell ref="J788:N788"/>
    <mergeCell ref="T744:W744"/>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K751:N751"/>
    <mergeCell ref="K752:N752"/>
    <mergeCell ref="B751:F751"/>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Z817:AE817"/>
    <mergeCell ref="I949:T949"/>
    <mergeCell ref="U938:Z938"/>
    <mergeCell ref="M955:S955"/>
    <mergeCell ref="U928:Z928"/>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M968:S968"/>
    <mergeCell ref="F932:T932"/>
    <mergeCell ref="AA939:AF939"/>
    <mergeCell ref="AA940:AF940"/>
    <mergeCell ref="W853:AC853"/>
    <mergeCell ref="AA944:AF944"/>
    <mergeCell ref="AA936:AF936"/>
    <mergeCell ref="U943:Z943"/>
    <mergeCell ref="U941:Z941"/>
    <mergeCell ref="AA943:AF943"/>
    <mergeCell ref="W842:AC842"/>
    <mergeCell ref="W847:AC847"/>
    <mergeCell ref="AB957:AK957"/>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U931:Z931"/>
    <mergeCell ref="F915:T915"/>
    <mergeCell ref="I946:T946"/>
    <mergeCell ref="AA946:AF946"/>
    <mergeCell ref="C826:H826"/>
    <mergeCell ref="F946:H946"/>
    <mergeCell ref="AC887:AH887"/>
    <mergeCell ref="Y831:AB831"/>
    <mergeCell ref="W851:AC851"/>
    <mergeCell ref="W855:AC855"/>
    <mergeCell ref="W852:AC852"/>
    <mergeCell ref="W854:AC854"/>
    <mergeCell ref="W874:AC874"/>
    <mergeCell ref="U948:Z948"/>
    <mergeCell ref="AA920:AF920"/>
    <mergeCell ref="AA919:AF919"/>
    <mergeCell ref="U925:Z925"/>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EE723:EI723"/>
    <mergeCell ref="EJ723:EN723"/>
    <mergeCell ref="EO725:ES725"/>
    <mergeCell ref="EJ724:EN724"/>
    <mergeCell ref="EO723:ES723"/>
    <mergeCell ref="DZ734:ED734"/>
    <mergeCell ref="DU726:DY726"/>
    <mergeCell ref="EO721:ES721"/>
    <mergeCell ref="DU734:DY734"/>
    <mergeCell ref="EE722:EI722"/>
    <mergeCell ref="DU727:DY727"/>
    <mergeCell ref="EE726:EI726"/>
    <mergeCell ref="EJ726:EN726"/>
    <mergeCell ref="ET729:EX729"/>
    <mergeCell ref="ET753:EX753"/>
    <mergeCell ref="K727:N727"/>
    <mergeCell ref="K726:N726"/>
    <mergeCell ref="K730:N730"/>
    <mergeCell ref="ET731:EX731"/>
    <mergeCell ref="DZ731:ED731"/>
    <mergeCell ref="DO730:DS730"/>
    <mergeCell ref="DO731:DS731"/>
    <mergeCell ref="DJ725:DN725"/>
    <mergeCell ref="DE725:DI725"/>
    <mergeCell ref="CP726:CT726"/>
    <mergeCell ref="DE729:DI729"/>
    <mergeCell ref="CP724:CT724"/>
    <mergeCell ref="CP727:CT727"/>
    <mergeCell ref="CI727:CJ727"/>
    <mergeCell ref="CZ735:DD735"/>
    <mergeCell ref="CK736:CL736"/>
    <mergeCell ref="DE734:DI734"/>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EO728:ES728"/>
    <mergeCell ref="ET728:EX728"/>
    <mergeCell ref="T727:W727"/>
    <mergeCell ref="EO720:ES720"/>
    <mergeCell ref="EJ729:EN729"/>
    <mergeCell ref="DO729:DS729"/>
    <mergeCell ref="DZ718:ED718"/>
    <mergeCell ref="EE718:EI718"/>
    <mergeCell ref="EJ718:EN718"/>
    <mergeCell ref="DJ718:DN718"/>
    <mergeCell ref="CZ719:DD719"/>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B641:AN641"/>
    <mergeCell ref="G643:R643"/>
    <mergeCell ref="AC724:AG724"/>
    <mergeCell ref="AE693:AF693"/>
    <mergeCell ref="AH727:AJ727"/>
    <mergeCell ref="DX653:EB653"/>
    <mergeCell ref="EC653:EG653"/>
    <mergeCell ref="DX654:EB654"/>
    <mergeCell ref="DX643:EB643"/>
    <mergeCell ref="Z631:AB631"/>
    <mergeCell ref="N689:O689"/>
    <mergeCell ref="AH718:AJ718"/>
    <mergeCell ref="AC718:AG718"/>
    <mergeCell ref="AK714:AO717"/>
    <mergeCell ref="AC637:AE637"/>
    <mergeCell ref="AM551:AS553"/>
    <mergeCell ref="Z594:AK594"/>
    <mergeCell ref="AC632:AE632"/>
    <mergeCell ref="H672:R672"/>
    <mergeCell ref="Z610:AK610"/>
    <mergeCell ref="AA573:AK573"/>
    <mergeCell ref="H648:R648"/>
    <mergeCell ref="G686:R686"/>
    <mergeCell ref="G652:R652"/>
    <mergeCell ref="AG599:AH599"/>
    <mergeCell ref="G595:R595"/>
    <mergeCell ref="G596:R596"/>
    <mergeCell ref="AM558:AS558"/>
    <mergeCell ref="AM566:AS566"/>
    <mergeCell ref="P589:R589"/>
    <mergeCell ref="Z588:AK588"/>
    <mergeCell ref="AM556:AS556"/>
    <mergeCell ref="Z609:AK609"/>
    <mergeCell ref="AG591:AH591"/>
    <mergeCell ref="G602:R602"/>
    <mergeCell ref="G671:L671"/>
    <mergeCell ref="G601:R601"/>
    <mergeCell ref="P671:R671"/>
    <mergeCell ref="AO637:AS637"/>
    <mergeCell ref="C638:L638"/>
    <mergeCell ref="G655:L655"/>
    <mergeCell ref="H656:R656"/>
    <mergeCell ref="AG649:AH649"/>
    <mergeCell ref="G662:R662"/>
    <mergeCell ref="G661:R661"/>
    <mergeCell ref="T631:V631"/>
    <mergeCell ref="CZ721:DD721"/>
    <mergeCell ref="AK632:AN632"/>
    <mergeCell ref="AI671:AK671"/>
    <mergeCell ref="DE717:DI717"/>
    <mergeCell ref="CU719:CY719"/>
    <mergeCell ref="CU718:CY718"/>
    <mergeCell ref="AK627:AN627"/>
    <mergeCell ref="CG718:CH718"/>
    <mergeCell ref="G676:R676"/>
    <mergeCell ref="G646:R646"/>
    <mergeCell ref="Q624:S626"/>
    <mergeCell ref="AF633:AJ633"/>
    <mergeCell ref="G714:J717"/>
    <mergeCell ref="G668:R668"/>
    <mergeCell ref="Z595:AK595"/>
    <mergeCell ref="G603:R603"/>
    <mergeCell ref="P597:R597"/>
    <mergeCell ref="G597:L597"/>
    <mergeCell ref="AA606:AK606"/>
    <mergeCell ref="P605:R605"/>
    <mergeCell ref="AA664:AK664"/>
    <mergeCell ref="G651:R651"/>
    <mergeCell ref="AC628:AE628"/>
    <mergeCell ref="C629:L629"/>
    <mergeCell ref="T629:V629"/>
    <mergeCell ref="AO631:AS631"/>
    <mergeCell ref="Q632:S632"/>
    <mergeCell ref="T634:V634"/>
    <mergeCell ref="AF634:AJ634"/>
    <mergeCell ref="Z605:AE605"/>
    <mergeCell ref="AF624:AJ626"/>
    <mergeCell ref="AK720:AO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Z604:AK604"/>
    <mergeCell ref="AE565:AH565"/>
    <mergeCell ref="AO632:AS632"/>
    <mergeCell ref="AM562:AS562"/>
    <mergeCell ref="W633:Y633"/>
    <mergeCell ref="Z630:AB630"/>
    <mergeCell ref="Z611:AK611"/>
    <mergeCell ref="AF628:AJ628"/>
    <mergeCell ref="AK628:AN628"/>
    <mergeCell ref="AM564:AS564"/>
    <mergeCell ref="AI581:AK581"/>
    <mergeCell ref="Z601:AK601"/>
    <mergeCell ref="AE564:AH564"/>
    <mergeCell ref="Z679:AE679"/>
    <mergeCell ref="Z670:AK670"/>
    <mergeCell ref="Z687:AE687"/>
    <mergeCell ref="Z654:AK654"/>
    <mergeCell ref="Z562:AD562"/>
    <mergeCell ref="Z563:AD563"/>
    <mergeCell ref="AI565:AL565"/>
    <mergeCell ref="DJ719:DN719"/>
    <mergeCell ref="CU717:CY717"/>
    <mergeCell ref="DJ720:DN720"/>
    <mergeCell ref="DJ717:DN717"/>
    <mergeCell ref="DJ722:DN722"/>
    <mergeCell ref="EJ717:EN717"/>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DX652:EB652"/>
    <mergeCell ref="EC652:EG652"/>
    <mergeCell ref="W637:Y637"/>
    <mergeCell ref="AG681:AH681"/>
    <mergeCell ref="AI687:AK687"/>
    <mergeCell ref="Z655:AE655"/>
    <mergeCell ref="Z653:AK653"/>
    <mergeCell ref="Z659:AK659"/>
    <mergeCell ref="CU722:CY722"/>
    <mergeCell ref="W469:Y469"/>
    <mergeCell ref="AH515:AK515"/>
    <mergeCell ref="AC516:AF516"/>
    <mergeCell ref="AH509:AK509"/>
    <mergeCell ref="AM561:AS561"/>
    <mergeCell ref="T560:V560"/>
    <mergeCell ref="Z561:AD561"/>
    <mergeCell ref="G586:R586"/>
    <mergeCell ref="W560:Y560"/>
    <mergeCell ref="Z577:AK577"/>
    <mergeCell ref="AF574:AK574"/>
    <mergeCell ref="Z585:AK585"/>
    <mergeCell ref="AI564:AL564"/>
    <mergeCell ref="AC503:AF503"/>
    <mergeCell ref="AC513:AF513"/>
    <mergeCell ref="G579:R579"/>
    <mergeCell ref="AK630:AN630"/>
    <mergeCell ref="T561:V561"/>
    <mergeCell ref="T628:V628"/>
    <mergeCell ref="AM559:AS559"/>
    <mergeCell ref="Z559:AD559"/>
    <mergeCell ref="AE562:AH562"/>
    <mergeCell ref="W558:Y558"/>
    <mergeCell ref="AE558:AH558"/>
    <mergeCell ref="DJ731:DN731"/>
    <mergeCell ref="DJ729:DN729"/>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M635:P635"/>
    <mergeCell ref="M636:P636"/>
    <mergeCell ref="N599:O599"/>
    <mergeCell ref="Q638:S638"/>
    <mergeCell ref="H590:R590"/>
    <mergeCell ref="G594:R594"/>
    <mergeCell ref="AF632:AJ632"/>
    <mergeCell ref="M633:P633"/>
    <mergeCell ref="AC631:AE631"/>
    <mergeCell ref="AK624:AN626"/>
    <mergeCell ref="G581:L581"/>
    <mergeCell ref="C563:L563"/>
    <mergeCell ref="G587:R587"/>
    <mergeCell ref="G578:R578"/>
    <mergeCell ref="M563:P563"/>
    <mergeCell ref="C628:L628"/>
    <mergeCell ref="N607:O607"/>
    <mergeCell ref="AK631:AN631"/>
    <mergeCell ref="W465:Y465"/>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D438:AF438"/>
    <mergeCell ref="AI561:AL561"/>
    <mergeCell ref="W563:Y563"/>
    <mergeCell ref="R411:S411"/>
    <mergeCell ref="AH527:AK527"/>
    <mergeCell ref="AC517:AF517"/>
    <mergeCell ref="D473:V473"/>
    <mergeCell ref="AC504:AF504"/>
    <mergeCell ref="C560:L560"/>
    <mergeCell ref="Z560:AD560"/>
    <mergeCell ref="D470:V470"/>
    <mergeCell ref="AE556:AH556"/>
    <mergeCell ref="AE559:AH559"/>
    <mergeCell ref="AI559:AL559"/>
    <mergeCell ref="T558:V558"/>
    <mergeCell ref="AH505:AK505"/>
    <mergeCell ref="Z434:AA434"/>
    <mergeCell ref="AH507:AK507"/>
    <mergeCell ref="AE563:AH563"/>
    <mergeCell ref="M628:P628"/>
    <mergeCell ref="M562:P562"/>
    <mergeCell ref="M634:P634"/>
    <mergeCell ref="M637:P637"/>
    <mergeCell ref="M638:P638"/>
    <mergeCell ref="W638:Y638"/>
    <mergeCell ref="G593:R593"/>
    <mergeCell ref="W630:Y630"/>
    <mergeCell ref="G610:R610"/>
    <mergeCell ref="A617:AT618"/>
    <mergeCell ref="B624:L626"/>
    <mergeCell ref="Z613:AE613"/>
    <mergeCell ref="AC629:AE629"/>
    <mergeCell ref="AO633:AS633"/>
    <mergeCell ref="AO628:AS628"/>
    <mergeCell ref="AG607:AH607"/>
    <mergeCell ref="AO624:AS626"/>
    <mergeCell ref="AC635:AE635"/>
    <mergeCell ref="W635:Y635"/>
    <mergeCell ref="Z597:AE597"/>
    <mergeCell ref="G568:R568"/>
    <mergeCell ref="T630:V630"/>
    <mergeCell ref="Q562:S562"/>
    <mergeCell ref="T565:V565"/>
    <mergeCell ref="AI563:AL563"/>
    <mergeCell ref="Z633:AB633"/>
    <mergeCell ref="AK636:AN636"/>
    <mergeCell ref="AI613:AK613"/>
    <mergeCell ref="AA614:AK614"/>
    <mergeCell ref="AM565:AS565"/>
    <mergeCell ref="AM563:AS563"/>
    <mergeCell ref="T638:V638"/>
    <mergeCell ref="CP737:CT737"/>
    <mergeCell ref="CZ734:DD734"/>
    <mergeCell ref="DE728:DI728"/>
    <mergeCell ref="CU729:CY729"/>
    <mergeCell ref="CP733:CT733"/>
    <mergeCell ref="CU734:CY734"/>
    <mergeCell ref="CP736:CT736"/>
    <mergeCell ref="CM737:CN737"/>
    <mergeCell ref="CU737:CY737"/>
    <mergeCell ref="CG723:CH723"/>
    <mergeCell ref="CG720:CH720"/>
    <mergeCell ref="DE719:DI719"/>
    <mergeCell ref="CZ720:DD720"/>
    <mergeCell ref="DE721:DI721"/>
    <mergeCell ref="DE723:DI723"/>
    <mergeCell ref="CG735:CH735"/>
    <mergeCell ref="CI737:CJ737"/>
    <mergeCell ref="DE726:DI726"/>
    <mergeCell ref="CZ724:DD724"/>
    <mergeCell ref="CZ722:DD722"/>
    <mergeCell ref="DJ728:DN728"/>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CG734:CH734"/>
    <mergeCell ref="CZ726:DD726"/>
    <mergeCell ref="CG737:CH737"/>
    <mergeCell ref="CZ729:DD729"/>
    <mergeCell ref="CG733:CH733"/>
    <mergeCell ref="CI734:CJ734"/>
    <mergeCell ref="CZ727:DD727"/>
    <mergeCell ref="CM733:CN733"/>
    <mergeCell ref="CZ725:DD725"/>
    <mergeCell ref="DE722:DI722"/>
    <mergeCell ref="X720:AB720"/>
    <mergeCell ref="CM735:CN735"/>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U733:CY733"/>
    <mergeCell ref="CI729:CJ729"/>
    <mergeCell ref="CZ733:DD733"/>
    <mergeCell ref="CZ736:DD736"/>
    <mergeCell ref="CZ723:DD723"/>
    <mergeCell ref="DE731:DI731"/>
    <mergeCell ref="CI723:CJ723"/>
    <mergeCell ref="CU736:CY736"/>
    <mergeCell ref="AK728:AO728"/>
    <mergeCell ref="AK729:AO729"/>
    <mergeCell ref="O727:S727"/>
    <mergeCell ref="CP738:CT738"/>
    <mergeCell ref="CM740:CN740"/>
    <mergeCell ref="CU721:CY721"/>
    <mergeCell ref="CK746:CL746"/>
    <mergeCell ref="CI733:CJ733"/>
    <mergeCell ref="P655:R655"/>
    <mergeCell ref="CM723:CN723"/>
    <mergeCell ref="CM725:CN725"/>
    <mergeCell ref="AG657:AH657"/>
    <mergeCell ref="X718:AB718"/>
    <mergeCell ref="T720:W720"/>
    <mergeCell ref="K714:N717"/>
    <mergeCell ref="CK730:CL730"/>
    <mergeCell ref="CK735:CL735"/>
    <mergeCell ref="CP729:CT729"/>
    <mergeCell ref="CI735:CJ735"/>
    <mergeCell ref="CM724:CN724"/>
    <mergeCell ref="Q634:S634"/>
    <mergeCell ref="AK718:AO718"/>
    <mergeCell ref="AH737:AJ737"/>
    <mergeCell ref="AH738:AJ738"/>
    <mergeCell ref="AH736:AJ736"/>
    <mergeCell ref="X732:AB732"/>
    <mergeCell ref="K734:N734"/>
    <mergeCell ref="AH733:AJ733"/>
    <mergeCell ref="O725:S725"/>
    <mergeCell ref="O726:S726"/>
    <mergeCell ref="X735:AB735"/>
    <mergeCell ref="X736:AB736"/>
    <mergeCell ref="T735:W735"/>
    <mergeCell ref="T734:W734"/>
    <mergeCell ref="AC727:AG727"/>
    <mergeCell ref="AI655:AK655"/>
    <mergeCell ref="CI719:CJ719"/>
    <mergeCell ref="CP719:CT719"/>
    <mergeCell ref="CG719:CH719"/>
    <mergeCell ref="CI721:CJ721"/>
    <mergeCell ref="Z662:AK662"/>
    <mergeCell ref="G723:J723"/>
    <mergeCell ref="AC728:AG728"/>
    <mergeCell ref="AC732:AG732"/>
    <mergeCell ref="X733:AB733"/>
    <mergeCell ref="G732:J732"/>
    <mergeCell ref="AH735:AJ735"/>
    <mergeCell ref="X734:AB734"/>
    <mergeCell ref="X725:AB725"/>
    <mergeCell ref="K725:N725"/>
    <mergeCell ref="AH729:AJ729"/>
    <mergeCell ref="AK730:AO730"/>
    <mergeCell ref="AC730:AG730"/>
    <mergeCell ref="T732:W732"/>
    <mergeCell ref="O739:S739"/>
    <mergeCell ref="O736:S736"/>
    <mergeCell ref="G684:R684"/>
    <mergeCell ref="AC720:AG720"/>
    <mergeCell ref="AK727:AO727"/>
    <mergeCell ref="AH724:AJ724"/>
    <mergeCell ref="AK732:AO732"/>
    <mergeCell ref="AC739:AG739"/>
    <mergeCell ref="W703:AK703"/>
    <mergeCell ref="G678:R678"/>
    <mergeCell ref="P679:R679"/>
    <mergeCell ref="Z676:AK676"/>
    <mergeCell ref="W700:AK700"/>
    <mergeCell ref="Z683:AK683"/>
    <mergeCell ref="AA688:AK688"/>
    <mergeCell ref="AC719:AG719"/>
    <mergeCell ref="G677:R677"/>
    <mergeCell ref="Z678:AK678"/>
    <mergeCell ref="B736:F736"/>
    <mergeCell ref="B733:F733"/>
    <mergeCell ref="B731:F731"/>
    <mergeCell ref="B730:F730"/>
    <mergeCell ref="G679:L679"/>
    <mergeCell ref="CI731:CJ731"/>
    <mergeCell ref="CI728:CJ728"/>
    <mergeCell ref="CP725:CT725"/>
    <mergeCell ref="CG739:CH739"/>
    <mergeCell ref="CG740:CH740"/>
    <mergeCell ref="CK737:CL737"/>
    <mergeCell ref="CG732:CH732"/>
    <mergeCell ref="CP734:CT734"/>
    <mergeCell ref="X722:AB722"/>
    <mergeCell ref="AC714:AG717"/>
    <mergeCell ref="X714:AB717"/>
    <mergeCell ref="AE694:AF694"/>
    <mergeCell ref="A709:AT711"/>
    <mergeCell ref="T724:W724"/>
    <mergeCell ref="X724:AB724"/>
    <mergeCell ref="K724:N724"/>
    <mergeCell ref="B740:F740"/>
    <mergeCell ref="O740:S740"/>
    <mergeCell ref="K738:N738"/>
    <mergeCell ref="CP739:CT739"/>
    <mergeCell ref="CM738:CN738"/>
    <mergeCell ref="CG721:CH721"/>
    <mergeCell ref="CK720:CL720"/>
    <mergeCell ref="CG731:CH731"/>
    <mergeCell ref="CP722:CT722"/>
    <mergeCell ref="CP718:CT718"/>
    <mergeCell ref="CI718:CJ718"/>
    <mergeCell ref="M861:V861"/>
    <mergeCell ref="W845:AC845"/>
    <mergeCell ref="M846:V846"/>
    <mergeCell ref="J849:V849"/>
    <mergeCell ref="W846:AC846"/>
    <mergeCell ref="M830:P830"/>
    <mergeCell ref="C832:L832"/>
    <mergeCell ref="W857:AC857"/>
    <mergeCell ref="F926:T926"/>
    <mergeCell ref="F927:T927"/>
    <mergeCell ref="F928:T928"/>
    <mergeCell ref="U926:Z926"/>
    <mergeCell ref="AA926:AF926"/>
    <mergeCell ref="U927:Z927"/>
    <mergeCell ref="AA927:AF927"/>
    <mergeCell ref="F929:T929"/>
    <mergeCell ref="CP741:CT741"/>
    <mergeCell ref="K741:N741"/>
    <mergeCell ref="CM746:CN746"/>
    <mergeCell ref="CM751:CN751"/>
    <mergeCell ref="AG829:AJ829"/>
    <mergeCell ref="AG826:AJ826"/>
    <mergeCell ref="AG825:AJ825"/>
    <mergeCell ref="A910:AT911"/>
    <mergeCell ref="B743:F743"/>
    <mergeCell ref="C763:AR765"/>
    <mergeCell ref="AC752:AG752"/>
    <mergeCell ref="T749:W749"/>
    <mergeCell ref="K750:N750"/>
    <mergeCell ref="X748:AB748"/>
    <mergeCell ref="X749:AB749"/>
    <mergeCell ref="X750:AB750"/>
    <mergeCell ref="T742:W742"/>
    <mergeCell ref="X745:AB745"/>
    <mergeCell ref="X746:AB746"/>
    <mergeCell ref="AC828:AF828"/>
    <mergeCell ref="U935:Z935"/>
    <mergeCell ref="G718:J718"/>
    <mergeCell ref="G670:R670"/>
    <mergeCell ref="Z669:AK669"/>
    <mergeCell ref="E707:AK707"/>
    <mergeCell ref="W706:AK706"/>
    <mergeCell ref="AH749:AJ749"/>
    <mergeCell ref="AH739:AJ739"/>
    <mergeCell ref="AH740:AJ740"/>
    <mergeCell ref="W843:AC843"/>
    <mergeCell ref="AA928:AF928"/>
    <mergeCell ref="O730:S730"/>
    <mergeCell ref="AC885:AH885"/>
    <mergeCell ref="W861:AC861"/>
    <mergeCell ref="C895:AB895"/>
    <mergeCell ref="B727:F727"/>
    <mergeCell ref="AH745:AJ745"/>
    <mergeCell ref="AH746:AJ746"/>
    <mergeCell ref="Q832:T832"/>
    <mergeCell ref="AG830:AJ830"/>
    <mergeCell ref="U832:X832"/>
    <mergeCell ref="M832:P832"/>
    <mergeCell ref="W866:AC866"/>
    <mergeCell ref="W859:AC859"/>
    <mergeCell ref="W849:AC849"/>
    <mergeCell ref="M877:V877"/>
    <mergeCell ref="W869:AC869"/>
    <mergeCell ref="H680:R680"/>
    <mergeCell ref="M823:P824"/>
    <mergeCell ref="Y827:AB827"/>
    <mergeCell ref="AG827:AJ827"/>
    <mergeCell ref="T731:W731"/>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BD901:BE901"/>
    <mergeCell ref="AA923:AF923"/>
    <mergeCell ref="AB917:AE917"/>
    <mergeCell ref="AA922:AF922"/>
    <mergeCell ref="C837:AJ837"/>
    <mergeCell ref="F930:T930"/>
    <mergeCell ref="F931:T931"/>
    <mergeCell ref="U936:Z936"/>
    <mergeCell ref="F944:T944"/>
    <mergeCell ref="U944:Z944"/>
    <mergeCell ref="F940:T940"/>
    <mergeCell ref="U939:Z939"/>
    <mergeCell ref="U940:Z940"/>
    <mergeCell ref="AA938:AF938"/>
    <mergeCell ref="U923:Z923"/>
    <mergeCell ref="AA931:AF931"/>
    <mergeCell ref="U932:Z932"/>
    <mergeCell ref="AA932:AF932"/>
    <mergeCell ref="F938:T938"/>
    <mergeCell ref="U920:Z920"/>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AC886:AH886"/>
    <mergeCell ref="M874:V874"/>
    <mergeCell ref="W876:AC876"/>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4:W774"/>
    <mergeCell ref="M827:P82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X729:AB729"/>
    <mergeCell ref="AC791:AG791"/>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T776:W776"/>
    <mergeCell ref="M828:P828"/>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Z668:AK668"/>
    <mergeCell ref="P687:R687"/>
    <mergeCell ref="R705:T705"/>
    <mergeCell ref="B720:F720"/>
    <mergeCell ref="X728:AB728"/>
    <mergeCell ref="M825:P825"/>
    <mergeCell ref="AK746:AO746"/>
    <mergeCell ref="O795:S795"/>
    <mergeCell ref="O735:S735"/>
    <mergeCell ref="T738:W738"/>
    <mergeCell ref="C630:L630"/>
    <mergeCell ref="C631:L631"/>
    <mergeCell ref="C632:L632"/>
    <mergeCell ref="Z628:AB628"/>
    <mergeCell ref="P572:R572"/>
    <mergeCell ref="M627:P627"/>
    <mergeCell ref="M629:P629"/>
    <mergeCell ref="W624:Y626"/>
    <mergeCell ref="W628:Y628"/>
    <mergeCell ref="Z603:AK603"/>
    <mergeCell ref="AI605:AK605"/>
    <mergeCell ref="Q630:S630"/>
    <mergeCell ref="G589:L589"/>
    <mergeCell ref="H582:R582"/>
    <mergeCell ref="Z579:AK579"/>
    <mergeCell ref="G577:R577"/>
    <mergeCell ref="M574:R574"/>
    <mergeCell ref="AG583:AH583"/>
    <mergeCell ref="G588:R588"/>
    <mergeCell ref="Z580:AK580"/>
    <mergeCell ref="N583:O583"/>
    <mergeCell ref="H614:R614"/>
    <mergeCell ref="Z632:AB632"/>
    <mergeCell ref="G613:L613"/>
    <mergeCell ref="G605:L605"/>
    <mergeCell ref="G604:R604"/>
    <mergeCell ref="AF629:AJ629"/>
    <mergeCell ref="AC518:AF518"/>
    <mergeCell ref="Q551:S553"/>
    <mergeCell ref="T551:V553"/>
    <mergeCell ref="M555:P555"/>
    <mergeCell ref="W564:Y564"/>
    <mergeCell ref="W565:Y565"/>
    <mergeCell ref="C555:L555"/>
    <mergeCell ref="C556:L556"/>
    <mergeCell ref="M556:P556"/>
    <mergeCell ref="C559:L559"/>
    <mergeCell ref="AH523:AK523"/>
    <mergeCell ref="AE554:AH554"/>
    <mergeCell ref="C557:L557"/>
    <mergeCell ref="Z557:AD557"/>
    <mergeCell ref="C561:L561"/>
    <mergeCell ref="AC524:AF524"/>
    <mergeCell ref="AH506:AK506"/>
    <mergeCell ref="AH508:AK508"/>
    <mergeCell ref="AC540:AF540"/>
    <mergeCell ref="AC508:AF508"/>
    <mergeCell ref="AH537:AK537"/>
    <mergeCell ref="AC534:AF534"/>
    <mergeCell ref="AH542:AK542"/>
    <mergeCell ref="M554:P554"/>
    <mergeCell ref="M561:P561"/>
    <mergeCell ref="W556:Y556"/>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D469:V469"/>
    <mergeCell ref="W473:Y473"/>
    <mergeCell ref="Q394:U394"/>
    <mergeCell ref="AD412:AE412"/>
    <mergeCell ref="H414:AE415"/>
    <mergeCell ref="AE425:AF425"/>
    <mergeCell ref="AJ356:AK356"/>
    <mergeCell ref="AD377:AE377"/>
    <mergeCell ref="AG449:AJ449"/>
    <mergeCell ref="AC542:AF542"/>
    <mergeCell ref="AI556:AL556"/>
    <mergeCell ref="AH501:AK501"/>
    <mergeCell ref="G474:V474"/>
    <mergeCell ref="S489:AK490"/>
    <mergeCell ref="W470:Y470"/>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P424:Q424"/>
    <mergeCell ref="AC521:AF521"/>
    <mergeCell ref="AC456:AF456"/>
    <mergeCell ref="M551:P553"/>
    <mergeCell ref="AC536:AF536"/>
    <mergeCell ref="D468:V468"/>
    <mergeCell ref="B551:L553"/>
    <mergeCell ref="O529:AA529"/>
    <mergeCell ref="AH533:AK533"/>
    <mergeCell ref="D471:V471"/>
    <mergeCell ref="M495:P495"/>
    <mergeCell ref="AC501:AF501"/>
    <mergeCell ref="AC505:AF505"/>
    <mergeCell ref="AH522:AK522"/>
    <mergeCell ref="AH503:AK503"/>
    <mergeCell ref="AH532:AK532"/>
    <mergeCell ref="AC522:AF522"/>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C520:AF520"/>
    <mergeCell ref="AC527:AF527"/>
    <mergeCell ref="AH521:AK521"/>
    <mergeCell ref="AC530:AF530"/>
    <mergeCell ref="K403:AJ403"/>
    <mergeCell ref="Q365:AG365"/>
    <mergeCell ref="H340:M340"/>
    <mergeCell ref="Q489:R490"/>
    <mergeCell ref="Q488:AK488"/>
    <mergeCell ref="AC500:AF500"/>
    <mergeCell ref="B489:P490"/>
    <mergeCell ref="AC506:AF506"/>
    <mergeCell ref="AC371:AF371"/>
    <mergeCell ref="Q389:U389"/>
    <mergeCell ref="AJ357:AK357"/>
    <mergeCell ref="D444:AF444"/>
    <mergeCell ref="AA331:AF331"/>
    <mergeCell ref="N363:O363"/>
    <mergeCell ref="AA337:AK337"/>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H307:M307"/>
    <mergeCell ref="H329:R329"/>
    <mergeCell ref="H330:R330"/>
    <mergeCell ref="P315:R315"/>
    <mergeCell ref="H327:R327"/>
    <mergeCell ref="H306:R306"/>
    <mergeCell ref="AA304:AK304"/>
    <mergeCell ref="AA309:AK309"/>
    <mergeCell ref="AA307:AF307"/>
    <mergeCell ref="AA305:AK305"/>
    <mergeCell ref="AA317:AK317"/>
    <mergeCell ref="H287:R287"/>
    <mergeCell ref="AA314:AK314"/>
    <mergeCell ref="AA313:AK313"/>
    <mergeCell ref="H319:R319"/>
    <mergeCell ref="AA316:AF316"/>
    <mergeCell ref="AA297:AK297"/>
    <mergeCell ref="H288:R288"/>
    <mergeCell ref="H314:R314"/>
    <mergeCell ref="AA322:AK322"/>
    <mergeCell ref="H292:M292"/>
    <mergeCell ref="H309:R309"/>
    <mergeCell ref="AH254:AK254"/>
    <mergeCell ref="M259:AE259"/>
    <mergeCell ref="AA293:AK293"/>
    <mergeCell ref="L280:AD280"/>
    <mergeCell ref="L275:AD275"/>
    <mergeCell ref="H290:R290"/>
    <mergeCell ref="V276:W276"/>
    <mergeCell ref="AA301:AK301"/>
    <mergeCell ref="AA296:AK296"/>
    <mergeCell ref="H301:R301"/>
    <mergeCell ref="L277:AD277"/>
    <mergeCell ref="AA298:AK298"/>
    <mergeCell ref="AA303:AK303"/>
    <mergeCell ref="H308:M308"/>
    <mergeCell ref="P307:R307"/>
    <mergeCell ref="H305:R305"/>
    <mergeCell ref="P299:R299"/>
    <mergeCell ref="H293:R293"/>
    <mergeCell ref="Y278:AD278"/>
    <mergeCell ref="AA295:AK295"/>
    <mergeCell ref="AF259:AK259"/>
    <mergeCell ref="AC261:AE261"/>
    <mergeCell ref="AA291:AF291"/>
    <mergeCell ref="AI291:AK291"/>
    <mergeCell ref="M263:R263"/>
    <mergeCell ref="M265:T265"/>
    <mergeCell ref="H316:M316"/>
    <mergeCell ref="AA319:AK319"/>
    <mergeCell ref="AA238:AK238"/>
    <mergeCell ref="M251:AE251"/>
    <mergeCell ref="X180:Y180"/>
    <mergeCell ref="AC253:AE253"/>
    <mergeCell ref="D270:H270"/>
    <mergeCell ref="X270:AC270"/>
    <mergeCell ref="Z263:AE263"/>
    <mergeCell ref="AA288:AK288"/>
    <mergeCell ref="AA332:AF332"/>
    <mergeCell ref="AA328:AK328"/>
    <mergeCell ref="AA327:AK327"/>
    <mergeCell ref="H332:M332"/>
    <mergeCell ref="AI315:AK315"/>
    <mergeCell ref="AA312:AK312"/>
    <mergeCell ref="AA329:AK329"/>
    <mergeCell ref="AA321:AK321"/>
    <mergeCell ref="H325:R325"/>
    <mergeCell ref="P331:R331"/>
    <mergeCell ref="AA324:AF324"/>
    <mergeCell ref="H328:R328"/>
    <mergeCell ref="AI323:AK323"/>
    <mergeCell ref="AA320:AK320"/>
    <mergeCell ref="H317:R317"/>
    <mergeCell ref="P323:R323"/>
    <mergeCell ref="AA315:AF315"/>
    <mergeCell ref="M262:AE262"/>
    <mergeCell ref="AA299:AF299"/>
    <mergeCell ref="AI299:AK299"/>
    <mergeCell ref="H297:R297"/>
    <mergeCell ref="AA300:AF300"/>
    <mergeCell ref="AA292:AF292"/>
    <mergeCell ref="H313:R313"/>
    <mergeCell ref="AF243:AK243"/>
    <mergeCell ref="M234:T234"/>
    <mergeCell ref="W234:X234"/>
    <mergeCell ref="T212:U212"/>
    <mergeCell ref="F150:T150"/>
    <mergeCell ref="AH246:AK246"/>
    <mergeCell ref="M237:AE237"/>
    <mergeCell ref="AA249:AK249"/>
    <mergeCell ref="AA341:AK341"/>
    <mergeCell ref="AA311:AK311"/>
    <mergeCell ref="AA306:AK306"/>
    <mergeCell ref="H311:R311"/>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P205:AQ205"/>
    <mergeCell ref="AI229:AJ229"/>
    <mergeCell ref="U175:V175"/>
    <mergeCell ref="Y120:AK120"/>
    <mergeCell ref="O160:T160"/>
    <mergeCell ref="AI178:AK178"/>
    <mergeCell ref="R177:S177"/>
    <mergeCell ref="A86:AT87"/>
    <mergeCell ref="U255:W255"/>
    <mergeCell ref="M264:AE264"/>
    <mergeCell ref="AB276:AD276"/>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P113:S113"/>
    <mergeCell ref="J174:AB174"/>
    <mergeCell ref="D211:M211"/>
    <mergeCell ref="AI228:AJ228"/>
    <mergeCell ref="M235:AE235"/>
    <mergeCell ref="I185:AE185"/>
    <mergeCell ref="U236:W236"/>
    <mergeCell ref="T189:AE189"/>
    <mergeCell ref="M238:T238"/>
    <mergeCell ref="M248:AE248"/>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J367:K367"/>
    <mergeCell ref="S405:AJ405"/>
    <mergeCell ref="AG379:AH379"/>
    <mergeCell ref="S392:U392"/>
    <mergeCell ref="AG390:AJ390"/>
    <mergeCell ref="Q391:U391"/>
    <mergeCell ref="N372:Q372"/>
    <mergeCell ref="S402:U402"/>
    <mergeCell ref="A89:AT90"/>
    <mergeCell ref="M243:AE243"/>
    <mergeCell ref="D204:M204"/>
    <mergeCell ref="W261:X261"/>
    <mergeCell ref="U263:W263"/>
    <mergeCell ref="M257:T257"/>
    <mergeCell ref="M256:AE256"/>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AC454:AF454"/>
    <mergeCell ref="P425:Q425"/>
    <mergeCell ref="I418:K418"/>
    <mergeCell ref="S413:T413"/>
    <mergeCell ref="H338:R338"/>
    <mergeCell ref="AG393:AJ393"/>
    <mergeCell ref="AG391:AJ391"/>
    <mergeCell ref="K404:AJ404"/>
    <mergeCell ref="AC386:AJ386"/>
    <mergeCell ref="AC533:AF533"/>
    <mergeCell ref="T197:U197"/>
    <mergeCell ref="W253:X253"/>
    <mergeCell ref="M252:AE252"/>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N378:P378"/>
    <mergeCell ref="W418:Y418"/>
    <mergeCell ref="AG439:AJ439"/>
    <mergeCell ref="AE424:AF424"/>
    <mergeCell ref="D442:AF442"/>
    <mergeCell ref="AF430:AG430"/>
    <mergeCell ref="AG437:AJ437"/>
    <mergeCell ref="J388:U388"/>
    <mergeCell ref="Y364:Z364"/>
    <mergeCell ref="AG450:AJ450"/>
    <mergeCell ref="Q393:U393"/>
    <mergeCell ref="AG441:AJ441"/>
    <mergeCell ref="M356:N356"/>
    <mergeCell ref="Z432:AA432"/>
    <mergeCell ref="AA339:AF339"/>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P349:AE349"/>
    <mergeCell ref="AC370:AF370"/>
    <mergeCell ref="AE402:AJ402"/>
    <mergeCell ref="AC385:AJ385"/>
    <mergeCell ref="H336:R336"/>
    <mergeCell ref="D441:AF441"/>
    <mergeCell ref="AG447:AJ447"/>
    <mergeCell ref="N371:Q371"/>
    <mergeCell ref="V382:W382"/>
    <mergeCell ref="AA680:AK680"/>
    <mergeCell ref="Z685:AK685"/>
    <mergeCell ref="AE698:AI698"/>
    <mergeCell ref="P647:R647"/>
    <mergeCell ref="AI647:AK647"/>
    <mergeCell ref="G654:R654"/>
    <mergeCell ref="G653:R653"/>
    <mergeCell ref="AE696:AI696"/>
    <mergeCell ref="O714:S717"/>
    <mergeCell ref="K718:N718"/>
    <mergeCell ref="E368:AH369"/>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W471:Y471"/>
    <mergeCell ref="AG395:AJ395"/>
    <mergeCell ref="AI392:AJ392"/>
    <mergeCell ref="AG394:AJ394"/>
    <mergeCell ref="E420:AJ420"/>
    <mergeCell ref="V377:W377"/>
    <mergeCell ref="S377:T377"/>
    <mergeCell ref="D437:AF437"/>
    <mergeCell ref="B722:F722"/>
    <mergeCell ref="AO640:AS640"/>
    <mergeCell ref="K720:N720"/>
    <mergeCell ref="T714:W717"/>
    <mergeCell ref="H664:R664"/>
    <mergeCell ref="AA648:AK648"/>
    <mergeCell ref="AK637:AN637"/>
    <mergeCell ref="AG673:AH673"/>
    <mergeCell ref="Z663:AE663"/>
    <mergeCell ref="Z643:AK643"/>
    <mergeCell ref="G721:J721"/>
    <mergeCell ref="G722:J722"/>
    <mergeCell ref="Z661:AK661"/>
    <mergeCell ref="O722:S722"/>
    <mergeCell ref="AM555:AS555"/>
    <mergeCell ref="AI557:AL557"/>
    <mergeCell ref="Q556:S556"/>
    <mergeCell ref="O719:S719"/>
    <mergeCell ref="AH722:AJ722"/>
    <mergeCell ref="Z587:AK587"/>
    <mergeCell ref="M558:P558"/>
    <mergeCell ref="Q559:S559"/>
    <mergeCell ref="C627:L627"/>
    <mergeCell ref="P581:R581"/>
    <mergeCell ref="AI572:AK572"/>
    <mergeCell ref="N591:O591"/>
    <mergeCell ref="AA590:AK590"/>
    <mergeCell ref="AI589:AK589"/>
    <mergeCell ref="Z596:AK596"/>
    <mergeCell ref="H598:R598"/>
    <mergeCell ref="P663:R663"/>
    <mergeCell ref="AG689:AH689"/>
    <mergeCell ref="CK748:CL748"/>
    <mergeCell ref="CM748:CN748"/>
    <mergeCell ref="CG724:CH724"/>
    <mergeCell ref="CG730:CH730"/>
    <mergeCell ref="CG728:CH728"/>
    <mergeCell ref="CP717:CT717"/>
    <mergeCell ref="CK723:CL723"/>
    <mergeCell ref="CK721:CL721"/>
    <mergeCell ref="CM726:CN726"/>
    <mergeCell ref="CM718:CN718"/>
    <mergeCell ref="CI732:CJ732"/>
    <mergeCell ref="CM728:CN728"/>
    <mergeCell ref="CP728:CT728"/>
    <mergeCell ref="CU728:CY728"/>
    <mergeCell ref="CK732:CL732"/>
    <mergeCell ref="CP732:CT732"/>
    <mergeCell ref="CP746:CT746"/>
    <mergeCell ref="CU746:CY746"/>
    <mergeCell ref="CI717:CJ717"/>
    <mergeCell ref="CU726:CY726"/>
    <mergeCell ref="CP731:CT731"/>
    <mergeCell ref="CK725:CL725"/>
    <mergeCell ref="CP723:CT723"/>
    <mergeCell ref="CU727:CY727"/>
    <mergeCell ref="CK724:CL724"/>
    <mergeCell ref="CM730:CN730"/>
    <mergeCell ref="CK727:CL727"/>
    <mergeCell ref="CI724:CJ724"/>
    <mergeCell ref="CK722:CL722"/>
    <mergeCell ref="CK719:CL719"/>
    <mergeCell ref="CI739:CJ739"/>
    <mergeCell ref="CP740:CT740"/>
    <mergeCell ref="CZ738:DD738"/>
    <mergeCell ref="CM736:CN736"/>
    <mergeCell ref="CI738:CJ738"/>
    <mergeCell ref="G660:R660"/>
    <mergeCell ref="AF636:AJ636"/>
    <mergeCell ref="AF637:AJ637"/>
    <mergeCell ref="AC636:AE636"/>
    <mergeCell ref="Z647:AE647"/>
    <mergeCell ref="Q564:S564"/>
    <mergeCell ref="AE561:AH561"/>
    <mergeCell ref="M560:P560"/>
    <mergeCell ref="Q563:S563"/>
    <mergeCell ref="AC538:AF538"/>
    <mergeCell ref="Z554:AD554"/>
    <mergeCell ref="AH531:AK531"/>
    <mergeCell ref="AH540:AK540"/>
    <mergeCell ref="AC515:AF515"/>
    <mergeCell ref="N657:O657"/>
    <mergeCell ref="Z660:AK660"/>
    <mergeCell ref="G663:L663"/>
    <mergeCell ref="N649:O649"/>
    <mergeCell ref="AH719:AJ719"/>
    <mergeCell ref="T635:V635"/>
    <mergeCell ref="T636:V636"/>
    <mergeCell ref="T637:V637"/>
    <mergeCell ref="G683:R683"/>
    <mergeCell ref="N681:O681"/>
    <mergeCell ref="X719:AB719"/>
    <mergeCell ref="G719:J719"/>
    <mergeCell ref="C637:L637"/>
    <mergeCell ref="G644:R644"/>
    <mergeCell ref="J704:X704"/>
    <mergeCell ref="H606:R606"/>
    <mergeCell ref="W636:Y636"/>
    <mergeCell ref="AI597:AK597"/>
    <mergeCell ref="C565:L565"/>
    <mergeCell ref="AK634:AN634"/>
    <mergeCell ref="AK635:AN635"/>
    <mergeCell ref="C635:L635"/>
    <mergeCell ref="Z652:AK652"/>
    <mergeCell ref="B520:H542"/>
    <mergeCell ref="AH535:AK535"/>
    <mergeCell ref="AC526:AF526"/>
    <mergeCell ref="AE557:AH557"/>
    <mergeCell ref="T562:V562"/>
    <mergeCell ref="Q560:S560"/>
    <mergeCell ref="Q565:S565"/>
    <mergeCell ref="Q561:S561"/>
    <mergeCell ref="C562:L562"/>
    <mergeCell ref="AH529:AK529"/>
    <mergeCell ref="AH534:AK534"/>
    <mergeCell ref="C558:L558"/>
    <mergeCell ref="AC532:AF532"/>
    <mergeCell ref="O535:AA535"/>
    <mergeCell ref="T554:V554"/>
    <mergeCell ref="AC624:AE626"/>
    <mergeCell ref="W561:Y561"/>
    <mergeCell ref="W562:Y562"/>
    <mergeCell ref="T559:V559"/>
    <mergeCell ref="AH526:AK526"/>
    <mergeCell ref="T557:V557"/>
    <mergeCell ref="Z635:AB635"/>
    <mergeCell ref="G609:R609"/>
    <mergeCell ref="N615:O615"/>
    <mergeCell ref="AG438:AJ438"/>
    <mergeCell ref="AO639:AS639"/>
    <mergeCell ref="AO629:AS629"/>
    <mergeCell ref="AF630:AJ630"/>
    <mergeCell ref="AO638:AS638"/>
    <mergeCell ref="Z634:AB634"/>
    <mergeCell ref="AI558:AL558"/>
    <mergeCell ref="AG443:AJ443"/>
    <mergeCell ref="AG444:AJ444"/>
    <mergeCell ref="D440:AF440"/>
    <mergeCell ref="AM554:AS554"/>
    <mergeCell ref="AC512:AF512"/>
    <mergeCell ref="O532:AA532"/>
    <mergeCell ref="AH504:AK504"/>
    <mergeCell ref="AH517:AK517"/>
    <mergeCell ref="T556:V556"/>
    <mergeCell ref="W551:Y553"/>
    <mergeCell ref="Z555:AD555"/>
    <mergeCell ref="Q557:S557"/>
    <mergeCell ref="AH513:AK513"/>
    <mergeCell ref="L508:AB508"/>
    <mergeCell ref="AM560:AS560"/>
    <mergeCell ref="AM557:AS557"/>
    <mergeCell ref="Q487:AK487"/>
    <mergeCell ref="Q486:AK486"/>
    <mergeCell ref="D449:AF449"/>
    <mergeCell ref="B501:H502"/>
    <mergeCell ref="O523:AA523"/>
    <mergeCell ref="AC519:AF519"/>
    <mergeCell ref="AC523:AF523"/>
    <mergeCell ref="AH516:AK516"/>
    <mergeCell ref="Q554:S554"/>
    <mergeCell ref="AC510:AF510"/>
    <mergeCell ref="AH510:AK510"/>
    <mergeCell ref="AA582:AK582"/>
    <mergeCell ref="H573:R573"/>
    <mergeCell ref="B566:AL566"/>
    <mergeCell ref="AE560:AH560"/>
    <mergeCell ref="N575:O575"/>
    <mergeCell ref="AC541:AF541"/>
    <mergeCell ref="Q494:AK494"/>
    <mergeCell ref="AC455:AF455"/>
    <mergeCell ref="F457:AB458"/>
    <mergeCell ref="D466:V466"/>
    <mergeCell ref="Q491:AK491"/>
    <mergeCell ref="AH495:AK495"/>
    <mergeCell ref="D465:V465"/>
    <mergeCell ref="AC509:AF509"/>
    <mergeCell ref="Q485:AK485"/>
    <mergeCell ref="AC525:AF525"/>
    <mergeCell ref="W474:Y474"/>
    <mergeCell ref="AH518:AK518"/>
    <mergeCell ref="AH514:AK514"/>
    <mergeCell ref="Q555:S555"/>
    <mergeCell ref="AH539:AK539"/>
    <mergeCell ref="AC514:AF514"/>
    <mergeCell ref="AH538:AK538"/>
    <mergeCell ref="Z551:AD553"/>
    <mergeCell ref="AC531:AF531"/>
    <mergeCell ref="AC539:AF539"/>
    <mergeCell ref="AI560:AL560"/>
    <mergeCell ref="O520:AA520"/>
    <mergeCell ref="AE555:AH555"/>
    <mergeCell ref="AC507:AF507"/>
    <mergeCell ref="X742:AB742"/>
    <mergeCell ref="AH742:AJ742"/>
    <mergeCell ref="AK739:AO739"/>
    <mergeCell ref="B741:F741"/>
    <mergeCell ref="DJ733:DN733"/>
    <mergeCell ref="D472:V472"/>
    <mergeCell ref="W472:Y472"/>
    <mergeCell ref="AE551:AH553"/>
    <mergeCell ref="AI551:AL553"/>
    <mergeCell ref="B724:F724"/>
    <mergeCell ref="B723:F723"/>
    <mergeCell ref="D467:V467"/>
    <mergeCell ref="T564:V564"/>
    <mergeCell ref="CZ730:DD730"/>
    <mergeCell ref="AI679:AK679"/>
    <mergeCell ref="CZ717:DD717"/>
    <mergeCell ref="CI722:CJ722"/>
    <mergeCell ref="CI742:CJ742"/>
    <mergeCell ref="CK742:CL742"/>
    <mergeCell ref="CP742:CT742"/>
    <mergeCell ref="CZ742:DD742"/>
    <mergeCell ref="DE742:DI742"/>
    <mergeCell ref="DJ742:DN742"/>
    <mergeCell ref="CM739:CN739"/>
    <mergeCell ref="CZ740:DD740"/>
    <mergeCell ref="CZ739:DD739"/>
    <mergeCell ref="CK734:CL734"/>
    <mergeCell ref="G685:R685"/>
    <mergeCell ref="AH541:AK541"/>
    <mergeCell ref="AC535:AF535"/>
    <mergeCell ref="AI554:AL554"/>
    <mergeCell ref="W557:Y557"/>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FJ753:FN753"/>
    <mergeCell ref="DJ743:DN743"/>
    <mergeCell ref="DO743:DS743"/>
    <mergeCell ref="DO744:DS744"/>
    <mergeCell ref="DO750:DS750"/>
    <mergeCell ref="DJ745:DN745"/>
    <mergeCell ref="DO745:DS745"/>
    <mergeCell ref="CU742:CY742"/>
    <mergeCell ref="DE743:DI743"/>
    <mergeCell ref="DU745:DY745"/>
    <mergeCell ref="DZ745:ED745"/>
    <mergeCell ref="ET752:EX752"/>
    <mergeCell ref="DE746:DI746"/>
    <mergeCell ref="AK747:AO747"/>
    <mergeCell ref="CZ732:DD732"/>
    <mergeCell ref="CP748:CT748"/>
    <mergeCell ref="CU748:CY748"/>
    <mergeCell ref="CM729:CN729"/>
    <mergeCell ref="CP747:CT747"/>
    <mergeCell ref="CG748:CH748"/>
    <mergeCell ref="AH747:AJ747"/>
    <mergeCell ref="AH748:AJ748"/>
    <mergeCell ref="CG741:CH741"/>
    <mergeCell ref="CI741:CJ741"/>
    <mergeCell ref="CK744:CL744"/>
    <mergeCell ref="CM744:CN744"/>
    <mergeCell ref="CG738:CH738"/>
    <mergeCell ref="CK739:CL739"/>
    <mergeCell ref="DE741:DI741"/>
    <mergeCell ref="CK733:CL733"/>
    <mergeCell ref="CU744:CY744"/>
    <mergeCell ref="DE739:DI739"/>
    <mergeCell ref="DE730:DI730"/>
    <mergeCell ref="CK741:CL741"/>
    <mergeCell ref="CM741:CN741"/>
    <mergeCell ref="CM731:CN731"/>
    <mergeCell ref="CM734:CN734"/>
    <mergeCell ref="CK738:CL738"/>
    <mergeCell ref="CG742:CH742"/>
    <mergeCell ref="CG743:CH743"/>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CU751:CY751"/>
    <mergeCell ref="CP797:CT797"/>
    <mergeCell ref="CU776:CY776"/>
    <mergeCell ref="CP750:CT750"/>
    <mergeCell ref="CU750:CY750"/>
    <mergeCell ref="CZ750:DD750"/>
    <mergeCell ref="CZ775:DD775"/>
    <mergeCell ref="CZ776:DD776"/>
    <mergeCell ref="CG749:CH749"/>
    <mergeCell ref="J779:K779"/>
    <mergeCell ref="J787:N787"/>
    <mergeCell ref="T796:W796"/>
    <mergeCell ref="CK752:CL752"/>
    <mergeCell ref="K737:N737"/>
    <mergeCell ref="CI743:CJ743"/>
    <mergeCell ref="CK743:CL743"/>
    <mergeCell ref="CM743:CN743"/>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allowBlank="1" showInputMessage="1" showErrorMessage="1" sqref="AC220:AQ220" xr:uid="{5ED4EA51-A5F7-4FD5-BA7A-660BC831B638}">
      <formula1>$BN$147:$BN$154</formula1>
    </dataValidation>
    <dataValidation type="list" showInputMessage="1" showErrorMessage="1" sqref="D220:Z220" xr:uid="{00000000-0002-0000-0400-000020000000}">
      <formula1>$BC$197:$BC$210</formula1>
    </dataValidation>
    <dataValidation type="list" allowBlank="1" showInputMessage="1" showErrorMessage="1" sqref="Z205" xr:uid="{9BEEE790-835C-4209-A33A-9B1065E69761}">
      <formula1>$BI$212:$BI$215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B71" workbookViewId="0">
      <selection activeCell="C83" sqref="C83"/>
    </sheetView>
  </sheetViews>
  <sheetFormatPr defaultColWidth="0" defaultRowHeight="12" zeroHeight="1"/>
  <cols>
    <col min="1" max="1" width="35.5703125" style="187" customWidth="1"/>
    <col min="2" max="12" width="12.140625" style="158" customWidth="1"/>
    <col min="13" max="17" width="11.42578125" style="158" customWidth="1"/>
    <col min="18" max="18" width="12.5703125" style="158" customWidth="1"/>
    <col min="19" max="20" width="12.140625" style="158" customWidth="1"/>
    <col min="21" max="21" width="0.42578125" style="161" customWidth="1"/>
    <col min="22" max="16383" width="8.85546875" style="158" hidden="1"/>
    <col min="16384" max="16384" width="0.140625" style="158" customWidth="1"/>
  </cols>
  <sheetData>
    <row r="1" spans="1:21" s="110" customFormat="1" ht="13.5">
      <c r="A1" s="168" t="s">
        <v>549</v>
      </c>
      <c r="B1" s="125"/>
      <c r="C1" s="125"/>
      <c r="D1" s="125"/>
      <c r="E1" s="126"/>
      <c r="F1" s="1872" t="s">
        <v>621</v>
      </c>
      <c r="G1" s="1873"/>
      <c r="H1" s="1873"/>
      <c r="I1" s="1873"/>
      <c r="J1" s="1873"/>
      <c r="K1" s="1873"/>
      <c r="L1" s="1873"/>
      <c r="M1" s="1873"/>
      <c r="N1" s="1873"/>
      <c r="O1" s="1873"/>
      <c r="P1" s="1873"/>
      <c r="Q1" s="1873"/>
      <c r="R1" s="1874"/>
      <c r="S1" s="112"/>
      <c r="T1" s="111"/>
      <c r="U1" s="113"/>
    </row>
    <row r="2" spans="1:21" s="138" customFormat="1" ht="71.25" customHeight="1">
      <c r="A2" s="137"/>
      <c r="B2" s="138" t="s">
        <v>23</v>
      </c>
      <c r="C2" s="138" t="s">
        <v>374</v>
      </c>
      <c r="D2" s="138" t="s">
        <v>373</v>
      </c>
      <c r="E2" s="138" t="s">
        <v>24</v>
      </c>
      <c r="F2" s="139" t="str">
        <f>Application!B627&amp;Application!C627</f>
        <v>1)Banner Bank</v>
      </c>
      <c r="G2" s="139" t="str">
        <f>Application!B628&amp;Application!C628</f>
        <v xml:space="preserve">2)NOI During Construction </v>
      </c>
      <c r="H2" s="139" t="str">
        <f>Application!B629&amp;Application!C629</f>
        <v>3)City Loan (Existing)</v>
      </c>
      <c r="I2" s="139" t="str">
        <f>Application!B630&amp;Application!C630</f>
        <v>4)City Loan (Accrued Interest)</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3010000</v>
      </c>
      <c r="C4" s="147">
        <v>3010000</v>
      </c>
      <c r="D4" s="147"/>
      <c r="E4" s="147"/>
      <c r="F4" s="147">
        <v>3010000</v>
      </c>
      <c r="G4" s="147"/>
      <c r="H4" s="147"/>
      <c r="I4" s="147"/>
      <c r="J4" s="147"/>
      <c r="K4" s="147"/>
      <c r="L4" s="147"/>
      <c r="M4" s="147"/>
      <c r="N4" s="147"/>
      <c r="O4" s="147"/>
      <c r="P4" s="147"/>
      <c r="Q4" s="147"/>
      <c r="R4" s="517">
        <f>SUM(E4:Q4)</f>
        <v>3010000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7">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7">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7">
        <f>SUM(E7:Q7)</f>
        <v>0</v>
      </c>
      <c r="S7" s="148"/>
      <c r="T7" s="148"/>
      <c r="U7" s="143"/>
    </row>
    <row r="8" spans="1:21" s="144" customFormat="1">
      <c r="A8" s="149" t="s">
        <v>593</v>
      </c>
      <c r="B8" s="146">
        <f>SUM(C8:D8)</f>
        <v>3010000</v>
      </c>
      <c r="C8" s="146">
        <f t="shared" ref="C8:Q8" si="0">SUM(C4:C7)</f>
        <v>3010000</v>
      </c>
      <c r="D8" s="146">
        <f t="shared" si="0"/>
        <v>0</v>
      </c>
      <c r="E8" s="146">
        <f t="shared" si="0"/>
        <v>0</v>
      </c>
      <c r="F8" s="146">
        <f t="shared" si="0"/>
        <v>3010000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3">
        <f>SUM(R4:R7)</f>
        <v>3010000</v>
      </c>
      <c r="S8" s="148"/>
      <c r="T8" s="148"/>
      <c r="U8" s="143"/>
    </row>
    <row r="9" spans="1:21" s="144" customFormat="1">
      <c r="A9" s="145" t="s">
        <v>594</v>
      </c>
      <c r="B9" s="146">
        <f>SUM(C9+D9)</f>
        <v>15440000</v>
      </c>
      <c r="C9" s="147">
        <v>15440000</v>
      </c>
      <c r="D9" s="147"/>
      <c r="E9" s="147">
        <f>13642+45444+25231+131-3-35+82883+828-12194+13537-2+4</f>
        <v>169466</v>
      </c>
      <c r="F9" s="147">
        <f>13458+3304214+9865-45444+7-131+1-125000+35-1430-82883+828+32236+126-252-5</f>
        <v>3105625</v>
      </c>
      <c r="G9" s="147">
        <v>133469</v>
      </c>
      <c r="H9" s="147">
        <f>7364242+5522-76417-25231+2-2320+828+9710+5313+252-486+1</f>
        <v>7281416</v>
      </c>
      <c r="I9" s="147">
        <f>4429828+195196+125000</f>
        <v>4750024</v>
      </c>
      <c r="J9" s="147"/>
      <c r="K9" s="147"/>
      <c r="L9" s="147"/>
      <c r="M9" s="147"/>
      <c r="N9" s="147"/>
      <c r="O9" s="147"/>
      <c r="P9" s="147"/>
      <c r="Q9" s="147"/>
      <c r="R9" s="517">
        <f>SUM(E9:Q9)</f>
        <v>15440000</v>
      </c>
      <c r="S9" s="148"/>
      <c r="T9" s="147">
        <v>15440000</v>
      </c>
      <c r="U9" s="143"/>
    </row>
    <row r="10" spans="1:21" s="144" customFormat="1">
      <c r="A10" s="145" t="s">
        <v>595</v>
      </c>
      <c r="B10" s="146">
        <f>SUM(C10+D10)</f>
        <v>0</v>
      </c>
      <c r="C10" s="147"/>
      <c r="D10" s="147"/>
      <c r="E10" s="147"/>
      <c r="F10" s="147"/>
      <c r="G10" s="147"/>
      <c r="H10" s="147"/>
      <c r="I10" s="147"/>
      <c r="J10" s="147"/>
      <c r="K10" s="147"/>
      <c r="L10" s="147"/>
      <c r="M10" s="147"/>
      <c r="N10" s="147"/>
      <c r="O10" s="147"/>
      <c r="P10" s="147"/>
      <c r="Q10" s="147"/>
      <c r="R10" s="517">
        <f>SUM(E10:Q10)</f>
        <v>0</v>
      </c>
      <c r="S10" s="147"/>
      <c r="T10" s="147"/>
      <c r="U10" s="143"/>
    </row>
    <row r="11" spans="1:21" s="144" customFormat="1">
      <c r="A11" s="149" t="s">
        <v>596</v>
      </c>
      <c r="B11" s="146">
        <f>SUM(C11:D11)</f>
        <v>15440000</v>
      </c>
      <c r="C11" s="146">
        <f t="shared" ref="C11:Q11" si="1">SUM(C9:C10)</f>
        <v>15440000</v>
      </c>
      <c r="D11" s="146">
        <f t="shared" si="1"/>
        <v>0</v>
      </c>
      <c r="E11" s="146">
        <f t="shared" si="1"/>
        <v>169466</v>
      </c>
      <c r="F11" s="146">
        <f t="shared" si="1"/>
        <v>3105625</v>
      </c>
      <c r="G11" s="146">
        <f t="shared" si="1"/>
        <v>133469</v>
      </c>
      <c r="H11" s="146">
        <f t="shared" si="1"/>
        <v>7281416</v>
      </c>
      <c r="I11" s="146">
        <f t="shared" si="1"/>
        <v>4750024</v>
      </c>
      <c r="J11" s="146">
        <f t="shared" si="1"/>
        <v>0</v>
      </c>
      <c r="K11" s="146">
        <f t="shared" si="1"/>
        <v>0</v>
      </c>
      <c r="L11" s="146">
        <f t="shared" si="1"/>
        <v>0</v>
      </c>
      <c r="M11" s="146">
        <f t="shared" si="1"/>
        <v>0</v>
      </c>
      <c r="N11" s="146">
        <f t="shared" si="1"/>
        <v>0</v>
      </c>
      <c r="O11" s="146">
        <f t="shared" si="1"/>
        <v>0</v>
      </c>
      <c r="P11" s="146"/>
      <c r="Q11" s="146">
        <f t="shared" si="1"/>
        <v>0</v>
      </c>
      <c r="R11" s="343">
        <f>SUM(R9:R10)</f>
        <v>15440000</v>
      </c>
      <c r="S11" s="148"/>
      <c r="T11" s="150">
        <f>SUM(T9:T10)</f>
        <v>15440000</v>
      </c>
      <c r="U11" s="143"/>
    </row>
    <row r="12" spans="1:21" s="144" customFormat="1">
      <c r="A12" s="149" t="s">
        <v>84</v>
      </c>
      <c r="B12" s="146">
        <f t="shared" ref="B12:Q12" si="2">SUM(B8+B11)</f>
        <v>18450000</v>
      </c>
      <c r="C12" s="146">
        <f t="shared" si="2"/>
        <v>18450000</v>
      </c>
      <c r="D12" s="146">
        <f t="shared" si="2"/>
        <v>0</v>
      </c>
      <c r="E12" s="146">
        <f t="shared" si="2"/>
        <v>169466</v>
      </c>
      <c r="F12" s="146">
        <f t="shared" si="2"/>
        <v>6115625</v>
      </c>
      <c r="G12" s="146">
        <f t="shared" si="2"/>
        <v>133469</v>
      </c>
      <c r="H12" s="146">
        <f t="shared" si="2"/>
        <v>7281416</v>
      </c>
      <c r="I12" s="146">
        <f t="shared" si="2"/>
        <v>4750024</v>
      </c>
      <c r="J12" s="146">
        <f t="shared" si="2"/>
        <v>0</v>
      </c>
      <c r="K12" s="146">
        <f t="shared" si="2"/>
        <v>0</v>
      </c>
      <c r="L12" s="146">
        <f t="shared" si="2"/>
        <v>0</v>
      </c>
      <c r="M12" s="146">
        <f t="shared" si="2"/>
        <v>0</v>
      </c>
      <c r="N12" s="146">
        <f t="shared" si="2"/>
        <v>0</v>
      </c>
      <c r="O12" s="146">
        <f t="shared" si="2"/>
        <v>0</v>
      </c>
      <c r="P12" s="146"/>
      <c r="Q12" s="146">
        <f t="shared" si="2"/>
        <v>0</v>
      </c>
      <c r="R12" s="343">
        <f>SUM(R8+R11)</f>
        <v>18450000</v>
      </c>
      <c r="S12" s="148"/>
      <c r="T12" s="148"/>
      <c r="U12" s="143"/>
    </row>
    <row r="13" spans="1:21" s="144" customFormat="1">
      <c r="A13" s="288" t="s">
        <v>902</v>
      </c>
      <c r="B13" s="146">
        <f>SUM(C13+D13)</f>
        <v>0</v>
      </c>
      <c r="C13" s="147"/>
      <c r="D13" s="147"/>
      <c r="E13" s="147"/>
      <c r="F13" s="147"/>
      <c r="G13" s="147"/>
      <c r="H13" s="147"/>
      <c r="I13" s="147"/>
      <c r="J13" s="147"/>
      <c r="K13" s="147"/>
      <c r="L13" s="147"/>
      <c r="M13" s="147"/>
      <c r="N13" s="147"/>
      <c r="O13" s="147"/>
      <c r="P13" s="147"/>
      <c r="Q13" s="147"/>
      <c r="R13" s="517">
        <f>SUM(E13:Q13)</f>
        <v>0</v>
      </c>
      <c r="S13" s="147"/>
      <c r="T13" s="147"/>
      <c r="U13" s="143"/>
    </row>
    <row r="14" spans="1:21" s="144" customFormat="1" ht="24">
      <c r="A14" s="289" t="s">
        <v>1643</v>
      </c>
      <c r="B14" s="146">
        <f>SUM(C14+D14)</f>
        <v>0</v>
      </c>
      <c r="C14" s="147"/>
      <c r="D14" s="147"/>
      <c r="E14" s="147"/>
      <c r="F14" s="147"/>
      <c r="G14" s="147"/>
      <c r="H14" s="147"/>
      <c r="I14" s="147"/>
      <c r="J14" s="147"/>
      <c r="K14" s="147"/>
      <c r="L14" s="147"/>
      <c r="M14" s="147"/>
      <c r="N14" s="147"/>
      <c r="O14" s="147"/>
      <c r="P14" s="147"/>
      <c r="Q14" s="147"/>
      <c r="R14" s="517">
        <f>SUM(E14:Q14)</f>
        <v>0</v>
      </c>
      <c r="S14" s="147"/>
      <c r="T14" s="147"/>
      <c r="U14" s="143"/>
    </row>
    <row r="15" spans="1:21" s="144" customFormat="1">
      <c r="A15" s="289" t="s">
        <v>1161</v>
      </c>
      <c r="B15" s="146">
        <f>SUM(C15+D15)</f>
        <v>0</v>
      </c>
      <c r="C15" s="147"/>
      <c r="D15" s="147"/>
      <c r="E15" s="147"/>
      <c r="F15" s="147"/>
      <c r="G15" s="147"/>
      <c r="H15" s="147"/>
      <c r="I15" s="147"/>
      <c r="J15" s="147"/>
      <c r="K15" s="147"/>
      <c r="L15" s="147"/>
      <c r="M15" s="147"/>
      <c r="N15" s="147"/>
      <c r="O15" s="147"/>
      <c r="P15" s="147"/>
      <c r="Q15" s="147"/>
      <c r="R15" s="517">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7">
        <f>SUM(E17:Q17)</f>
        <v>0</v>
      </c>
      <c r="S17" s="147">
        <f>R17</f>
        <v>0</v>
      </c>
      <c r="T17" s="147"/>
      <c r="U17" s="143"/>
    </row>
    <row r="18" spans="1:21" s="144" customFormat="1">
      <c r="A18" s="145" t="s">
        <v>599</v>
      </c>
      <c r="B18" s="146">
        <f t="shared" si="3"/>
        <v>5000000</v>
      </c>
      <c r="C18" s="147">
        <v>5000000</v>
      </c>
      <c r="D18" s="147"/>
      <c r="E18" s="147">
        <v>5000000</v>
      </c>
      <c r="F18" s="147"/>
      <c r="G18" s="147"/>
      <c r="H18" s="147"/>
      <c r="I18" s="147"/>
      <c r="J18" s="147"/>
      <c r="K18" s="147"/>
      <c r="L18" s="147"/>
      <c r="M18" s="147"/>
      <c r="N18" s="147"/>
      <c r="O18" s="147"/>
      <c r="P18" s="147"/>
      <c r="Q18" s="147"/>
      <c r="R18" s="517">
        <f>SUM(E18:Q18)</f>
        <v>5000000</v>
      </c>
      <c r="S18" s="147">
        <f>R18</f>
        <v>5000000</v>
      </c>
      <c r="T18" s="147"/>
      <c r="U18" s="143"/>
    </row>
    <row r="19" spans="1:21" s="144" customFormat="1">
      <c r="A19" s="145" t="s">
        <v>600</v>
      </c>
      <c r="B19" s="146">
        <f t="shared" si="3"/>
        <v>250000</v>
      </c>
      <c r="C19" s="147">
        <v>250000</v>
      </c>
      <c r="D19" s="147"/>
      <c r="E19" s="147">
        <v>250000</v>
      </c>
      <c r="F19" s="147"/>
      <c r="G19" s="147"/>
      <c r="H19" s="147"/>
      <c r="I19" s="147"/>
      <c r="J19" s="147"/>
      <c r="K19" s="147"/>
      <c r="L19" s="147"/>
      <c r="M19" s="147"/>
      <c r="N19" s="147"/>
      <c r="O19" s="147"/>
      <c r="P19" s="147"/>
      <c r="Q19" s="147"/>
      <c r="R19" s="517">
        <f>SUM(E19:Q19)</f>
        <v>250000</v>
      </c>
      <c r="S19" s="147">
        <f t="shared" ref="S19:S25" si="4">R19</f>
        <v>250000</v>
      </c>
      <c r="T19" s="147"/>
      <c r="U19" s="143"/>
    </row>
    <row r="20" spans="1:21" s="144" customFormat="1">
      <c r="A20" s="145" t="s">
        <v>137</v>
      </c>
      <c r="B20" s="146">
        <f t="shared" si="3"/>
        <v>200000</v>
      </c>
      <c r="C20" s="147">
        <v>200000</v>
      </c>
      <c r="D20" s="147"/>
      <c r="E20" s="147">
        <v>200000</v>
      </c>
      <c r="F20" s="147"/>
      <c r="G20" s="147"/>
      <c r="H20" s="147"/>
      <c r="I20" s="147"/>
      <c r="J20" s="147"/>
      <c r="K20" s="147"/>
      <c r="L20" s="147"/>
      <c r="M20" s="147"/>
      <c r="N20" s="147"/>
      <c r="O20" s="147"/>
      <c r="P20" s="147"/>
      <c r="Q20" s="147"/>
      <c r="R20" s="517">
        <f t="shared" ref="R20:R27" si="5">SUM(E20:Q20)</f>
        <v>200000</v>
      </c>
      <c r="S20" s="147">
        <f t="shared" si="4"/>
        <v>200000</v>
      </c>
      <c r="T20" s="147"/>
      <c r="U20" s="143"/>
    </row>
    <row r="21" spans="1:21" s="144" customFormat="1">
      <c r="A21" s="145" t="s">
        <v>138</v>
      </c>
      <c r="B21" s="146">
        <f t="shared" si="3"/>
        <v>200000</v>
      </c>
      <c r="C21" s="147">
        <v>200000</v>
      </c>
      <c r="D21" s="147"/>
      <c r="E21" s="147"/>
      <c r="F21" s="147">
        <v>200000</v>
      </c>
      <c r="G21" s="147"/>
      <c r="H21" s="147"/>
      <c r="I21" s="147"/>
      <c r="J21" s="147"/>
      <c r="K21" s="147"/>
      <c r="L21" s="147"/>
      <c r="M21" s="147"/>
      <c r="N21" s="147"/>
      <c r="O21" s="147"/>
      <c r="P21" s="147"/>
      <c r="Q21" s="147"/>
      <c r="R21" s="517">
        <f t="shared" si="5"/>
        <v>200000</v>
      </c>
      <c r="S21" s="147">
        <f t="shared" si="4"/>
        <v>200000</v>
      </c>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7">
        <f t="shared" si="5"/>
        <v>0</v>
      </c>
      <c r="S22" s="147">
        <f t="shared" si="4"/>
        <v>0</v>
      </c>
      <c r="T22" s="147"/>
      <c r="U22" s="143"/>
    </row>
    <row r="23" spans="1:21" s="144" customFormat="1">
      <c r="A23" s="145" t="s">
        <v>140</v>
      </c>
      <c r="B23" s="146">
        <f t="shared" si="3"/>
        <v>750000</v>
      </c>
      <c r="C23" s="147">
        <v>750000</v>
      </c>
      <c r="D23" s="147"/>
      <c r="E23" s="147">
        <v>750000</v>
      </c>
      <c r="F23" s="147"/>
      <c r="G23" s="147"/>
      <c r="H23" s="147"/>
      <c r="I23" s="147"/>
      <c r="J23" s="147"/>
      <c r="K23" s="147"/>
      <c r="L23" s="147"/>
      <c r="M23" s="147"/>
      <c r="N23" s="147"/>
      <c r="O23" s="147"/>
      <c r="P23" s="147"/>
      <c r="Q23" s="147"/>
      <c r="R23" s="517">
        <f t="shared" si="5"/>
        <v>750000</v>
      </c>
      <c r="S23" s="147">
        <f t="shared" si="4"/>
        <v>750000</v>
      </c>
      <c r="T23" s="147"/>
      <c r="U23" s="143"/>
    </row>
    <row r="24" spans="1:21" s="144" customFormat="1">
      <c r="A24" s="509" t="s">
        <v>1640</v>
      </c>
      <c r="B24" s="146">
        <f t="shared" si="3"/>
        <v>0</v>
      </c>
      <c r="C24" s="147"/>
      <c r="D24" s="147"/>
      <c r="E24" s="147"/>
      <c r="F24" s="147"/>
      <c r="G24" s="147"/>
      <c r="H24" s="147"/>
      <c r="I24" s="147"/>
      <c r="J24" s="147"/>
      <c r="K24" s="147"/>
      <c r="L24" s="147"/>
      <c r="M24" s="147"/>
      <c r="N24" s="147"/>
      <c r="O24" s="147"/>
      <c r="P24" s="147"/>
      <c r="Q24" s="147"/>
      <c r="R24" s="517">
        <f t="shared" si="5"/>
        <v>0</v>
      </c>
      <c r="S24" s="147">
        <f t="shared" si="4"/>
        <v>0</v>
      </c>
      <c r="T24" s="147"/>
      <c r="U24" s="143"/>
    </row>
    <row r="25" spans="1:21" s="144" customFormat="1">
      <c r="A25" s="1151" t="s">
        <v>2641</v>
      </c>
      <c r="B25" s="146">
        <f t="shared" si="3"/>
        <v>225000</v>
      </c>
      <c r="C25" s="147">
        <f>175000+50000</f>
        <v>225000</v>
      </c>
      <c r="D25" s="147"/>
      <c r="E25" s="147">
        <v>225000</v>
      </c>
      <c r="F25" s="147"/>
      <c r="G25" s="147"/>
      <c r="H25" s="147"/>
      <c r="I25" s="147"/>
      <c r="J25" s="147"/>
      <c r="K25" s="147"/>
      <c r="L25" s="147"/>
      <c r="M25" s="147"/>
      <c r="N25" s="147"/>
      <c r="O25" s="147"/>
      <c r="P25" s="147"/>
      <c r="Q25" s="147"/>
      <c r="R25" s="517">
        <f t="shared" si="5"/>
        <v>225000</v>
      </c>
      <c r="S25" s="147">
        <f t="shared" si="4"/>
        <v>225000</v>
      </c>
      <c r="T25" s="147"/>
      <c r="U25" s="143"/>
    </row>
    <row r="26" spans="1:21" s="144" customFormat="1">
      <c r="A26" s="149" t="s">
        <v>133</v>
      </c>
      <c r="B26" s="146">
        <f t="shared" si="3"/>
        <v>6625000</v>
      </c>
      <c r="C26" s="146">
        <f>SUM(C17:C25)</f>
        <v>6625000</v>
      </c>
      <c r="D26" s="146">
        <f t="shared" ref="D26:Q26" si="6">SUM(D17:D25)</f>
        <v>0</v>
      </c>
      <c r="E26" s="146">
        <f t="shared" si="6"/>
        <v>6425000</v>
      </c>
      <c r="F26" s="146">
        <f t="shared" si="6"/>
        <v>200000</v>
      </c>
      <c r="G26" s="146">
        <f t="shared" si="6"/>
        <v>0</v>
      </c>
      <c r="H26" s="146">
        <f t="shared" si="6"/>
        <v>0</v>
      </c>
      <c r="I26" s="146">
        <f t="shared" si="6"/>
        <v>0</v>
      </c>
      <c r="J26" s="146">
        <f t="shared" si="6"/>
        <v>0</v>
      </c>
      <c r="K26" s="146">
        <f t="shared" si="6"/>
        <v>0</v>
      </c>
      <c r="L26" s="146">
        <f t="shared" si="6"/>
        <v>0</v>
      </c>
      <c r="M26" s="146">
        <f t="shared" si="6"/>
        <v>0</v>
      </c>
      <c r="N26" s="146">
        <f t="shared" si="6"/>
        <v>0</v>
      </c>
      <c r="O26" s="146">
        <f t="shared" si="6"/>
        <v>0</v>
      </c>
      <c r="P26" s="146">
        <f t="shared" si="6"/>
        <v>0</v>
      </c>
      <c r="Q26" s="146">
        <f t="shared" si="6"/>
        <v>0</v>
      </c>
      <c r="R26" s="343">
        <f>SUM(R17:R25)</f>
        <v>6625000</v>
      </c>
      <c r="S26" s="150">
        <f>SUM(S17:S25)</f>
        <v>6625000</v>
      </c>
      <c r="T26" s="150">
        <f>SUM(T17:T25)</f>
        <v>0</v>
      </c>
      <c r="U26" s="143"/>
    </row>
    <row r="27" spans="1:21" s="144" customFormat="1">
      <c r="A27" s="149" t="s">
        <v>141</v>
      </c>
      <c r="B27" s="146">
        <f>SUM(C27:D27)</f>
        <v>344000</v>
      </c>
      <c r="C27" s="147">
        <v>344000</v>
      </c>
      <c r="D27" s="147"/>
      <c r="E27" s="147"/>
      <c r="F27" s="147">
        <v>344000</v>
      </c>
      <c r="G27" s="147"/>
      <c r="H27" s="147"/>
      <c r="I27" s="147"/>
      <c r="J27" s="147"/>
      <c r="K27" s="147"/>
      <c r="L27" s="147"/>
      <c r="M27" s="147"/>
      <c r="N27" s="147"/>
      <c r="O27" s="147"/>
      <c r="P27" s="147"/>
      <c r="Q27" s="147"/>
      <c r="R27" s="517">
        <f t="shared" si="5"/>
        <v>344000</v>
      </c>
      <c r="S27" s="147">
        <f>R27</f>
        <v>344000</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7">SUM(C29+D29)</f>
        <v>0</v>
      </c>
      <c r="C29" s="147"/>
      <c r="D29" s="147"/>
      <c r="E29" s="147"/>
      <c r="F29" s="147"/>
      <c r="G29" s="147"/>
      <c r="H29" s="147"/>
      <c r="I29" s="147"/>
      <c r="J29" s="147"/>
      <c r="K29" s="147"/>
      <c r="L29" s="147"/>
      <c r="M29" s="147"/>
      <c r="N29" s="147"/>
      <c r="O29" s="147"/>
      <c r="P29" s="147"/>
      <c r="Q29" s="147"/>
      <c r="R29" s="517">
        <f t="shared" ref="R29:R37" si="8">SUM(E29:Q29)</f>
        <v>0</v>
      </c>
      <c r="S29" s="147"/>
      <c r="T29" s="147"/>
      <c r="U29" s="143"/>
    </row>
    <row r="30" spans="1:21" s="144" customFormat="1">
      <c r="A30" s="145" t="s">
        <v>599</v>
      </c>
      <c r="B30" s="146">
        <f t="shared" si="7"/>
        <v>0</v>
      </c>
      <c r="C30" s="147"/>
      <c r="D30" s="147"/>
      <c r="E30" s="147"/>
      <c r="F30" s="147"/>
      <c r="G30" s="147"/>
      <c r="H30" s="147"/>
      <c r="I30" s="147"/>
      <c r="J30" s="147"/>
      <c r="K30" s="147"/>
      <c r="L30" s="147"/>
      <c r="M30" s="147"/>
      <c r="N30" s="147"/>
      <c r="O30" s="147"/>
      <c r="P30" s="147"/>
      <c r="Q30" s="147"/>
      <c r="R30" s="517">
        <f t="shared" si="8"/>
        <v>0</v>
      </c>
      <c r="S30" s="147"/>
      <c r="T30" s="147"/>
      <c r="U30" s="143"/>
    </row>
    <row r="31" spans="1:21" s="144" customFormat="1">
      <c r="A31" s="145" t="s">
        <v>600</v>
      </c>
      <c r="B31" s="146">
        <f t="shared" si="7"/>
        <v>0</v>
      </c>
      <c r="C31" s="147"/>
      <c r="D31" s="147"/>
      <c r="E31" s="147"/>
      <c r="F31" s="147"/>
      <c r="G31" s="147"/>
      <c r="H31" s="147"/>
      <c r="I31" s="147"/>
      <c r="J31" s="147"/>
      <c r="K31" s="147"/>
      <c r="L31" s="147"/>
      <c r="M31" s="147"/>
      <c r="N31" s="147"/>
      <c r="O31" s="147"/>
      <c r="P31" s="147"/>
      <c r="Q31" s="147"/>
      <c r="R31" s="517">
        <f t="shared" si="8"/>
        <v>0</v>
      </c>
      <c r="S31" s="147"/>
      <c r="T31" s="147"/>
      <c r="U31" s="143"/>
    </row>
    <row r="32" spans="1:21" s="144" customFormat="1">
      <c r="A32" s="145" t="s">
        <v>137</v>
      </c>
      <c r="B32" s="146">
        <f t="shared" si="7"/>
        <v>0</v>
      </c>
      <c r="C32" s="147"/>
      <c r="D32" s="147"/>
      <c r="E32" s="147"/>
      <c r="F32" s="147"/>
      <c r="G32" s="147"/>
      <c r="H32" s="147"/>
      <c r="I32" s="147"/>
      <c r="J32" s="147"/>
      <c r="K32" s="147"/>
      <c r="L32" s="147"/>
      <c r="M32" s="147"/>
      <c r="N32" s="147"/>
      <c r="O32" s="147"/>
      <c r="P32" s="147"/>
      <c r="Q32" s="147"/>
      <c r="R32" s="517">
        <f t="shared" si="8"/>
        <v>0</v>
      </c>
      <c r="S32" s="147"/>
      <c r="T32" s="147"/>
      <c r="U32" s="143"/>
    </row>
    <row r="33" spans="1:21" s="144" customFormat="1">
      <c r="A33" s="145" t="s">
        <v>138</v>
      </c>
      <c r="B33" s="146">
        <f t="shared" si="7"/>
        <v>0</v>
      </c>
      <c r="C33" s="147"/>
      <c r="D33" s="147"/>
      <c r="E33" s="147"/>
      <c r="F33" s="147"/>
      <c r="G33" s="147"/>
      <c r="H33" s="147"/>
      <c r="I33" s="147"/>
      <c r="J33" s="147"/>
      <c r="K33" s="147"/>
      <c r="L33" s="147"/>
      <c r="M33" s="147"/>
      <c r="N33" s="147"/>
      <c r="O33" s="147"/>
      <c r="P33" s="147"/>
      <c r="Q33" s="147"/>
      <c r="R33" s="517">
        <f t="shared" si="8"/>
        <v>0</v>
      </c>
      <c r="S33" s="147"/>
      <c r="T33" s="147"/>
      <c r="U33" s="143"/>
    </row>
    <row r="34" spans="1:21" s="144" customFormat="1">
      <c r="A34" s="145" t="s">
        <v>139</v>
      </c>
      <c r="B34" s="146">
        <f t="shared" si="7"/>
        <v>0</v>
      </c>
      <c r="C34" s="147"/>
      <c r="D34" s="147"/>
      <c r="E34" s="147"/>
      <c r="F34" s="147"/>
      <c r="G34" s="147"/>
      <c r="H34" s="147"/>
      <c r="I34" s="147"/>
      <c r="J34" s="147"/>
      <c r="K34" s="147"/>
      <c r="L34" s="147"/>
      <c r="M34" s="147"/>
      <c r="N34" s="147"/>
      <c r="O34" s="147"/>
      <c r="P34" s="147"/>
      <c r="Q34" s="147"/>
      <c r="R34" s="517">
        <f t="shared" si="8"/>
        <v>0</v>
      </c>
      <c r="S34" s="147"/>
      <c r="T34" s="147"/>
      <c r="U34" s="143"/>
    </row>
    <row r="35" spans="1:21" s="144" customFormat="1">
      <c r="A35" s="145" t="s">
        <v>140</v>
      </c>
      <c r="B35" s="146">
        <f t="shared" si="7"/>
        <v>0</v>
      </c>
      <c r="C35" s="147"/>
      <c r="D35" s="147"/>
      <c r="E35" s="147"/>
      <c r="F35" s="147"/>
      <c r="G35" s="147"/>
      <c r="H35" s="147"/>
      <c r="I35" s="147"/>
      <c r="J35" s="147"/>
      <c r="K35" s="147"/>
      <c r="L35" s="147"/>
      <c r="M35" s="147"/>
      <c r="N35" s="147"/>
      <c r="O35" s="147"/>
      <c r="P35" s="147"/>
      <c r="Q35" s="147"/>
      <c r="R35" s="517">
        <f t="shared" si="8"/>
        <v>0</v>
      </c>
      <c r="S35" s="147"/>
      <c r="T35" s="147"/>
      <c r="U35" s="143"/>
    </row>
    <row r="36" spans="1:21" s="144" customFormat="1">
      <c r="A36" s="284" t="s">
        <v>1640</v>
      </c>
      <c r="B36" s="146">
        <f t="shared" si="7"/>
        <v>0</v>
      </c>
      <c r="C36" s="147"/>
      <c r="D36" s="147"/>
      <c r="E36" s="147"/>
      <c r="F36" s="147"/>
      <c r="G36" s="147"/>
      <c r="H36" s="147"/>
      <c r="I36" s="147"/>
      <c r="J36" s="147"/>
      <c r="K36" s="147"/>
      <c r="L36" s="147"/>
      <c r="M36" s="147"/>
      <c r="N36" s="147"/>
      <c r="O36" s="147"/>
      <c r="P36" s="147"/>
      <c r="Q36" s="147"/>
      <c r="R36" s="517">
        <f t="shared" si="8"/>
        <v>0</v>
      </c>
      <c r="S36" s="147"/>
      <c r="T36" s="147"/>
      <c r="U36" s="143"/>
    </row>
    <row r="37" spans="1:21" s="144" customFormat="1">
      <c r="A37" s="1151" t="s">
        <v>34</v>
      </c>
      <c r="B37" s="146">
        <f t="shared" si="7"/>
        <v>0</v>
      </c>
      <c r="C37" s="147"/>
      <c r="D37" s="147"/>
      <c r="E37" s="147"/>
      <c r="F37" s="147"/>
      <c r="G37" s="147"/>
      <c r="H37" s="147"/>
      <c r="I37" s="147"/>
      <c r="J37" s="147"/>
      <c r="K37" s="147"/>
      <c r="L37" s="147"/>
      <c r="M37" s="147"/>
      <c r="N37" s="147"/>
      <c r="O37" s="147"/>
      <c r="P37" s="147"/>
      <c r="Q37" s="147"/>
      <c r="R37" s="517">
        <f t="shared" si="8"/>
        <v>0</v>
      </c>
      <c r="S37" s="147"/>
      <c r="T37" s="147"/>
      <c r="U37" s="143"/>
    </row>
    <row r="38" spans="1:21" s="144" customFormat="1">
      <c r="A38" s="149" t="s">
        <v>143</v>
      </c>
      <c r="B38" s="146">
        <f t="shared" si="7"/>
        <v>0</v>
      </c>
      <c r="C38" s="146">
        <f>SUM(C29:C37)</f>
        <v>0</v>
      </c>
      <c r="D38" s="146">
        <f t="shared" ref="D38:Q38" si="9">SUM(D29:D37)</f>
        <v>0</v>
      </c>
      <c r="E38" s="146">
        <f t="shared" si="9"/>
        <v>0</v>
      </c>
      <c r="F38" s="146">
        <f t="shared" si="9"/>
        <v>0</v>
      </c>
      <c r="G38" s="146">
        <f t="shared" si="9"/>
        <v>0</v>
      </c>
      <c r="H38" s="146">
        <f t="shared" si="9"/>
        <v>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43">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500000</v>
      </c>
      <c r="C40" s="147">
        <v>500000</v>
      </c>
      <c r="D40" s="147"/>
      <c r="E40" s="147">
        <v>500000</v>
      </c>
      <c r="F40" s="147"/>
      <c r="G40" s="147"/>
      <c r="H40" s="147"/>
      <c r="I40" s="147"/>
      <c r="J40" s="147"/>
      <c r="K40" s="147"/>
      <c r="L40" s="147"/>
      <c r="M40" s="147"/>
      <c r="N40" s="147"/>
      <c r="O40" s="147"/>
      <c r="P40" s="147"/>
      <c r="Q40" s="147"/>
      <c r="R40" s="517">
        <f>SUM(E40:Q40)</f>
        <v>500000</v>
      </c>
      <c r="S40" s="147">
        <f>R40</f>
        <v>500000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7">
        <f>SUM(E41:Q41)</f>
        <v>0</v>
      </c>
      <c r="S41" s="147"/>
      <c r="T41" s="147"/>
      <c r="U41" s="143"/>
    </row>
    <row r="42" spans="1:21" s="144" customFormat="1">
      <c r="A42" s="149" t="s">
        <v>147</v>
      </c>
      <c r="B42" s="146">
        <f>SUM(C42:D42)</f>
        <v>500000</v>
      </c>
      <c r="C42" s="146">
        <f>SUM(C39:C41)</f>
        <v>500000</v>
      </c>
      <c r="D42" s="146">
        <f>SUM(D39:D41)</f>
        <v>0</v>
      </c>
      <c r="E42" s="146">
        <f t="shared" ref="E42:T42" si="10">SUM(E40:E41)</f>
        <v>500000</v>
      </c>
      <c r="F42" s="146">
        <f t="shared" si="10"/>
        <v>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43">
        <f>SUM(R40:R41)</f>
        <v>500000</v>
      </c>
      <c r="S42" s="150">
        <f t="shared" si="10"/>
        <v>500000</v>
      </c>
      <c r="T42" s="150">
        <f t="shared" si="10"/>
        <v>0</v>
      </c>
      <c r="U42" s="143"/>
    </row>
    <row r="43" spans="1:21" s="144" customFormat="1">
      <c r="A43" s="149" t="s">
        <v>148</v>
      </c>
      <c r="B43" s="146">
        <f>SUM(C43:D43)</f>
        <v>275000</v>
      </c>
      <c r="C43" s="147">
        <v>275000</v>
      </c>
      <c r="D43" s="147"/>
      <c r="E43" s="147">
        <v>275000</v>
      </c>
      <c r="F43" s="147"/>
      <c r="G43" s="147"/>
      <c r="H43" s="147"/>
      <c r="I43" s="147"/>
      <c r="J43" s="147"/>
      <c r="K43" s="147"/>
      <c r="L43" s="147"/>
      <c r="M43" s="147"/>
      <c r="N43" s="147"/>
      <c r="O43" s="147"/>
      <c r="P43" s="147"/>
      <c r="Q43" s="147"/>
      <c r="R43" s="517">
        <f>SUM(E43:Q43)</f>
        <v>275000</v>
      </c>
      <c r="S43" s="147">
        <f>R43</f>
        <v>275000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1">SUM(C45+D45)</f>
        <v>810000</v>
      </c>
      <c r="C45" s="147">
        <v>810000</v>
      </c>
      <c r="D45" s="147"/>
      <c r="E45" s="147">
        <v>810000</v>
      </c>
      <c r="F45" s="147"/>
      <c r="G45" s="147"/>
      <c r="H45" s="147"/>
      <c r="I45" s="147"/>
      <c r="J45" s="147"/>
      <c r="K45" s="147"/>
      <c r="L45" s="147"/>
      <c r="M45" s="147"/>
      <c r="N45" s="147"/>
      <c r="O45" s="147"/>
      <c r="P45" s="147"/>
      <c r="Q45" s="147"/>
      <c r="R45" s="517">
        <f t="shared" ref="R45:R53" si="12">SUM(E45:Q45)</f>
        <v>810000</v>
      </c>
      <c r="S45" s="147">
        <v>97200</v>
      </c>
      <c r="T45" s="147"/>
      <c r="U45" s="143"/>
    </row>
    <row r="46" spans="1:21" s="144" customFormat="1">
      <c r="A46" s="145" t="s">
        <v>151</v>
      </c>
      <c r="B46" s="146">
        <f t="shared" si="11"/>
        <v>165000</v>
      </c>
      <c r="C46" s="147">
        <v>165000</v>
      </c>
      <c r="D46" s="147"/>
      <c r="E46" s="147">
        <v>165000</v>
      </c>
      <c r="F46" s="147"/>
      <c r="G46" s="147"/>
      <c r="H46" s="147"/>
      <c r="I46" s="147"/>
      <c r="J46" s="147"/>
      <c r="K46" s="147"/>
      <c r="L46" s="147"/>
      <c r="M46" s="147"/>
      <c r="N46" s="147"/>
      <c r="O46" s="147"/>
      <c r="P46" s="147"/>
      <c r="Q46" s="147"/>
      <c r="R46" s="517">
        <f t="shared" si="12"/>
        <v>165000</v>
      </c>
      <c r="S46" s="147">
        <f>R46</f>
        <v>165000</v>
      </c>
      <c r="T46" s="147"/>
      <c r="U46" s="143"/>
    </row>
    <row r="47" spans="1:21" s="144" customFormat="1">
      <c r="A47" s="186" t="s">
        <v>152</v>
      </c>
      <c r="B47" s="146">
        <f t="shared" si="11"/>
        <v>0</v>
      </c>
      <c r="C47" s="147"/>
      <c r="D47" s="147"/>
      <c r="E47" s="147"/>
      <c r="F47" s="147"/>
      <c r="G47" s="147"/>
      <c r="H47" s="147"/>
      <c r="I47" s="147"/>
      <c r="J47" s="147"/>
      <c r="K47" s="147"/>
      <c r="L47" s="147"/>
      <c r="M47" s="147"/>
      <c r="N47" s="147"/>
      <c r="O47" s="147"/>
      <c r="P47" s="147"/>
      <c r="Q47" s="147"/>
      <c r="R47" s="517">
        <f t="shared" si="12"/>
        <v>0</v>
      </c>
      <c r="S47" s="147">
        <f t="shared" ref="S47:S53" si="13">R47</f>
        <v>0</v>
      </c>
      <c r="T47" s="147"/>
      <c r="U47" s="143"/>
    </row>
    <row r="48" spans="1:21" s="144" customFormat="1">
      <c r="A48" s="145" t="s">
        <v>153</v>
      </c>
      <c r="B48" s="146">
        <f t="shared" si="11"/>
        <v>0</v>
      </c>
      <c r="C48" s="147"/>
      <c r="D48" s="147"/>
      <c r="E48" s="147"/>
      <c r="F48" s="147"/>
      <c r="G48" s="147"/>
      <c r="H48" s="147"/>
      <c r="I48" s="147"/>
      <c r="J48" s="147"/>
      <c r="K48" s="147"/>
      <c r="L48" s="147"/>
      <c r="M48" s="147"/>
      <c r="N48" s="147"/>
      <c r="O48" s="147"/>
      <c r="P48" s="147"/>
      <c r="Q48" s="147"/>
      <c r="R48" s="517">
        <f t="shared" si="12"/>
        <v>0</v>
      </c>
      <c r="S48" s="147">
        <f t="shared" si="13"/>
        <v>0</v>
      </c>
      <c r="T48" s="147"/>
      <c r="U48" s="143"/>
    </row>
    <row r="49" spans="1:21" s="144" customFormat="1">
      <c r="A49" s="145" t="s">
        <v>57</v>
      </c>
      <c r="B49" s="146">
        <f t="shared" si="11"/>
        <v>175000</v>
      </c>
      <c r="C49" s="147">
        <v>175000</v>
      </c>
      <c r="D49" s="147"/>
      <c r="E49" s="147"/>
      <c r="F49" s="147">
        <v>175000</v>
      </c>
      <c r="G49" s="147"/>
      <c r="H49" s="147"/>
      <c r="I49" s="147"/>
      <c r="J49" s="147"/>
      <c r="K49" s="147"/>
      <c r="L49" s="147"/>
      <c r="M49" s="147"/>
      <c r="N49" s="147"/>
      <c r="O49" s="147"/>
      <c r="P49" s="147"/>
      <c r="Q49" s="147"/>
      <c r="R49" s="517">
        <f t="shared" si="12"/>
        <v>175000</v>
      </c>
      <c r="S49" s="147">
        <v>17500</v>
      </c>
      <c r="T49" s="147"/>
      <c r="U49" s="143"/>
    </row>
    <row r="50" spans="1:21" s="144" customFormat="1">
      <c r="A50" s="145" t="s">
        <v>156</v>
      </c>
      <c r="B50" s="146">
        <f t="shared" si="11"/>
        <v>75000</v>
      </c>
      <c r="C50" s="147">
        <v>75000</v>
      </c>
      <c r="D50" s="147"/>
      <c r="E50" s="147"/>
      <c r="F50" s="147">
        <v>75000</v>
      </c>
      <c r="G50" s="147"/>
      <c r="H50" s="147"/>
      <c r="I50" s="147"/>
      <c r="J50" s="147"/>
      <c r="K50" s="147"/>
      <c r="L50" s="147"/>
      <c r="M50" s="147"/>
      <c r="N50" s="147"/>
      <c r="O50" s="147"/>
      <c r="P50" s="147"/>
      <c r="Q50" s="147"/>
      <c r="R50" s="517">
        <f t="shared" si="12"/>
        <v>75000</v>
      </c>
      <c r="S50" s="147">
        <f t="shared" si="13"/>
        <v>75000</v>
      </c>
      <c r="T50" s="147"/>
      <c r="U50" s="143"/>
    </row>
    <row r="51" spans="1:21" s="144" customFormat="1">
      <c r="A51" s="284" t="s">
        <v>154</v>
      </c>
      <c r="B51" s="146">
        <f t="shared" si="11"/>
        <v>50000</v>
      </c>
      <c r="C51" s="147">
        <v>50000</v>
      </c>
      <c r="D51" s="147"/>
      <c r="E51" s="147"/>
      <c r="F51" s="147">
        <v>50000</v>
      </c>
      <c r="G51" s="147"/>
      <c r="H51" s="147"/>
      <c r="I51" s="147"/>
      <c r="J51" s="147"/>
      <c r="K51" s="147"/>
      <c r="L51" s="147"/>
      <c r="M51" s="147"/>
      <c r="N51" s="147"/>
      <c r="O51" s="147"/>
      <c r="P51" s="147"/>
      <c r="Q51" s="147"/>
      <c r="R51" s="517">
        <f t="shared" si="12"/>
        <v>50000</v>
      </c>
      <c r="S51" s="147">
        <f t="shared" si="13"/>
        <v>50000</v>
      </c>
      <c r="T51" s="147"/>
      <c r="U51" s="143"/>
    </row>
    <row r="52" spans="1:21" s="144" customFormat="1">
      <c r="A52" s="145" t="s">
        <v>155</v>
      </c>
      <c r="B52" s="146">
        <f t="shared" si="11"/>
        <v>75000</v>
      </c>
      <c r="C52" s="147">
        <v>75000</v>
      </c>
      <c r="D52" s="147"/>
      <c r="E52" s="147"/>
      <c r="F52" s="147">
        <v>75000</v>
      </c>
      <c r="G52" s="147"/>
      <c r="H52" s="147"/>
      <c r="I52" s="147"/>
      <c r="J52" s="147"/>
      <c r="K52" s="147"/>
      <c r="L52" s="147"/>
      <c r="M52" s="147"/>
      <c r="N52" s="147"/>
      <c r="O52" s="147"/>
      <c r="P52" s="147"/>
      <c r="Q52" s="147"/>
      <c r="R52" s="517">
        <f t="shared" si="12"/>
        <v>75000</v>
      </c>
      <c r="S52" s="147">
        <f t="shared" si="13"/>
        <v>75000</v>
      </c>
      <c r="T52" s="147"/>
      <c r="U52" s="143"/>
    </row>
    <row r="53" spans="1:21" s="144" customFormat="1">
      <c r="A53" s="1151" t="s">
        <v>2642</v>
      </c>
      <c r="B53" s="146">
        <f t="shared" si="11"/>
        <v>50000</v>
      </c>
      <c r="C53" s="147">
        <v>50000</v>
      </c>
      <c r="D53" s="147"/>
      <c r="E53" s="147"/>
      <c r="F53" s="147">
        <v>50000</v>
      </c>
      <c r="G53" s="147"/>
      <c r="H53" s="147"/>
      <c r="I53" s="147"/>
      <c r="J53" s="147"/>
      <c r="K53" s="147"/>
      <c r="L53" s="147"/>
      <c r="M53" s="147"/>
      <c r="N53" s="147"/>
      <c r="O53" s="147"/>
      <c r="P53" s="147"/>
      <c r="Q53" s="147"/>
      <c r="R53" s="517">
        <f t="shared" si="12"/>
        <v>50000</v>
      </c>
      <c r="S53" s="147">
        <f t="shared" si="13"/>
        <v>50000</v>
      </c>
      <c r="T53" s="147"/>
      <c r="U53" s="143"/>
    </row>
    <row r="54" spans="1:21" s="153" customFormat="1">
      <c r="A54" s="149" t="s">
        <v>157</v>
      </c>
      <c r="B54" s="150">
        <f>SUM(C54:D54)</f>
        <v>1400000</v>
      </c>
      <c r="C54" s="150">
        <f t="shared" ref="C54:T54" si="14">SUM(C45:C53)</f>
        <v>1400000</v>
      </c>
      <c r="D54" s="150">
        <f t="shared" si="14"/>
        <v>0</v>
      </c>
      <c r="E54" s="150">
        <f t="shared" si="14"/>
        <v>975000</v>
      </c>
      <c r="F54" s="150">
        <f t="shared" si="14"/>
        <v>425000</v>
      </c>
      <c r="G54" s="150">
        <f t="shared" si="14"/>
        <v>0</v>
      </c>
      <c r="H54" s="150">
        <f t="shared" si="14"/>
        <v>0</v>
      </c>
      <c r="I54" s="150">
        <f t="shared" si="14"/>
        <v>0</v>
      </c>
      <c r="J54" s="150">
        <f t="shared" si="14"/>
        <v>0</v>
      </c>
      <c r="K54" s="150">
        <f t="shared" si="14"/>
        <v>0</v>
      </c>
      <c r="L54" s="150">
        <f t="shared" si="14"/>
        <v>0</v>
      </c>
      <c r="M54" s="150">
        <f t="shared" si="14"/>
        <v>0</v>
      </c>
      <c r="N54" s="150">
        <f t="shared" si="14"/>
        <v>0</v>
      </c>
      <c r="O54" s="150">
        <f t="shared" si="14"/>
        <v>0</v>
      </c>
      <c r="P54" s="150">
        <f t="shared" si="14"/>
        <v>0</v>
      </c>
      <c r="Q54" s="150">
        <f t="shared" si="14"/>
        <v>0</v>
      </c>
      <c r="R54" s="343">
        <f t="shared" si="14"/>
        <v>1400000</v>
      </c>
      <c r="S54" s="150">
        <f t="shared" si="14"/>
        <v>529700</v>
      </c>
      <c r="T54" s="150">
        <f t="shared" si="14"/>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5">SUM(C56+D56)</f>
        <v>76511</v>
      </c>
      <c r="C56" s="147">
        <v>76511</v>
      </c>
      <c r="D56" s="147"/>
      <c r="E56" s="147"/>
      <c r="F56" s="147">
        <f>C56</f>
        <v>76511</v>
      </c>
      <c r="G56" s="147"/>
      <c r="H56" s="147"/>
      <c r="I56" s="147"/>
      <c r="J56" s="147"/>
      <c r="K56" s="147"/>
      <c r="L56" s="147"/>
      <c r="M56" s="147"/>
      <c r="N56" s="147"/>
      <c r="O56" s="147"/>
      <c r="P56" s="147"/>
      <c r="Q56" s="147"/>
      <c r="R56" s="517">
        <f t="shared" ref="R56:R61" si="16">SUM(E56:Q56)</f>
        <v>76511</v>
      </c>
      <c r="S56" s="148"/>
      <c r="T56" s="148"/>
      <c r="U56" s="143"/>
    </row>
    <row r="57" spans="1:21" s="192" customFormat="1">
      <c r="A57" s="186" t="s">
        <v>152</v>
      </c>
      <c r="B57" s="193">
        <f t="shared" si="15"/>
        <v>0</v>
      </c>
      <c r="C57" s="190"/>
      <c r="D57" s="190"/>
      <c r="E57" s="190"/>
      <c r="F57" s="190"/>
      <c r="G57" s="190"/>
      <c r="H57" s="190"/>
      <c r="I57" s="190"/>
      <c r="J57" s="190"/>
      <c r="K57" s="190"/>
      <c r="L57" s="190"/>
      <c r="M57" s="190"/>
      <c r="N57" s="190"/>
      <c r="O57" s="190"/>
      <c r="P57" s="190"/>
      <c r="Q57" s="190"/>
      <c r="R57" s="517">
        <f t="shared" si="16"/>
        <v>0</v>
      </c>
      <c r="S57" s="194"/>
      <c r="T57" s="194"/>
      <c r="U57" s="191"/>
    </row>
    <row r="58" spans="1:21" s="144" customFormat="1">
      <c r="A58" s="145" t="s">
        <v>156</v>
      </c>
      <c r="B58" s="146">
        <f t="shared" si="15"/>
        <v>0</v>
      </c>
      <c r="C58" s="147"/>
      <c r="D58" s="147"/>
      <c r="E58" s="147"/>
      <c r="F58" s="147"/>
      <c r="G58" s="147"/>
      <c r="H58" s="147"/>
      <c r="I58" s="147"/>
      <c r="J58" s="147"/>
      <c r="K58" s="147"/>
      <c r="L58" s="147"/>
      <c r="M58" s="147"/>
      <c r="N58" s="147"/>
      <c r="O58" s="147"/>
      <c r="P58" s="147"/>
      <c r="Q58" s="147"/>
      <c r="R58" s="517">
        <f t="shared" si="16"/>
        <v>0</v>
      </c>
      <c r="S58" s="148"/>
      <c r="T58" s="148"/>
      <c r="U58" s="143"/>
    </row>
    <row r="59" spans="1:21" s="144" customFormat="1">
      <c r="A59" s="284" t="s">
        <v>154</v>
      </c>
      <c r="B59" s="146">
        <f t="shared" si="15"/>
        <v>0</v>
      </c>
      <c r="C59" s="147"/>
      <c r="D59" s="147"/>
      <c r="E59" s="147"/>
      <c r="F59" s="147"/>
      <c r="G59" s="147"/>
      <c r="H59" s="147"/>
      <c r="I59" s="147"/>
      <c r="J59" s="147"/>
      <c r="K59" s="147"/>
      <c r="L59" s="147"/>
      <c r="M59" s="147"/>
      <c r="N59" s="147"/>
      <c r="O59" s="147"/>
      <c r="P59" s="147"/>
      <c r="Q59" s="147"/>
      <c r="R59" s="517">
        <f t="shared" si="16"/>
        <v>0</v>
      </c>
      <c r="S59" s="148"/>
      <c r="T59" s="148"/>
      <c r="U59" s="143"/>
    </row>
    <row r="60" spans="1:21" s="144" customFormat="1">
      <c r="A60" s="145" t="s">
        <v>155</v>
      </c>
      <c r="B60" s="146">
        <f t="shared" si="15"/>
        <v>0</v>
      </c>
      <c r="C60" s="147"/>
      <c r="D60" s="147"/>
      <c r="E60" s="147"/>
      <c r="F60" s="147"/>
      <c r="G60" s="147"/>
      <c r="H60" s="147"/>
      <c r="I60" s="147"/>
      <c r="J60" s="147"/>
      <c r="K60" s="147"/>
      <c r="L60" s="147"/>
      <c r="M60" s="147"/>
      <c r="N60" s="147"/>
      <c r="O60" s="147"/>
      <c r="P60" s="147"/>
      <c r="Q60" s="147"/>
      <c r="R60" s="517">
        <f t="shared" si="16"/>
        <v>0</v>
      </c>
      <c r="S60" s="148"/>
      <c r="T60" s="148"/>
      <c r="U60" s="143"/>
    </row>
    <row r="61" spans="1:21" s="144" customFormat="1">
      <c r="A61" s="1151" t="s">
        <v>2643</v>
      </c>
      <c r="B61" s="146">
        <f t="shared" si="15"/>
        <v>490000</v>
      </c>
      <c r="C61" s="147">
        <v>490000</v>
      </c>
      <c r="D61" s="147"/>
      <c r="E61" s="147"/>
      <c r="F61" s="147">
        <f>C61</f>
        <v>490000</v>
      </c>
      <c r="G61" s="147"/>
      <c r="H61" s="147"/>
      <c r="I61" s="147"/>
      <c r="J61" s="147"/>
      <c r="K61" s="147"/>
      <c r="L61" s="147"/>
      <c r="M61" s="147"/>
      <c r="N61" s="147"/>
      <c r="O61" s="147"/>
      <c r="P61" s="147"/>
      <c r="Q61" s="147"/>
      <c r="R61" s="517">
        <f t="shared" si="16"/>
        <v>490000</v>
      </c>
      <c r="S61" s="148"/>
      <c r="T61" s="148"/>
      <c r="U61" s="143"/>
    </row>
    <row r="62" spans="1:21" s="144" customFormat="1" ht="13.7" customHeight="1">
      <c r="A62" s="149" t="s">
        <v>301</v>
      </c>
      <c r="B62" s="146">
        <f>SUM(C62:D62)</f>
        <v>566511</v>
      </c>
      <c r="C62" s="146">
        <f t="shared" ref="C62:R62" si="17">SUM(C56:C61)</f>
        <v>566511</v>
      </c>
      <c r="D62" s="146">
        <f t="shared" si="17"/>
        <v>0</v>
      </c>
      <c r="E62" s="146">
        <f t="shared" si="17"/>
        <v>0</v>
      </c>
      <c r="F62" s="146">
        <f t="shared" si="17"/>
        <v>566511</v>
      </c>
      <c r="G62" s="146">
        <f t="shared" si="17"/>
        <v>0</v>
      </c>
      <c r="H62" s="146">
        <f t="shared" si="17"/>
        <v>0</v>
      </c>
      <c r="I62" s="146">
        <f t="shared" si="17"/>
        <v>0</v>
      </c>
      <c r="J62" s="146">
        <f t="shared" si="17"/>
        <v>0</v>
      </c>
      <c r="K62" s="146">
        <f t="shared" si="17"/>
        <v>0</v>
      </c>
      <c r="L62" s="146">
        <f t="shared" si="17"/>
        <v>0</v>
      </c>
      <c r="M62" s="146">
        <f t="shared" si="17"/>
        <v>0</v>
      </c>
      <c r="N62" s="146">
        <f t="shared" si="17"/>
        <v>0</v>
      </c>
      <c r="O62" s="146">
        <f t="shared" si="17"/>
        <v>0</v>
      </c>
      <c r="P62" s="146">
        <f t="shared" si="17"/>
        <v>0</v>
      </c>
      <c r="Q62" s="146">
        <f t="shared" si="17"/>
        <v>0</v>
      </c>
      <c r="R62" s="343">
        <f t="shared" si="17"/>
        <v>566511</v>
      </c>
      <c r="S62" s="148"/>
      <c r="T62" s="148"/>
      <c r="U62" s="143"/>
    </row>
    <row r="63" spans="1:21" s="144" customFormat="1">
      <c r="A63" s="154" t="s">
        <v>302</v>
      </c>
      <c r="B63" s="146">
        <f t="shared" ref="B63:R63" si="18">SUM(B8+B11+B13+B14+B15+B26+B27+B38+B42+B43+B54+B62)</f>
        <v>28160511</v>
      </c>
      <c r="C63" s="146">
        <f t="shared" si="18"/>
        <v>28160511</v>
      </c>
      <c r="D63" s="146">
        <f t="shared" si="18"/>
        <v>0</v>
      </c>
      <c r="E63" s="146">
        <f t="shared" si="18"/>
        <v>8344466</v>
      </c>
      <c r="F63" s="146">
        <f t="shared" si="18"/>
        <v>7651136</v>
      </c>
      <c r="G63" s="146">
        <f t="shared" si="18"/>
        <v>133469</v>
      </c>
      <c r="H63" s="146">
        <f t="shared" si="18"/>
        <v>7281416</v>
      </c>
      <c r="I63" s="146">
        <f t="shared" si="18"/>
        <v>4750024</v>
      </c>
      <c r="J63" s="146">
        <f t="shared" si="18"/>
        <v>0</v>
      </c>
      <c r="K63" s="146">
        <f t="shared" si="18"/>
        <v>0</v>
      </c>
      <c r="L63" s="146">
        <f t="shared" si="18"/>
        <v>0</v>
      </c>
      <c r="M63" s="146">
        <f t="shared" si="18"/>
        <v>0</v>
      </c>
      <c r="N63" s="146">
        <f t="shared" si="18"/>
        <v>0</v>
      </c>
      <c r="O63" s="146">
        <f t="shared" si="18"/>
        <v>0</v>
      </c>
      <c r="P63" s="146">
        <f t="shared" si="18"/>
        <v>0</v>
      </c>
      <c r="Q63" s="146">
        <f t="shared" si="18"/>
        <v>0</v>
      </c>
      <c r="R63" s="343">
        <f t="shared" si="18"/>
        <v>28160511</v>
      </c>
      <c r="S63" s="146">
        <f>SUM(S10+S13+S14+S15+S26+S27+S38+S42+S43+S54)</f>
        <v>8273700</v>
      </c>
      <c r="T63" s="146">
        <f>SUM(T11+T13+T14+T15+T26+T27+T38+T42+T43+T54)</f>
        <v>15440000</v>
      </c>
      <c r="U63" s="143"/>
    </row>
    <row r="64" spans="1:21" s="144" customFormat="1" ht="24">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150000</v>
      </c>
      <c r="C65" s="147">
        <v>150000</v>
      </c>
      <c r="D65" s="147"/>
      <c r="E65" s="147"/>
      <c r="F65" s="147"/>
      <c r="G65" s="147"/>
      <c r="H65" s="147">
        <v>150000</v>
      </c>
      <c r="I65" s="147"/>
      <c r="J65" s="147"/>
      <c r="K65" s="147"/>
      <c r="L65" s="147"/>
      <c r="M65" s="147"/>
      <c r="N65" s="147"/>
      <c r="O65" s="147"/>
      <c r="P65" s="147"/>
      <c r="Q65" s="147"/>
      <c r="R65" s="517">
        <f>SUM(E65:Q65)</f>
        <v>150000</v>
      </c>
      <c r="S65" s="147">
        <v>127500</v>
      </c>
      <c r="T65" s="147"/>
      <c r="U65" s="143"/>
    </row>
    <row r="66" spans="1:21" s="144" customFormat="1" ht="24" customHeight="1">
      <c r="A66" s="284" t="s">
        <v>1641</v>
      </c>
      <c r="B66" s="146">
        <f>SUM(C66+D66)</f>
        <v>0</v>
      </c>
      <c r="C66" s="147"/>
      <c r="D66" s="147"/>
      <c r="E66" s="147"/>
      <c r="F66" s="147"/>
      <c r="G66" s="147"/>
      <c r="H66" s="147"/>
      <c r="I66" s="147"/>
      <c r="J66" s="147"/>
      <c r="K66" s="147"/>
      <c r="L66" s="147"/>
      <c r="M66" s="147"/>
      <c r="N66" s="147"/>
      <c r="O66" s="147"/>
      <c r="P66" s="147"/>
      <c r="Q66" s="147"/>
      <c r="R66" s="517">
        <f>SUM(E66:Q66)</f>
        <v>0</v>
      </c>
      <c r="S66" s="147"/>
      <c r="T66" s="147"/>
      <c r="U66" s="143"/>
    </row>
    <row r="67" spans="1:21" s="144" customFormat="1" ht="24" customHeight="1">
      <c r="A67" s="284" t="s">
        <v>1642</v>
      </c>
      <c r="B67" s="146">
        <f>SUM(C67+D67)</f>
        <v>0</v>
      </c>
      <c r="C67" s="147"/>
      <c r="D67" s="147"/>
      <c r="E67" s="147"/>
      <c r="F67" s="147"/>
      <c r="G67" s="147"/>
      <c r="H67" s="147"/>
      <c r="I67" s="147"/>
      <c r="J67" s="147"/>
      <c r="K67" s="147"/>
      <c r="L67" s="147"/>
      <c r="M67" s="147"/>
      <c r="N67" s="147"/>
      <c r="O67" s="147"/>
      <c r="P67" s="147"/>
      <c r="Q67" s="147"/>
      <c r="R67" s="517">
        <f>SUM(E67:Q67)</f>
        <v>0</v>
      </c>
      <c r="S67" s="147"/>
      <c r="T67" s="147"/>
      <c r="U67" s="143"/>
    </row>
    <row r="68" spans="1:21" s="144" customFormat="1" ht="12" customHeight="1">
      <c r="A68" s="284" t="s">
        <v>1648</v>
      </c>
      <c r="B68" s="146">
        <f>SUM(C68+D68)</f>
        <v>0</v>
      </c>
      <c r="C68" s="147"/>
      <c r="D68" s="147"/>
      <c r="E68" s="147"/>
      <c r="F68" s="147"/>
      <c r="G68" s="147"/>
      <c r="H68" s="147"/>
      <c r="I68" s="147"/>
      <c r="J68" s="147"/>
      <c r="K68" s="147"/>
      <c r="L68" s="147"/>
      <c r="M68" s="147"/>
      <c r="N68" s="147"/>
      <c r="O68" s="147"/>
      <c r="P68" s="147"/>
      <c r="Q68" s="147"/>
      <c r="R68" s="517">
        <f>SUM(E68:Q68)</f>
        <v>0</v>
      </c>
      <c r="S68" s="147"/>
      <c r="T68" s="147"/>
      <c r="U68" s="143"/>
    </row>
    <row r="69" spans="1:21" s="144" customFormat="1">
      <c r="A69" s="1151" t="s">
        <v>2644</v>
      </c>
      <c r="B69" s="146">
        <f>SUM(C69+D69)</f>
        <v>100000</v>
      </c>
      <c r="C69" s="147">
        <v>100000</v>
      </c>
      <c r="D69" s="147"/>
      <c r="E69" s="147"/>
      <c r="F69" s="147"/>
      <c r="G69" s="147"/>
      <c r="H69" s="147">
        <v>100000</v>
      </c>
      <c r="I69" s="147"/>
      <c r="J69" s="147"/>
      <c r="K69" s="147"/>
      <c r="L69" s="147"/>
      <c r="M69" s="147"/>
      <c r="N69" s="147"/>
      <c r="O69" s="147"/>
      <c r="P69" s="147"/>
      <c r="Q69" s="147"/>
      <c r="R69" s="517">
        <f>SUM(E69:Q69)</f>
        <v>100000</v>
      </c>
      <c r="S69" s="147">
        <v>30000</v>
      </c>
      <c r="T69" s="147"/>
      <c r="U69" s="143"/>
    </row>
    <row r="70" spans="1:21" s="144" customFormat="1">
      <c r="A70" s="149" t="s">
        <v>1645</v>
      </c>
      <c r="B70" s="146">
        <f>SUM(C70:D70)</f>
        <v>250000</v>
      </c>
      <c r="C70" s="146">
        <f>SUM(C65:C69)</f>
        <v>250000</v>
      </c>
      <c r="D70" s="146">
        <f>SUM(D65:D69)</f>
        <v>0</v>
      </c>
      <c r="E70" s="146">
        <f t="shared" ref="E70:T70" si="19">SUM(E65:E69)</f>
        <v>0</v>
      </c>
      <c r="F70" s="146">
        <f t="shared" si="19"/>
        <v>0</v>
      </c>
      <c r="G70" s="146">
        <f t="shared" si="19"/>
        <v>0</v>
      </c>
      <c r="H70" s="146">
        <f t="shared" si="19"/>
        <v>250000</v>
      </c>
      <c r="I70" s="146">
        <f t="shared" si="19"/>
        <v>0</v>
      </c>
      <c r="J70" s="146">
        <f t="shared" si="19"/>
        <v>0</v>
      </c>
      <c r="K70" s="146">
        <f t="shared" si="19"/>
        <v>0</v>
      </c>
      <c r="L70" s="146">
        <f t="shared" si="19"/>
        <v>0</v>
      </c>
      <c r="M70" s="146">
        <f t="shared" si="19"/>
        <v>0</v>
      </c>
      <c r="N70" s="146">
        <f t="shared" si="19"/>
        <v>0</v>
      </c>
      <c r="O70" s="146">
        <f t="shared" si="19"/>
        <v>0</v>
      </c>
      <c r="P70" s="146">
        <f t="shared" si="19"/>
        <v>0</v>
      </c>
      <c r="Q70" s="146">
        <f t="shared" si="19"/>
        <v>0</v>
      </c>
      <c r="R70" s="343">
        <f t="shared" si="19"/>
        <v>250000</v>
      </c>
      <c r="S70" s="150">
        <f t="shared" si="19"/>
        <v>157500</v>
      </c>
      <c r="T70" s="150">
        <f t="shared" si="19"/>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7">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7">
        <f>SUM(E73:Q73)</f>
        <v>0</v>
      </c>
      <c r="S73" s="148"/>
      <c r="T73" s="148"/>
      <c r="U73" s="143"/>
    </row>
    <row r="74" spans="1:21" s="144" customFormat="1">
      <c r="A74" s="451" t="s">
        <v>986</v>
      </c>
      <c r="B74" s="146">
        <f>SUM(C74+D74)</f>
        <v>0</v>
      </c>
      <c r="C74" s="147"/>
      <c r="D74" s="147"/>
      <c r="E74" s="147"/>
      <c r="F74" s="147"/>
      <c r="G74" s="147"/>
      <c r="H74" s="147"/>
      <c r="I74" s="147"/>
      <c r="J74" s="147"/>
      <c r="K74" s="147"/>
      <c r="L74" s="147"/>
      <c r="M74" s="147"/>
      <c r="N74" s="147"/>
      <c r="O74" s="147"/>
      <c r="P74" s="147"/>
      <c r="Q74" s="147"/>
      <c r="R74" s="517">
        <f>SUM(E74:Q74)</f>
        <v>0</v>
      </c>
      <c r="S74" s="148"/>
      <c r="T74" s="148"/>
      <c r="U74" s="143"/>
    </row>
    <row r="75" spans="1:21" s="144" customFormat="1">
      <c r="A75" s="145" t="s">
        <v>605</v>
      </c>
      <c r="B75" s="146">
        <f>SUM(C75+D75)</f>
        <v>334782</v>
      </c>
      <c r="C75" s="147">
        <v>334782</v>
      </c>
      <c r="D75" s="147"/>
      <c r="E75" s="147"/>
      <c r="F75" s="147"/>
      <c r="G75" s="147"/>
      <c r="H75" s="147">
        <f>C75</f>
        <v>334782</v>
      </c>
      <c r="I75" s="147"/>
      <c r="J75" s="147"/>
      <c r="K75" s="147"/>
      <c r="L75" s="147"/>
      <c r="M75" s="147"/>
      <c r="N75" s="147"/>
      <c r="O75" s="147"/>
      <c r="P75" s="147"/>
      <c r="Q75" s="147"/>
      <c r="R75" s="517">
        <f>SUM(E75:Q75)</f>
        <v>334782</v>
      </c>
      <c r="S75" s="148"/>
      <c r="T75" s="148"/>
      <c r="U75" s="143"/>
    </row>
    <row r="76" spans="1:21" s="144" customFormat="1">
      <c r="A76" s="1151" t="s">
        <v>34</v>
      </c>
      <c r="B76" s="146">
        <f>SUM(C76+D76)</f>
        <v>0</v>
      </c>
      <c r="C76" s="147"/>
      <c r="D76" s="147"/>
      <c r="E76" s="147"/>
      <c r="F76" s="147"/>
      <c r="G76" s="147"/>
      <c r="H76" s="147"/>
      <c r="I76" s="147"/>
      <c r="J76" s="147"/>
      <c r="K76" s="147"/>
      <c r="L76" s="147"/>
      <c r="M76" s="147"/>
      <c r="N76" s="147"/>
      <c r="O76" s="147"/>
      <c r="P76" s="147"/>
      <c r="Q76" s="147"/>
      <c r="R76" s="517">
        <f>SUM(E76:Q76)</f>
        <v>0</v>
      </c>
      <c r="S76" s="148"/>
      <c r="T76" s="148"/>
      <c r="U76" s="143"/>
    </row>
    <row r="77" spans="1:21" s="144" customFormat="1">
      <c r="A77" s="149" t="s">
        <v>606</v>
      </c>
      <c r="B77" s="146">
        <f>SUM(C77:D77)</f>
        <v>334782</v>
      </c>
      <c r="C77" s="146">
        <f>SUM(C72:C76)</f>
        <v>334782</v>
      </c>
      <c r="D77" s="146">
        <f>SUM(D72:D76)</f>
        <v>0</v>
      </c>
      <c r="E77" s="146">
        <f t="shared" ref="E77:Q77" si="20">SUM(E72:E76)</f>
        <v>0</v>
      </c>
      <c r="F77" s="146">
        <f t="shared" si="20"/>
        <v>0</v>
      </c>
      <c r="G77" s="146">
        <f t="shared" si="20"/>
        <v>0</v>
      </c>
      <c r="H77" s="146">
        <f t="shared" si="20"/>
        <v>334782</v>
      </c>
      <c r="I77" s="146">
        <f t="shared" si="20"/>
        <v>0</v>
      </c>
      <c r="J77" s="146">
        <f t="shared" si="20"/>
        <v>0</v>
      </c>
      <c r="K77" s="146">
        <f t="shared" si="20"/>
        <v>0</v>
      </c>
      <c r="L77" s="146">
        <f t="shared" si="20"/>
        <v>0</v>
      </c>
      <c r="M77" s="146">
        <f t="shared" si="20"/>
        <v>0</v>
      </c>
      <c r="N77" s="146">
        <f t="shared" si="20"/>
        <v>0</v>
      </c>
      <c r="O77" s="146">
        <f t="shared" si="20"/>
        <v>0</v>
      </c>
      <c r="P77" s="146">
        <f t="shared" si="20"/>
        <v>0</v>
      </c>
      <c r="Q77" s="146">
        <f t="shared" si="20"/>
        <v>0</v>
      </c>
      <c r="R77" s="343">
        <f>SUM(R72:R76)</f>
        <v>334782</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4"/>
      <c r="S78" s="151"/>
      <c r="T78" s="151"/>
      <c r="U78" s="143"/>
    </row>
    <row r="79" spans="1:21" s="144" customFormat="1">
      <c r="A79" s="284" t="s">
        <v>1212</v>
      </c>
      <c r="B79" s="146">
        <f>SUM(C79:D79)</f>
        <v>1186000</v>
      </c>
      <c r="C79" s="147">
        <v>1186000</v>
      </c>
      <c r="D79" s="147"/>
      <c r="E79" s="147"/>
      <c r="F79" s="147"/>
      <c r="G79" s="147"/>
      <c r="H79" s="147">
        <v>1186000</v>
      </c>
      <c r="I79" s="147"/>
      <c r="J79" s="147"/>
      <c r="K79" s="147"/>
      <c r="L79" s="147"/>
      <c r="M79" s="147"/>
      <c r="N79" s="147"/>
      <c r="O79" s="147"/>
      <c r="P79" s="147"/>
      <c r="Q79" s="147"/>
      <c r="R79" s="517">
        <f>SUM(E79:Q79)</f>
        <v>1186000</v>
      </c>
      <c r="S79" s="147">
        <f>R79</f>
        <v>1186000</v>
      </c>
      <c r="T79" s="147"/>
      <c r="U79" s="143"/>
    </row>
    <row r="80" spans="1:21" s="144" customFormat="1">
      <c r="A80" s="284" t="s">
        <v>58</v>
      </c>
      <c r="B80" s="146">
        <f>SUM(C80:D80)</f>
        <v>449580</v>
      </c>
      <c r="C80" s="147">
        <v>449580</v>
      </c>
      <c r="D80" s="147"/>
      <c r="E80" s="147"/>
      <c r="F80" s="147"/>
      <c r="G80" s="147"/>
      <c r="H80" s="147">
        <f>C80</f>
        <v>449580</v>
      </c>
      <c r="I80" s="147"/>
      <c r="J80" s="147"/>
      <c r="K80" s="147"/>
      <c r="L80" s="147"/>
      <c r="M80" s="147"/>
      <c r="N80" s="147"/>
      <c r="O80" s="147"/>
      <c r="P80" s="147"/>
      <c r="Q80" s="147"/>
      <c r="R80" s="517">
        <f>SUM(E80:Q80)</f>
        <v>449580</v>
      </c>
      <c r="S80" s="147">
        <f>R80</f>
        <v>449580</v>
      </c>
      <c r="T80" s="147"/>
      <c r="U80" s="143"/>
    </row>
    <row r="81" spans="1:21" s="144" customFormat="1">
      <c r="A81" s="149" t="s">
        <v>1209</v>
      </c>
      <c r="B81" s="146">
        <f>SUM(C81:D81)</f>
        <v>1635580</v>
      </c>
      <c r="C81" s="510">
        <f>SUM(C79:C80)</f>
        <v>1635580</v>
      </c>
      <c r="D81" s="510">
        <f t="shared" ref="D81:T81" si="21">SUM(D79:D80)</f>
        <v>0</v>
      </c>
      <c r="E81" s="510">
        <f t="shared" si="21"/>
        <v>0</v>
      </c>
      <c r="F81" s="510">
        <f t="shared" si="21"/>
        <v>0</v>
      </c>
      <c r="G81" s="510">
        <f t="shared" si="21"/>
        <v>0</v>
      </c>
      <c r="H81" s="510">
        <f t="shared" si="21"/>
        <v>1635580</v>
      </c>
      <c r="I81" s="510">
        <f t="shared" si="21"/>
        <v>0</v>
      </c>
      <c r="J81" s="510">
        <f t="shared" si="21"/>
        <v>0</v>
      </c>
      <c r="K81" s="510">
        <f t="shared" si="21"/>
        <v>0</v>
      </c>
      <c r="L81" s="510">
        <f t="shared" si="21"/>
        <v>0</v>
      </c>
      <c r="M81" s="510">
        <f t="shared" si="21"/>
        <v>0</v>
      </c>
      <c r="N81" s="510">
        <f t="shared" si="21"/>
        <v>0</v>
      </c>
      <c r="O81" s="510">
        <f t="shared" si="21"/>
        <v>0</v>
      </c>
      <c r="P81" s="510">
        <f t="shared" si="21"/>
        <v>0</v>
      </c>
      <c r="Q81" s="510">
        <f t="shared" si="21"/>
        <v>0</v>
      </c>
      <c r="R81" s="510">
        <f t="shared" si="21"/>
        <v>1635580</v>
      </c>
      <c r="S81" s="510">
        <f t="shared" si="21"/>
        <v>1635580</v>
      </c>
      <c r="T81" s="510">
        <f t="shared" si="21"/>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4"/>
      <c r="S82" s="151"/>
      <c r="T82" s="151"/>
      <c r="U82" s="143"/>
    </row>
    <row r="83" spans="1:21" s="144" customFormat="1" ht="13.7" customHeight="1">
      <c r="A83" s="145" t="s">
        <v>2096</v>
      </c>
      <c r="B83" s="146">
        <f t="shared" ref="B83:B95" si="22">SUM(C83+D83)</f>
        <v>74996</v>
      </c>
      <c r="C83" s="147">
        <v>74996</v>
      </c>
      <c r="D83" s="147"/>
      <c r="E83" s="147">
        <v>74996</v>
      </c>
      <c r="F83" s="147"/>
      <c r="G83" s="147"/>
      <c r="H83" s="147"/>
      <c r="I83" s="147"/>
      <c r="J83" s="147"/>
      <c r="K83" s="147"/>
      <c r="L83" s="147"/>
      <c r="M83" s="147"/>
      <c r="N83" s="147"/>
      <c r="O83" s="147"/>
      <c r="P83" s="147"/>
      <c r="Q83" s="147"/>
      <c r="R83" s="517">
        <f t="shared" ref="R83:R95" si="23">SUM(E83:Q83)</f>
        <v>74996</v>
      </c>
      <c r="S83" s="148"/>
      <c r="T83" s="148"/>
      <c r="U83" s="143"/>
    </row>
    <row r="84" spans="1:21" s="144" customFormat="1">
      <c r="A84" s="145" t="s">
        <v>767</v>
      </c>
      <c r="B84" s="146">
        <f t="shared" si="22"/>
        <v>40000</v>
      </c>
      <c r="C84" s="147">
        <v>40000</v>
      </c>
      <c r="D84" s="147"/>
      <c r="E84" s="147">
        <v>40000</v>
      </c>
      <c r="F84" s="147"/>
      <c r="G84" s="147"/>
      <c r="H84" s="147"/>
      <c r="I84" s="147"/>
      <c r="J84" s="147"/>
      <c r="K84" s="147"/>
      <c r="L84" s="147"/>
      <c r="M84" s="147"/>
      <c r="N84" s="147"/>
      <c r="O84" s="147"/>
      <c r="P84" s="147"/>
      <c r="Q84" s="147"/>
      <c r="R84" s="517">
        <f t="shared" si="23"/>
        <v>40000</v>
      </c>
      <c r="S84" s="147">
        <f>R84</f>
        <v>40000</v>
      </c>
      <c r="T84" s="147"/>
      <c r="U84" s="143"/>
    </row>
    <row r="85" spans="1:21" s="144" customFormat="1">
      <c r="A85" s="145" t="s">
        <v>768</v>
      </c>
      <c r="B85" s="146">
        <f t="shared" si="22"/>
        <v>0</v>
      </c>
      <c r="C85" s="147"/>
      <c r="D85" s="147"/>
      <c r="E85" s="147"/>
      <c r="F85" s="147"/>
      <c r="G85" s="147"/>
      <c r="H85" s="147"/>
      <c r="I85" s="147"/>
      <c r="J85" s="147"/>
      <c r="K85" s="147"/>
      <c r="L85" s="147"/>
      <c r="M85" s="147"/>
      <c r="N85" s="147"/>
      <c r="O85" s="147"/>
      <c r="P85" s="147"/>
      <c r="Q85" s="147"/>
      <c r="R85" s="517">
        <f t="shared" si="23"/>
        <v>0</v>
      </c>
      <c r="S85" s="147">
        <f>R85</f>
        <v>0</v>
      </c>
      <c r="T85" s="147"/>
      <c r="U85" s="143"/>
    </row>
    <row r="86" spans="1:21" s="144" customFormat="1">
      <c r="A86" s="145" t="s">
        <v>769</v>
      </c>
      <c r="B86" s="146">
        <f t="shared" si="22"/>
        <v>150000</v>
      </c>
      <c r="C86" s="147">
        <v>150000</v>
      </c>
      <c r="D86" s="147"/>
      <c r="E86" s="147">
        <v>150000</v>
      </c>
      <c r="F86" s="147"/>
      <c r="G86" s="147"/>
      <c r="H86" s="147"/>
      <c r="I86" s="147"/>
      <c r="J86" s="147"/>
      <c r="K86" s="147"/>
      <c r="L86" s="147"/>
      <c r="M86" s="147"/>
      <c r="N86" s="147"/>
      <c r="O86" s="147"/>
      <c r="P86" s="147"/>
      <c r="Q86" s="147"/>
      <c r="R86" s="517">
        <f t="shared" si="23"/>
        <v>150000</v>
      </c>
      <c r="S86" s="147">
        <f>R86</f>
        <v>150000</v>
      </c>
      <c r="T86" s="147"/>
      <c r="U86" s="143"/>
    </row>
    <row r="87" spans="1:21" s="144" customFormat="1">
      <c r="A87" s="145" t="s">
        <v>770</v>
      </c>
      <c r="B87" s="146">
        <f t="shared" si="22"/>
        <v>0</v>
      </c>
      <c r="C87" s="147"/>
      <c r="D87" s="147"/>
      <c r="E87" s="147"/>
      <c r="F87" s="147"/>
      <c r="G87" s="147"/>
      <c r="H87" s="147"/>
      <c r="I87" s="147"/>
      <c r="J87" s="147"/>
      <c r="K87" s="147"/>
      <c r="L87" s="147"/>
      <c r="M87" s="147"/>
      <c r="N87" s="147"/>
      <c r="O87" s="147"/>
      <c r="P87" s="147"/>
      <c r="Q87" s="147"/>
      <c r="R87" s="517">
        <f t="shared" si="23"/>
        <v>0</v>
      </c>
      <c r="S87" s="147"/>
      <c r="T87" s="147"/>
      <c r="U87" s="143"/>
    </row>
    <row r="88" spans="1:21" s="144" customFormat="1">
      <c r="A88" s="145" t="s">
        <v>771</v>
      </c>
      <c r="B88" s="146">
        <f t="shared" si="22"/>
        <v>20000</v>
      </c>
      <c r="C88" s="147">
        <v>20000</v>
      </c>
      <c r="D88" s="147"/>
      <c r="E88" s="147">
        <v>20000</v>
      </c>
      <c r="F88" s="147"/>
      <c r="G88" s="147"/>
      <c r="H88" s="147"/>
      <c r="I88" s="147"/>
      <c r="J88" s="147"/>
      <c r="K88" s="147"/>
      <c r="L88" s="147"/>
      <c r="M88" s="147"/>
      <c r="N88" s="147"/>
      <c r="O88" s="147"/>
      <c r="P88" s="147"/>
      <c r="Q88" s="147"/>
      <c r="R88" s="517">
        <f t="shared" si="23"/>
        <v>20000</v>
      </c>
      <c r="S88" s="148"/>
      <c r="T88" s="148"/>
      <c r="U88" s="143"/>
    </row>
    <row r="89" spans="1:21" s="144" customFormat="1">
      <c r="A89" s="145" t="s">
        <v>772</v>
      </c>
      <c r="B89" s="146">
        <f t="shared" si="22"/>
        <v>415000</v>
      </c>
      <c r="C89" s="147">
        <v>415000</v>
      </c>
      <c r="D89" s="147"/>
      <c r="E89" s="147">
        <f>67914+341716+5370</f>
        <v>415000</v>
      </c>
      <c r="F89" s="147"/>
      <c r="G89" s="147"/>
      <c r="H89" s="147"/>
      <c r="I89" s="147"/>
      <c r="J89" s="147"/>
      <c r="K89" s="147"/>
      <c r="L89" s="147"/>
      <c r="M89" s="147"/>
      <c r="N89" s="147"/>
      <c r="O89" s="147"/>
      <c r="P89" s="147"/>
      <c r="Q89" s="147"/>
      <c r="R89" s="517">
        <f t="shared" si="23"/>
        <v>415000</v>
      </c>
      <c r="S89" s="147">
        <f>R89</f>
        <v>415000</v>
      </c>
      <c r="T89" s="147"/>
      <c r="U89" s="143"/>
    </row>
    <row r="90" spans="1:21" s="144" customFormat="1">
      <c r="A90" s="145" t="s">
        <v>773</v>
      </c>
      <c r="B90" s="146">
        <f t="shared" si="22"/>
        <v>15000</v>
      </c>
      <c r="C90" s="147">
        <v>15000</v>
      </c>
      <c r="D90" s="147"/>
      <c r="E90" s="147">
        <v>15000</v>
      </c>
      <c r="F90" s="147"/>
      <c r="G90" s="147"/>
      <c r="H90" s="147"/>
      <c r="I90" s="147"/>
      <c r="J90" s="147"/>
      <c r="K90" s="147"/>
      <c r="L90" s="147"/>
      <c r="M90" s="147"/>
      <c r="N90" s="147"/>
      <c r="O90" s="147"/>
      <c r="P90" s="147"/>
      <c r="Q90" s="147"/>
      <c r="R90" s="517">
        <f t="shared" si="23"/>
        <v>15000</v>
      </c>
      <c r="S90" s="147">
        <f>R90</f>
        <v>15000</v>
      </c>
      <c r="T90" s="147"/>
      <c r="U90" s="143"/>
    </row>
    <row r="91" spans="1:21" s="144" customFormat="1">
      <c r="A91" s="145" t="s">
        <v>372</v>
      </c>
      <c r="B91" s="146">
        <f t="shared" si="22"/>
        <v>25000</v>
      </c>
      <c r="C91" s="147">
        <v>25000</v>
      </c>
      <c r="D91" s="147"/>
      <c r="E91" s="147">
        <v>25000</v>
      </c>
      <c r="F91" s="147"/>
      <c r="G91" s="147"/>
      <c r="H91" s="147"/>
      <c r="I91" s="147"/>
      <c r="J91" s="147"/>
      <c r="K91" s="147"/>
      <c r="L91" s="147"/>
      <c r="M91" s="147"/>
      <c r="N91" s="147"/>
      <c r="O91" s="147"/>
      <c r="P91" s="147"/>
      <c r="Q91" s="147"/>
      <c r="R91" s="517">
        <f t="shared" si="23"/>
        <v>25000</v>
      </c>
      <c r="S91" s="147">
        <f t="shared" ref="S91:S95" si="24">R91</f>
        <v>25000</v>
      </c>
      <c r="T91" s="147"/>
      <c r="U91" s="143"/>
    </row>
    <row r="92" spans="1:21" s="144" customFormat="1">
      <c r="A92" s="284" t="s">
        <v>1211</v>
      </c>
      <c r="B92" s="146">
        <f t="shared" si="22"/>
        <v>15000</v>
      </c>
      <c r="C92" s="147">
        <v>15000</v>
      </c>
      <c r="D92" s="147"/>
      <c r="E92" s="147">
        <v>15000</v>
      </c>
      <c r="F92" s="147"/>
      <c r="G92" s="147"/>
      <c r="H92" s="147"/>
      <c r="I92" s="147"/>
      <c r="J92" s="147"/>
      <c r="K92" s="147"/>
      <c r="L92" s="147"/>
      <c r="M92" s="147"/>
      <c r="N92" s="147"/>
      <c r="O92" s="147"/>
      <c r="P92" s="147"/>
      <c r="Q92" s="147"/>
      <c r="R92" s="517">
        <f t="shared" si="23"/>
        <v>15000</v>
      </c>
      <c r="S92" s="147">
        <f t="shared" si="24"/>
        <v>15000</v>
      </c>
      <c r="T92" s="147"/>
      <c r="U92" s="143"/>
    </row>
    <row r="93" spans="1:21" s="144" customFormat="1">
      <c r="A93" s="1151" t="s">
        <v>34</v>
      </c>
      <c r="B93" s="146">
        <f t="shared" si="22"/>
        <v>0</v>
      </c>
      <c r="C93" s="147"/>
      <c r="D93" s="147"/>
      <c r="E93" s="147"/>
      <c r="F93" s="147"/>
      <c r="G93" s="147"/>
      <c r="H93" s="147"/>
      <c r="I93" s="147"/>
      <c r="J93" s="147"/>
      <c r="K93" s="147"/>
      <c r="L93" s="147"/>
      <c r="M93" s="147"/>
      <c r="N93" s="147"/>
      <c r="O93" s="147"/>
      <c r="P93" s="147"/>
      <c r="Q93" s="147"/>
      <c r="R93" s="517">
        <f t="shared" si="23"/>
        <v>0</v>
      </c>
      <c r="S93" s="147">
        <f t="shared" si="24"/>
        <v>0</v>
      </c>
      <c r="T93" s="147"/>
      <c r="U93" s="143"/>
    </row>
    <row r="94" spans="1:21" s="144" customFormat="1">
      <c r="A94" s="1151" t="s">
        <v>34</v>
      </c>
      <c r="B94" s="146">
        <f t="shared" si="22"/>
        <v>0</v>
      </c>
      <c r="C94" s="147"/>
      <c r="D94" s="147"/>
      <c r="E94" s="147"/>
      <c r="F94" s="147"/>
      <c r="G94" s="147"/>
      <c r="H94" s="147"/>
      <c r="I94" s="147"/>
      <c r="J94" s="147"/>
      <c r="K94" s="147"/>
      <c r="L94" s="147"/>
      <c r="M94" s="147"/>
      <c r="N94" s="147"/>
      <c r="O94" s="147"/>
      <c r="P94" s="147"/>
      <c r="Q94" s="147"/>
      <c r="R94" s="517">
        <f t="shared" si="23"/>
        <v>0</v>
      </c>
      <c r="S94" s="147">
        <f t="shared" si="24"/>
        <v>0</v>
      </c>
      <c r="T94" s="147"/>
      <c r="U94" s="143"/>
    </row>
    <row r="95" spans="1:21" s="144" customFormat="1">
      <c r="A95" s="1151" t="s">
        <v>34</v>
      </c>
      <c r="B95" s="146">
        <f t="shared" si="22"/>
        <v>0</v>
      </c>
      <c r="C95" s="147"/>
      <c r="D95" s="147"/>
      <c r="E95" s="147"/>
      <c r="F95" s="147"/>
      <c r="G95" s="147"/>
      <c r="H95" s="147"/>
      <c r="I95" s="147"/>
      <c r="J95" s="147"/>
      <c r="K95" s="147"/>
      <c r="L95" s="147"/>
      <c r="M95" s="147"/>
      <c r="N95" s="147"/>
      <c r="O95" s="147"/>
      <c r="P95" s="147"/>
      <c r="Q95" s="147"/>
      <c r="R95" s="517">
        <f t="shared" si="23"/>
        <v>0</v>
      </c>
      <c r="S95" s="147">
        <f t="shared" si="24"/>
        <v>0</v>
      </c>
      <c r="T95" s="147"/>
      <c r="U95" s="143"/>
    </row>
    <row r="96" spans="1:21" s="144" customFormat="1">
      <c r="A96" s="149" t="s">
        <v>774</v>
      </c>
      <c r="B96" s="146">
        <f>SUM(C96:D96)</f>
        <v>754996</v>
      </c>
      <c r="C96" s="146">
        <f t="shared" ref="C96:R96" si="25">SUM(C83:C95)</f>
        <v>754996</v>
      </c>
      <c r="D96" s="146">
        <f t="shared" si="25"/>
        <v>0</v>
      </c>
      <c r="E96" s="146">
        <f t="shared" si="25"/>
        <v>754996</v>
      </c>
      <c r="F96" s="146">
        <f t="shared" si="25"/>
        <v>0</v>
      </c>
      <c r="G96" s="146">
        <f t="shared" si="25"/>
        <v>0</v>
      </c>
      <c r="H96" s="146">
        <f t="shared" si="25"/>
        <v>0</v>
      </c>
      <c r="I96" s="146">
        <f t="shared" si="25"/>
        <v>0</v>
      </c>
      <c r="J96" s="146">
        <f t="shared" si="25"/>
        <v>0</v>
      </c>
      <c r="K96" s="146">
        <f t="shared" si="25"/>
        <v>0</v>
      </c>
      <c r="L96" s="146">
        <f t="shared" si="25"/>
        <v>0</v>
      </c>
      <c r="M96" s="146">
        <f t="shared" si="25"/>
        <v>0</v>
      </c>
      <c r="N96" s="146">
        <f t="shared" si="25"/>
        <v>0</v>
      </c>
      <c r="O96" s="146">
        <f t="shared" si="25"/>
        <v>0</v>
      </c>
      <c r="P96" s="146">
        <f t="shared" si="25"/>
        <v>0</v>
      </c>
      <c r="Q96" s="146">
        <f t="shared" si="25"/>
        <v>0</v>
      </c>
      <c r="R96" s="343">
        <f t="shared" si="25"/>
        <v>754996</v>
      </c>
      <c r="S96" s="150">
        <f>SUM(S84:S87,S89:S95)</f>
        <v>660000</v>
      </c>
      <c r="T96" s="146">
        <f>SUM(T84:T87,T89:T95)</f>
        <v>0</v>
      </c>
      <c r="U96" s="143"/>
    </row>
    <row r="97" spans="1:21" s="144" customFormat="1">
      <c r="A97" s="149" t="s">
        <v>775</v>
      </c>
      <c r="B97" s="146">
        <f>SUM(C97:D97)</f>
        <v>31135869</v>
      </c>
      <c r="C97" s="146">
        <f t="shared" ref="C97:R97" si="26">SUM(C63+C70+C77+C81+C96)</f>
        <v>31135869</v>
      </c>
      <c r="D97" s="146">
        <f t="shared" si="26"/>
        <v>0</v>
      </c>
      <c r="E97" s="146">
        <f t="shared" si="26"/>
        <v>9099462</v>
      </c>
      <c r="F97" s="146">
        <f t="shared" si="26"/>
        <v>7651136</v>
      </c>
      <c r="G97" s="146">
        <f t="shared" si="26"/>
        <v>133469</v>
      </c>
      <c r="H97" s="146">
        <f t="shared" si="26"/>
        <v>9501778</v>
      </c>
      <c r="I97" s="146">
        <f t="shared" si="26"/>
        <v>4750024</v>
      </c>
      <c r="J97" s="146">
        <f t="shared" si="26"/>
        <v>0</v>
      </c>
      <c r="K97" s="146">
        <f t="shared" si="26"/>
        <v>0</v>
      </c>
      <c r="L97" s="146">
        <f t="shared" si="26"/>
        <v>0</v>
      </c>
      <c r="M97" s="146">
        <f t="shared" si="26"/>
        <v>0</v>
      </c>
      <c r="N97" s="146">
        <f t="shared" si="26"/>
        <v>0</v>
      </c>
      <c r="O97" s="146">
        <f t="shared" si="26"/>
        <v>0</v>
      </c>
      <c r="P97" s="146">
        <f t="shared" si="26"/>
        <v>0</v>
      </c>
      <c r="Q97" s="146">
        <f t="shared" si="26"/>
        <v>0</v>
      </c>
      <c r="R97" s="146">
        <f t="shared" si="26"/>
        <v>31135869</v>
      </c>
      <c r="S97" s="146">
        <f>SUM(S63+S70+S81+S96)</f>
        <v>10726780</v>
      </c>
      <c r="T97" s="146">
        <f>SUM(T63+T70+T81+T96)</f>
        <v>15440000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2381017</v>
      </c>
      <c r="C99" s="980">
        <v>2381017</v>
      </c>
      <c r="D99" s="980"/>
      <c r="E99" s="980">
        <f>C99</f>
        <v>2381017</v>
      </c>
      <c r="F99" s="147"/>
      <c r="G99" s="147"/>
      <c r="H99" s="147"/>
      <c r="I99" s="147"/>
      <c r="J99" s="147"/>
      <c r="K99" s="147"/>
      <c r="L99" s="147"/>
      <c r="M99" s="147"/>
      <c r="N99" s="147"/>
      <c r="O99" s="147"/>
      <c r="P99" s="147"/>
      <c r="Q99" s="147"/>
      <c r="R99" s="517">
        <f>SUM(E99:Q99)</f>
        <v>2381017</v>
      </c>
      <c r="S99" s="147">
        <v>1609017</v>
      </c>
      <c r="T99" s="147">
        <v>772000</v>
      </c>
      <c r="U99" s="143"/>
    </row>
    <row r="100" spans="1:21" s="144" customFormat="1">
      <c r="A100" s="284" t="s">
        <v>1646</v>
      </c>
      <c r="B100" s="146">
        <f>SUM(C100+D100)</f>
        <v>0</v>
      </c>
      <c r="C100" s="147"/>
      <c r="D100" s="147"/>
      <c r="E100" s="147"/>
      <c r="F100" s="147"/>
      <c r="G100" s="147"/>
      <c r="H100" s="147"/>
      <c r="I100" s="147"/>
      <c r="J100" s="147"/>
      <c r="K100" s="147"/>
      <c r="L100" s="147"/>
      <c r="M100" s="147"/>
      <c r="N100" s="147"/>
      <c r="O100" s="147"/>
      <c r="P100" s="147"/>
      <c r="Q100" s="147"/>
      <c r="R100" s="517">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7">
        <f>SUM(E101:Q101)</f>
        <v>0</v>
      </c>
      <c r="S101" s="147"/>
      <c r="T101" s="147"/>
      <c r="U101" s="143"/>
    </row>
    <row r="102" spans="1:21" s="144" customFormat="1">
      <c r="A102" s="284" t="s">
        <v>1647</v>
      </c>
      <c r="B102" s="146">
        <f>SUM(C102+D102)</f>
        <v>0</v>
      </c>
      <c r="C102" s="147"/>
      <c r="D102" s="147"/>
      <c r="E102" s="147"/>
      <c r="F102" s="147"/>
      <c r="G102" s="147"/>
      <c r="H102" s="147"/>
      <c r="I102" s="147"/>
      <c r="J102" s="147"/>
      <c r="K102" s="147"/>
      <c r="L102" s="147"/>
      <c r="M102" s="147"/>
      <c r="N102" s="147"/>
      <c r="O102" s="147"/>
      <c r="P102" s="147"/>
      <c r="Q102" s="147"/>
      <c r="R102" s="517">
        <f>SUM(E102:Q102)</f>
        <v>0</v>
      </c>
      <c r="S102" s="147"/>
      <c r="T102" s="147"/>
      <c r="U102" s="143"/>
    </row>
    <row r="103" spans="1:21" s="144" customFormat="1">
      <c r="A103" s="1151" t="s">
        <v>34</v>
      </c>
      <c r="B103" s="146">
        <f>SUM(C103+D103)</f>
        <v>0</v>
      </c>
      <c r="C103" s="147"/>
      <c r="D103" s="147"/>
      <c r="E103" s="147"/>
      <c r="F103" s="147"/>
      <c r="G103" s="147"/>
      <c r="H103" s="147"/>
      <c r="I103" s="147"/>
      <c r="J103" s="147"/>
      <c r="K103" s="147"/>
      <c r="L103" s="147"/>
      <c r="M103" s="147"/>
      <c r="N103" s="147"/>
      <c r="O103" s="147"/>
      <c r="P103" s="147"/>
      <c r="Q103" s="147"/>
      <c r="R103" s="517">
        <f>SUM(E103:Q103)</f>
        <v>0</v>
      </c>
      <c r="S103" s="147"/>
      <c r="T103" s="147"/>
      <c r="U103" s="143"/>
    </row>
    <row r="104" spans="1:21" s="144" customFormat="1">
      <c r="A104" s="149" t="s">
        <v>779</v>
      </c>
      <c r="B104" s="146">
        <f>SUM(C104:D104)</f>
        <v>2381017</v>
      </c>
      <c r="C104" s="146">
        <f>SUM(C99:C103)</f>
        <v>2381017</v>
      </c>
      <c r="D104" s="146">
        <f t="shared" ref="D104:T104" si="27">SUM(D99:D103)</f>
        <v>0</v>
      </c>
      <c r="E104" s="146">
        <f t="shared" si="27"/>
        <v>2381017</v>
      </c>
      <c r="F104" s="146">
        <f t="shared" si="27"/>
        <v>0</v>
      </c>
      <c r="G104" s="146">
        <f t="shared" si="27"/>
        <v>0</v>
      </c>
      <c r="H104" s="146">
        <f t="shared" si="27"/>
        <v>0</v>
      </c>
      <c r="I104" s="146">
        <f t="shared" si="27"/>
        <v>0</v>
      </c>
      <c r="J104" s="146">
        <f t="shared" si="27"/>
        <v>0</v>
      </c>
      <c r="K104" s="146">
        <f t="shared" si="27"/>
        <v>0</v>
      </c>
      <c r="L104" s="146">
        <f t="shared" si="27"/>
        <v>0</v>
      </c>
      <c r="M104" s="146">
        <f t="shared" si="27"/>
        <v>0</v>
      </c>
      <c r="N104" s="146">
        <f t="shared" si="27"/>
        <v>0</v>
      </c>
      <c r="O104" s="146">
        <f t="shared" si="27"/>
        <v>0</v>
      </c>
      <c r="P104" s="146">
        <f t="shared" si="27"/>
        <v>0</v>
      </c>
      <c r="Q104" s="146">
        <f t="shared" si="27"/>
        <v>0</v>
      </c>
      <c r="R104" s="343">
        <f t="shared" si="27"/>
        <v>2381017</v>
      </c>
      <c r="S104" s="150">
        <f t="shared" si="27"/>
        <v>1609017</v>
      </c>
      <c r="T104" s="150">
        <f t="shared" si="27"/>
        <v>772000</v>
      </c>
      <c r="U104" s="143"/>
    </row>
    <row r="105" spans="1:21" s="144" customFormat="1">
      <c r="A105" s="149" t="s">
        <v>780</v>
      </c>
      <c r="B105" s="150">
        <f>SUM(C105:D105)</f>
        <v>33516886</v>
      </c>
      <c r="C105" s="150">
        <f t="shared" ref="C105:R105" si="28">SUM(C97+C104)</f>
        <v>33516886</v>
      </c>
      <c r="D105" s="150">
        <f t="shared" si="28"/>
        <v>0</v>
      </c>
      <c r="E105" s="150">
        <f t="shared" si="28"/>
        <v>11480479</v>
      </c>
      <c r="F105" s="150">
        <f t="shared" si="28"/>
        <v>7651136</v>
      </c>
      <c r="G105" s="150">
        <f t="shared" si="28"/>
        <v>133469</v>
      </c>
      <c r="H105" s="150">
        <f t="shared" si="28"/>
        <v>9501778</v>
      </c>
      <c r="I105" s="150">
        <f t="shared" si="28"/>
        <v>4750024</v>
      </c>
      <c r="J105" s="150">
        <f t="shared" si="28"/>
        <v>0</v>
      </c>
      <c r="K105" s="150">
        <f t="shared" si="28"/>
        <v>0</v>
      </c>
      <c r="L105" s="150">
        <f t="shared" si="28"/>
        <v>0</v>
      </c>
      <c r="M105" s="150">
        <f t="shared" si="28"/>
        <v>0</v>
      </c>
      <c r="N105" s="150">
        <f t="shared" si="28"/>
        <v>0</v>
      </c>
      <c r="O105" s="150">
        <f t="shared" si="28"/>
        <v>0</v>
      </c>
      <c r="P105" s="150">
        <f t="shared" si="28"/>
        <v>0</v>
      </c>
      <c r="Q105" s="150">
        <f t="shared" si="28"/>
        <v>0</v>
      </c>
      <c r="R105" s="343">
        <f t="shared" si="28"/>
        <v>33516886</v>
      </c>
      <c r="S105" s="150">
        <f>S97+S104</f>
        <v>12335797</v>
      </c>
      <c r="T105" s="150">
        <f>T97+T104</f>
        <v>16212000</v>
      </c>
      <c r="U105" s="143"/>
    </row>
    <row r="106" spans="1:21">
      <c r="A106" s="515"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12335797</v>
      </c>
      <c r="T107" s="150">
        <f>T105+T106</f>
        <v>16212000</v>
      </c>
    </row>
    <row r="108" spans="1:21" s="189" customFormat="1">
      <c r="A108" s="162" t="s">
        <v>879</v>
      </c>
      <c r="B108" s="157"/>
      <c r="C108" s="157"/>
      <c r="D108" s="157"/>
      <c r="E108" s="302">
        <f>Application!AO640</f>
        <v>11480479</v>
      </c>
      <c r="F108" s="302">
        <f>Application!AO627</f>
        <v>7651136</v>
      </c>
      <c r="G108" s="302">
        <f>Application!AO628</f>
        <v>133469</v>
      </c>
      <c r="H108" s="302">
        <f>Application!AO629</f>
        <v>9501778</v>
      </c>
      <c r="I108" s="302">
        <f>Application!AO630</f>
        <v>4750024</v>
      </c>
      <c r="J108" s="302">
        <f>Application!AO631</f>
        <v>0</v>
      </c>
      <c r="K108" s="302">
        <f>Application!AO632</f>
        <v>0</v>
      </c>
      <c r="L108" s="302">
        <f>Application!AO633</f>
        <v>0</v>
      </c>
      <c r="M108" s="302">
        <f>Application!AO634</f>
        <v>0</v>
      </c>
      <c r="N108" s="302">
        <f>Application!AO635</f>
        <v>0</v>
      </c>
      <c r="O108" s="302">
        <f>Application!AO636</f>
        <v>0</v>
      </c>
      <c r="P108" s="302">
        <f>Application!AO637</f>
        <v>0</v>
      </c>
      <c r="Q108" s="302">
        <f>Application!AO638</f>
        <v>0</v>
      </c>
      <c r="R108" s="158"/>
      <c r="S108" s="158"/>
      <c r="T108" s="158"/>
      <c r="U108" s="188"/>
    </row>
    <row r="109" spans="1:21" ht="10.3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3"/>
      <c r="B112" s="157"/>
      <c r="C112" s="157"/>
      <c r="D112" s="157"/>
    </row>
    <row r="113" spans="1:21">
      <c r="A113" s="156" t="s">
        <v>1019</v>
      </c>
      <c r="B113" s="157"/>
      <c r="C113" s="157"/>
      <c r="D113" s="157"/>
    </row>
    <row r="114" spans="1:21">
      <c r="A114" s="156" t="s">
        <v>2097</v>
      </c>
      <c r="B114" s="157"/>
      <c r="C114" s="157"/>
      <c r="D114" s="157"/>
    </row>
    <row r="115" spans="1:21" ht="12" customHeight="1">
      <c r="A115" s="313"/>
      <c r="B115" s="157"/>
      <c r="C115" s="157"/>
      <c r="D115" s="157"/>
    </row>
    <row r="116" spans="1:21">
      <c r="A116" s="346" t="s">
        <v>1022</v>
      </c>
      <c r="B116" s="157"/>
      <c r="C116" s="157"/>
      <c r="D116" s="157"/>
    </row>
    <row r="117" spans="1:21">
      <c r="A117" s="346" t="s">
        <v>1223</v>
      </c>
      <c r="B117" s="157"/>
      <c r="C117" s="157"/>
      <c r="D117" s="157"/>
    </row>
    <row r="118" spans="1:21">
      <c r="A118" s="346" t="s">
        <v>1021</v>
      </c>
      <c r="B118" s="157"/>
      <c r="C118" s="157"/>
      <c r="D118" s="157"/>
    </row>
    <row r="119" spans="1:21">
      <c r="A119" s="346" t="s">
        <v>1023</v>
      </c>
      <c r="B119" s="157"/>
      <c r="C119" s="157"/>
      <c r="D119" s="157"/>
    </row>
    <row r="120" spans="1:21" ht="12" customHeight="1">
      <c r="A120" s="345"/>
      <c r="B120" s="157"/>
      <c r="C120" s="157"/>
      <c r="D120" s="157"/>
    </row>
    <row r="121" spans="1:21" ht="15.75">
      <c r="A121" s="339" t="s">
        <v>1005</v>
      </c>
      <c r="B121" s="157"/>
      <c r="C121" s="157"/>
      <c r="D121" s="157"/>
    </row>
    <row r="122" spans="1:21">
      <c r="A122" s="326" t="s">
        <v>989</v>
      </c>
      <c r="B122" s="325"/>
      <c r="C122" s="325"/>
      <c r="D122" s="1876" t="s">
        <v>990</v>
      </c>
      <c r="E122" s="1876"/>
      <c r="F122" s="1876"/>
      <c r="G122" s="325"/>
      <c r="H122" s="325"/>
      <c r="I122" s="325"/>
      <c r="J122" s="325"/>
      <c r="K122" s="325"/>
      <c r="L122" s="325"/>
      <c r="M122" s="325"/>
      <c r="N122" s="325"/>
      <c r="O122" s="325"/>
      <c r="P122" s="325"/>
      <c r="Q122" s="325"/>
      <c r="R122" s="325"/>
      <c r="S122" s="325"/>
      <c r="T122" s="325"/>
      <c r="U122" s="327"/>
    </row>
    <row r="123" spans="1:21">
      <c r="A123" s="325" t="s">
        <v>991</v>
      </c>
      <c r="B123" s="334"/>
      <c r="C123" s="325"/>
      <c r="D123" s="1868" t="s">
        <v>1224</v>
      </c>
      <c r="E123" s="1529"/>
      <c r="F123" s="1529"/>
      <c r="G123" s="1529"/>
      <c r="H123" s="1529"/>
      <c r="I123" s="1529"/>
      <c r="J123" s="1529"/>
      <c r="K123" s="1529"/>
      <c r="L123" s="1529"/>
      <c r="M123" s="1529"/>
      <c r="N123" s="1529"/>
      <c r="O123" s="1529"/>
      <c r="P123" s="1529"/>
      <c r="Q123" s="1529"/>
      <c r="R123" s="1529"/>
      <c r="S123" s="1529"/>
      <c r="T123" s="325"/>
      <c r="U123" s="327"/>
    </row>
    <row r="124" spans="1:21" ht="12.75">
      <c r="A124" s="117" t="s">
        <v>992</v>
      </c>
      <c r="B124" s="334"/>
      <c r="C124" s="117"/>
      <c r="D124" s="1529"/>
      <c r="E124" s="1529"/>
      <c r="F124" s="1529"/>
      <c r="G124" s="1529"/>
      <c r="H124" s="1529"/>
      <c r="I124" s="1529"/>
      <c r="J124" s="1529"/>
      <c r="K124" s="1529"/>
      <c r="L124" s="1529"/>
      <c r="M124" s="1529"/>
      <c r="N124" s="1529"/>
      <c r="O124" s="1529"/>
      <c r="P124" s="1529"/>
      <c r="Q124" s="1529"/>
      <c r="R124" s="1529"/>
      <c r="S124" s="1529"/>
      <c r="T124" s="325"/>
      <c r="U124" s="327"/>
    </row>
    <row r="125" spans="1:21" ht="12.75">
      <c r="A125" s="117" t="s">
        <v>993</v>
      </c>
      <c r="B125" s="334"/>
      <c r="C125" s="117"/>
      <c r="D125" s="1529"/>
      <c r="E125" s="1529"/>
      <c r="F125" s="1529"/>
      <c r="G125" s="1529"/>
      <c r="H125" s="1529"/>
      <c r="I125" s="1529"/>
      <c r="J125" s="1529"/>
      <c r="K125" s="1529"/>
      <c r="L125" s="1529"/>
      <c r="M125" s="1529"/>
      <c r="N125" s="1529"/>
      <c r="O125" s="1529"/>
      <c r="P125" s="1529"/>
      <c r="Q125" s="1529"/>
      <c r="R125" s="1529"/>
      <c r="S125" s="1529"/>
      <c r="T125" s="325"/>
      <c r="U125" s="327"/>
    </row>
    <row r="126" spans="1:21" ht="12.75">
      <c r="A126" s="117" t="s">
        <v>994</v>
      </c>
      <c r="B126" s="334"/>
      <c r="C126" s="117"/>
      <c r="D126" s="116"/>
      <c r="E126" s="116"/>
      <c r="F126" s="116"/>
      <c r="G126" s="116"/>
      <c r="H126" s="116"/>
      <c r="I126" s="116"/>
      <c r="J126" s="116"/>
      <c r="K126" s="116"/>
      <c r="L126" s="116"/>
      <c r="M126" s="116"/>
      <c r="N126" s="116"/>
      <c r="O126" s="117"/>
      <c r="P126" s="117"/>
      <c r="Q126" s="117"/>
      <c r="R126" s="117"/>
      <c r="S126" s="117"/>
      <c r="T126" s="325"/>
      <c r="U126" s="327"/>
    </row>
    <row r="127" spans="1:21" ht="12.75">
      <c r="A127" s="117" t="s">
        <v>995</v>
      </c>
      <c r="B127" s="334"/>
      <c r="C127" s="117"/>
      <c r="D127" s="116"/>
      <c r="E127" s="116"/>
      <c r="F127" s="116"/>
      <c r="G127" s="116"/>
      <c r="H127" s="116"/>
      <c r="I127" s="116"/>
      <c r="J127" s="116"/>
      <c r="K127" s="116"/>
      <c r="L127" s="116"/>
      <c r="M127" s="116"/>
      <c r="N127" s="116"/>
      <c r="O127" s="117"/>
      <c r="P127" s="117"/>
      <c r="Q127" s="117"/>
      <c r="R127" s="117"/>
      <c r="S127" s="117"/>
      <c r="T127" s="325"/>
      <c r="U127" s="327"/>
    </row>
    <row r="128" spans="1:21" ht="12.75">
      <c r="A128" s="117" t="s">
        <v>996</v>
      </c>
      <c r="B128" s="334"/>
      <c r="C128" s="117"/>
      <c r="D128" s="1871"/>
      <c r="E128" s="1871"/>
      <c r="F128" s="1871"/>
      <c r="G128" s="1871"/>
      <c r="H128" s="1871"/>
      <c r="I128" s="117"/>
      <c r="J128" s="1867"/>
      <c r="K128" s="1867"/>
      <c r="L128" s="117"/>
      <c r="M128" s="117"/>
      <c r="N128" s="117"/>
      <c r="O128" s="117"/>
      <c r="P128" s="117"/>
      <c r="Q128" s="117"/>
      <c r="R128" s="117"/>
      <c r="S128" s="117"/>
      <c r="T128" s="325"/>
      <c r="U128" s="327"/>
    </row>
    <row r="129" spans="1:21" ht="12.75">
      <c r="A129" s="117" t="s">
        <v>300</v>
      </c>
      <c r="B129" s="334"/>
      <c r="C129" s="117"/>
      <c r="D129" s="1875" t="s">
        <v>997</v>
      </c>
      <c r="E129" s="1875"/>
      <c r="F129" s="1875"/>
      <c r="G129" s="1875"/>
      <c r="H129" s="1875"/>
      <c r="I129" s="117"/>
      <c r="J129" s="117" t="s">
        <v>998</v>
      </c>
      <c r="K129" s="117"/>
      <c r="L129" s="117"/>
      <c r="M129" s="117"/>
      <c r="N129" s="117"/>
      <c r="O129" s="117"/>
      <c r="P129" s="117"/>
      <c r="Q129" s="117"/>
      <c r="R129" s="117"/>
      <c r="S129" s="117"/>
      <c r="T129" s="325"/>
      <c r="U129" s="327"/>
    </row>
    <row r="130" spans="1:21" ht="12" customHeight="1">
      <c r="A130" s="117"/>
      <c r="B130" s="333"/>
      <c r="C130" s="117"/>
      <c r="D130" s="117"/>
      <c r="E130" s="117"/>
      <c r="F130" s="117"/>
      <c r="G130" s="117"/>
      <c r="H130" s="117"/>
      <c r="I130" s="117"/>
      <c r="J130" s="117"/>
      <c r="K130" s="117"/>
      <c r="L130" s="117"/>
      <c r="M130" s="117"/>
      <c r="N130" s="117"/>
      <c r="O130" s="117"/>
      <c r="P130" s="117"/>
      <c r="Q130" s="117"/>
      <c r="R130" s="117"/>
      <c r="S130" s="117"/>
      <c r="T130" s="325"/>
      <c r="U130" s="327"/>
    </row>
    <row r="131" spans="1:21" ht="12.75">
      <c r="A131" s="336" t="s">
        <v>999</v>
      </c>
      <c r="B131" s="335">
        <f>SUM(B123:B129)</f>
        <v>0</v>
      </c>
      <c r="C131" s="117"/>
      <c r="D131" s="1521"/>
      <c r="E131" s="1521"/>
      <c r="F131" s="1521"/>
      <c r="G131" s="1521"/>
      <c r="H131" s="1521"/>
      <c r="I131" s="117"/>
      <c r="J131" s="1521"/>
      <c r="K131" s="1521"/>
      <c r="L131" s="1521"/>
      <c r="M131" s="1521"/>
      <c r="N131" s="117"/>
      <c r="O131" s="117"/>
      <c r="P131" s="117"/>
      <c r="Q131" s="117"/>
      <c r="R131" s="117"/>
      <c r="S131" s="117"/>
      <c r="T131" s="325"/>
      <c r="U131" s="327"/>
    </row>
    <row r="132" spans="1:21" ht="12" customHeight="1">
      <c r="A132" s="337"/>
      <c r="B132" s="117"/>
      <c r="C132" s="117"/>
      <c r="D132" s="1869" t="s">
        <v>1000</v>
      </c>
      <c r="E132" s="1869"/>
      <c r="F132" s="1869"/>
      <c r="G132" s="1869"/>
      <c r="H132" s="1869"/>
      <c r="I132" s="117"/>
      <c r="J132" s="1869" t="s">
        <v>1001</v>
      </c>
      <c r="K132" s="1869"/>
      <c r="L132" s="1869"/>
      <c r="M132" s="1869"/>
      <c r="N132" s="117"/>
      <c r="O132" s="117"/>
      <c r="P132" s="117"/>
      <c r="Q132" s="117"/>
      <c r="R132" s="117"/>
      <c r="S132" s="117"/>
      <c r="T132" s="325"/>
      <c r="U132" s="327"/>
    </row>
    <row r="133" spans="1:21" ht="12" customHeight="1">
      <c r="A133" s="337"/>
      <c r="B133" s="117"/>
      <c r="C133" s="117"/>
      <c r="D133" s="117"/>
      <c r="E133" s="117"/>
      <c r="F133" s="117"/>
      <c r="G133" s="117"/>
      <c r="H133" s="117"/>
      <c r="I133" s="117"/>
      <c r="J133" s="117"/>
      <c r="K133" s="117"/>
      <c r="L133" s="117"/>
      <c r="M133" s="117"/>
      <c r="N133" s="117"/>
      <c r="O133" s="117"/>
      <c r="P133" s="117"/>
      <c r="Q133" s="117"/>
      <c r="R133" s="117"/>
      <c r="S133" s="117"/>
      <c r="T133" s="325"/>
      <c r="U133" s="327"/>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5"/>
      <c r="U134" s="327"/>
    </row>
    <row r="135" spans="1:21" ht="12.75">
      <c r="A135" s="313" t="s">
        <v>1003</v>
      </c>
      <c r="B135" s="117"/>
      <c r="C135" s="117"/>
      <c r="D135" s="117"/>
      <c r="E135" s="117"/>
      <c r="F135" s="117"/>
      <c r="G135" s="117"/>
      <c r="H135" s="117"/>
      <c r="I135" s="117"/>
      <c r="J135" s="117"/>
      <c r="K135" s="117"/>
      <c r="L135" s="117"/>
      <c r="M135" s="117"/>
      <c r="N135" s="338"/>
      <c r="O135" s="117"/>
      <c r="P135" s="117"/>
      <c r="Q135" s="117"/>
      <c r="R135" s="117"/>
      <c r="S135" s="117"/>
      <c r="T135" s="325"/>
      <c r="U135" s="327"/>
    </row>
    <row r="136" spans="1:21" ht="12" customHeight="1">
      <c r="A136" s="337"/>
      <c r="B136" s="117"/>
      <c r="C136" s="117"/>
      <c r="D136" s="117"/>
      <c r="E136" s="117"/>
      <c r="F136" s="117"/>
      <c r="G136" s="117"/>
      <c r="H136" s="117"/>
      <c r="I136" s="117"/>
      <c r="J136" s="117"/>
      <c r="K136" s="117"/>
      <c r="L136" s="117"/>
      <c r="M136" s="117"/>
      <c r="N136" s="117"/>
      <c r="O136" s="117"/>
      <c r="P136" s="117"/>
      <c r="Q136" s="117"/>
      <c r="R136" s="117"/>
      <c r="S136" s="117"/>
      <c r="T136" s="331"/>
      <c r="U136" s="332"/>
    </row>
    <row r="137" spans="1:21" ht="12.75">
      <c r="A137" s="337"/>
      <c r="B137" s="117"/>
      <c r="C137" s="117"/>
      <c r="D137" s="117"/>
      <c r="E137" s="117"/>
      <c r="F137" s="117"/>
      <c r="G137" s="117"/>
      <c r="H137" s="117"/>
      <c r="I137" s="117"/>
      <c r="J137" s="117"/>
      <c r="K137" s="117"/>
      <c r="L137" s="117"/>
      <c r="M137" s="117"/>
      <c r="N137" s="117"/>
      <c r="O137" s="117"/>
      <c r="P137" s="117"/>
      <c r="Q137" s="117"/>
      <c r="R137" s="117"/>
      <c r="S137" s="117"/>
      <c r="T137" s="331"/>
      <c r="U137" s="332"/>
    </row>
    <row r="138" spans="1:21" ht="12" customHeight="1">
      <c r="A138" s="1870"/>
      <c r="B138" s="1871"/>
      <c r="C138" s="1871"/>
      <c r="D138" s="329"/>
      <c r="E138" s="1867"/>
      <c r="F138" s="1867"/>
      <c r="G138" s="117"/>
      <c r="H138" s="117"/>
      <c r="I138" s="117"/>
      <c r="J138" s="117"/>
      <c r="K138" s="117"/>
      <c r="L138" s="117"/>
      <c r="M138" s="117"/>
      <c r="N138" s="117"/>
      <c r="O138" s="117"/>
      <c r="P138" s="117"/>
      <c r="Q138" s="117"/>
      <c r="R138" s="117"/>
      <c r="S138" s="117"/>
      <c r="T138" s="331"/>
      <c r="U138" s="332"/>
    </row>
    <row r="139" spans="1:21" ht="12.75">
      <c r="A139" s="1866" t="s">
        <v>1004</v>
      </c>
      <c r="B139" s="1866"/>
      <c r="C139" s="1866"/>
      <c r="D139" s="329"/>
      <c r="E139" s="117" t="s">
        <v>998</v>
      </c>
      <c r="F139" s="117"/>
      <c r="G139" s="117"/>
      <c r="H139" s="117"/>
      <c r="I139" s="117"/>
      <c r="J139" s="117"/>
      <c r="K139" s="117"/>
      <c r="L139" s="117"/>
      <c r="M139" s="117"/>
      <c r="N139" s="117"/>
      <c r="O139" s="117"/>
      <c r="P139" s="117"/>
      <c r="Q139" s="117"/>
      <c r="R139" s="117"/>
      <c r="S139" s="117"/>
      <c r="T139" s="331"/>
      <c r="U139" s="332"/>
    </row>
    <row r="140" spans="1:21" ht="12.75">
      <c r="A140" s="337"/>
      <c r="B140" s="117"/>
      <c r="C140" s="117"/>
      <c r="D140" s="329"/>
      <c r="E140" s="117"/>
      <c r="F140" s="117"/>
      <c r="G140" s="117"/>
      <c r="H140" s="117"/>
      <c r="I140" s="117"/>
      <c r="J140" s="117"/>
      <c r="K140" s="117"/>
      <c r="L140" s="117"/>
      <c r="M140" s="117"/>
      <c r="N140" s="117"/>
      <c r="O140" s="117"/>
      <c r="P140" s="117"/>
      <c r="Q140" s="117"/>
      <c r="R140" s="117"/>
      <c r="S140" s="117"/>
      <c r="T140" s="328"/>
      <c r="U140" s="330"/>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7" workbookViewId="0">
      <selection activeCell="C83" sqref="C83"/>
    </sheetView>
  </sheetViews>
  <sheetFormatPr defaultColWidth="0" defaultRowHeight="12" zeroHeight="1"/>
  <cols>
    <col min="1" max="1" width="32.5703125" style="398" customWidth="1"/>
    <col min="2" max="3" width="12.140625" style="394" customWidth="1"/>
    <col min="4" max="6" width="12.85546875" style="394" customWidth="1"/>
    <col min="7" max="9" width="12.140625" style="394" customWidth="1"/>
    <col min="10" max="10" width="12.140625" style="395" customWidth="1"/>
    <col min="11" max="11" width="8.85546875" style="396" hidden="1" customWidth="1"/>
    <col min="12" max="21" width="8.85546875" style="394" hidden="1" customWidth="1"/>
    <col min="22" max="23" width="0" style="394" hidden="1"/>
    <col min="24" max="256" width="8.85546875" style="394" hidden="1"/>
    <col min="257" max="257" width="32.5703125" style="394" hidden="1" customWidth="1"/>
    <col min="258" max="259" width="12.140625" style="394" hidden="1" customWidth="1"/>
    <col min="260" max="260" width="12.85546875" style="394" hidden="1" customWidth="1"/>
    <col min="261" max="266" width="12.140625" style="394" hidden="1" customWidth="1"/>
    <col min="267" max="277" width="8.85546875" style="394" hidden="1" customWidth="1"/>
    <col min="278" max="512" width="8.85546875" style="394" hidden="1"/>
    <col min="513" max="513" width="32.5703125" style="394" hidden="1" customWidth="1"/>
    <col min="514" max="515" width="12.140625" style="394" hidden="1" customWidth="1"/>
    <col min="516" max="516" width="12.85546875" style="394" hidden="1" customWidth="1"/>
    <col min="517" max="522" width="12.140625" style="394" hidden="1" customWidth="1"/>
    <col min="523" max="533" width="8.85546875" style="394" hidden="1" customWidth="1"/>
    <col min="534" max="768" width="8.85546875" style="394" hidden="1"/>
    <col min="769" max="769" width="32.5703125" style="394" hidden="1" customWidth="1"/>
    <col min="770" max="771" width="12.140625" style="394" hidden="1" customWidth="1"/>
    <col min="772" max="772" width="12.85546875" style="394" hidden="1" customWidth="1"/>
    <col min="773" max="778" width="12.140625" style="394" hidden="1" customWidth="1"/>
    <col min="779" max="789" width="8.85546875" style="394" hidden="1" customWidth="1"/>
    <col min="790" max="1024" width="8.85546875" style="394" hidden="1"/>
    <col min="1025" max="1025" width="32.5703125" style="394" hidden="1" customWidth="1"/>
    <col min="1026" max="1027" width="12.140625" style="394" hidden="1" customWidth="1"/>
    <col min="1028" max="1028" width="12.85546875" style="394" hidden="1" customWidth="1"/>
    <col min="1029" max="1034" width="12.140625" style="394" hidden="1" customWidth="1"/>
    <col min="1035" max="1045" width="8.85546875" style="394" hidden="1" customWidth="1"/>
    <col min="1046" max="1280" width="8.85546875" style="394" hidden="1"/>
    <col min="1281" max="1281" width="32.5703125" style="394" hidden="1" customWidth="1"/>
    <col min="1282" max="1283" width="12.140625" style="394" hidden="1" customWidth="1"/>
    <col min="1284" max="1284" width="12.85546875" style="394" hidden="1" customWidth="1"/>
    <col min="1285" max="1290" width="12.140625" style="394" hidden="1" customWidth="1"/>
    <col min="1291" max="1301" width="8.85546875" style="394" hidden="1" customWidth="1"/>
    <col min="1302" max="1536" width="8.85546875" style="394" hidden="1"/>
    <col min="1537" max="1537" width="32.5703125" style="394" hidden="1" customWidth="1"/>
    <col min="1538" max="1539" width="12.140625" style="394" hidden="1" customWidth="1"/>
    <col min="1540" max="1540" width="12.85546875" style="394" hidden="1" customWidth="1"/>
    <col min="1541" max="1546" width="12.140625" style="394" hidden="1" customWidth="1"/>
    <col min="1547" max="1557" width="8.85546875" style="394" hidden="1" customWidth="1"/>
    <col min="1558" max="1792" width="8.85546875" style="394" hidden="1"/>
    <col min="1793" max="1793" width="32.5703125" style="394" hidden="1" customWidth="1"/>
    <col min="1794" max="1795" width="12.140625" style="394" hidden="1" customWidth="1"/>
    <col min="1796" max="1796" width="12.85546875" style="394" hidden="1" customWidth="1"/>
    <col min="1797" max="1802" width="12.140625" style="394" hidden="1" customWidth="1"/>
    <col min="1803" max="1813" width="8.85546875" style="394" hidden="1" customWidth="1"/>
    <col min="1814" max="2048" width="8.85546875" style="394" hidden="1"/>
    <col min="2049" max="2049" width="32.5703125" style="394" hidden="1" customWidth="1"/>
    <col min="2050" max="2051" width="12.140625" style="394" hidden="1" customWidth="1"/>
    <col min="2052" max="2052" width="12.85546875" style="394" hidden="1" customWidth="1"/>
    <col min="2053" max="2058" width="12.140625" style="394" hidden="1" customWidth="1"/>
    <col min="2059" max="2069" width="8.85546875" style="394" hidden="1" customWidth="1"/>
    <col min="2070" max="2304" width="8.85546875" style="394" hidden="1"/>
    <col min="2305" max="2305" width="32.5703125" style="394" hidden="1" customWidth="1"/>
    <col min="2306" max="2307" width="12.140625" style="394" hidden="1" customWidth="1"/>
    <col min="2308" max="2308" width="12.85546875" style="394" hidden="1" customWidth="1"/>
    <col min="2309" max="2314" width="12.140625" style="394" hidden="1" customWidth="1"/>
    <col min="2315" max="2325" width="8.85546875" style="394" hidden="1" customWidth="1"/>
    <col min="2326" max="2560" width="8.85546875" style="394" hidden="1"/>
    <col min="2561" max="2561" width="32.5703125" style="394" hidden="1" customWidth="1"/>
    <col min="2562" max="2563" width="12.140625" style="394" hidden="1" customWidth="1"/>
    <col min="2564" max="2564" width="12.85546875" style="394" hidden="1" customWidth="1"/>
    <col min="2565" max="2570" width="12.140625" style="394" hidden="1" customWidth="1"/>
    <col min="2571" max="2581" width="8.85546875" style="394" hidden="1" customWidth="1"/>
    <col min="2582" max="2816" width="8.85546875" style="394" hidden="1"/>
    <col min="2817" max="2817" width="32.5703125" style="394" hidden="1" customWidth="1"/>
    <col min="2818" max="2819" width="12.140625" style="394" hidden="1" customWidth="1"/>
    <col min="2820" max="2820" width="12.85546875" style="394" hidden="1" customWidth="1"/>
    <col min="2821" max="2826" width="12.140625" style="394" hidden="1" customWidth="1"/>
    <col min="2827" max="2837" width="8.85546875" style="394" hidden="1" customWidth="1"/>
    <col min="2838" max="3072" width="8.85546875" style="394" hidden="1"/>
    <col min="3073" max="3073" width="32.5703125" style="394" hidden="1" customWidth="1"/>
    <col min="3074" max="3075" width="12.140625" style="394" hidden="1" customWidth="1"/>
    <col min="3076" max="3076" width="12.85546875" style="394" hidden="1" customWidth="1"/>
    <col min="3077" max="3082" width="12.140625" style="394" hidden="1" customWidth="1"/>
    <col min="3083" max="3093" width="8.85546875" style="394" hidden="1" customWidth="1"/>
    <col min="3094" max="3328" width="8.85546875" style="394" hidden="1"/>
    <col min="3329" max="3329" width="32.5703125" style="394" hidden="1" customWidth="1"/>
    <col min="3330" max="3331" width="12.140625" style="394" hidden="1" customWidth="1"/>
    <col min="3332" max="3332" width="12.85546875" style="394" hidden="1" customWidth="1"/>
    <col min="3333" max="3338" width="12.140625" style="394" hidden="1" customWidth="1"/>
    <col min="3339" max="3349" width="8.85546875" style="394" hidden="1" customWidth="1"/>
    <col min="3350" max="3584" width="8.85546875" style="394" hidden="1"/>
    <col min="3585" max="3585" width="32.5703125" style="394" hidden="1" customWidth="1"/>
    <col min="3586" max="3587" width="12.140625" style="394" hidden="1" customWidth="1"/>
    <col min="3588" max="3588" width="12.85546875" style="394" hidden="1" customWidth="1"/>
    <col min="3589" max="3594" width="12.140625" style="394" hidden="1" customWidth="1"/>
    <col min="3595" max="3605" width="8.85546875" style="394" hidden="1" customWidth="1"/>
    <col min="3606" max="3840" width="8.85546875" style="394" hidden="1"/>
    <col min="3841" max="3841" width="32.5703125" style="394" hidden="1" customWidth="1"/>
    <col min="3842" max="3843" width="12.140625" style="394" hidden="1" customWidth="1"/>
    <col min="3844" max="3844" width="12.85546875" style="394" hidden="1" customWidth="1"/>
    <col min="3845" max="3850" width="12.140625" style="394" hidden="1" customWidth="1"/>
    <col min="3851" max="3861" width="8.85546875" style="394" hidden="1" customWidth="1"/>
    <col min="3862" max="4096" width="8.85546875" style="394" hidden="1"/>
    <col min="4097" max="4097" width="32.5703125" style="394" hidden="1" customWidth="1"/>
    <col min="4098" max="4099" width="12.140625" style="394" hidden="1" customWidth="1"/>
    <col min="4100" max="4100" width="12.85546875" style="394" hidden="1" customWidth="1"/>
    <col min="4101" max="4106" width="12.140625" style="394" hidden="1" customWidth="1"/>
    <col min="4107" max="4117" width="8.85546875" style="394" hidden="1" customWidth="1"/>
    <col min="4118" max="4352" width="8.85546875" style="394" hidden="1"/>
    <col min="4353" max="4353" width="32.5703125" style="394" hidden="1" customWidth="1"/>
    <col min="4354" max="4355" width="12.140625" style="394" hidden="1" customWidth="1"/>
    <col min="4356" max="4356" width="12.85546875" style="394" hidden="1" customWidth="1"/>
    <col min="4357" max="4362" width="12.140625" style="394" hidden="1" customWidth="1"/>
    <col min="4363" max="4373" width="8.85546875" style="394" hidden="1" customWidth="1"/>
    <col min="4374" max="4608" width="8.85546875" style="394" hidden="1"/>
    <col min="4609" max="4609" width="32.5703125" style="394" hidden="1" customWidth="1"/>
    <col min="4610" max="4611" width="12.140625" style="394" hidden="1" customWidth="1"/>
    <col min="4612" max="4612" width="12.85546875" style="394" hidden="1" customWidth="1"/>
    <col min="4613" max="4618" width="12.140625" style="394" hidden="1" customWidth="1"/>
    <col min="4619" max="4629" width="8.85546875" style="394" hidden="1" customWidth="1"/>
    <col min="4630" max="4864" width="8.85546875" style="394" hidden="1"/>
    <col min="4865" max="4865" width="32.5703125" style="394" hidden="1" customWidth="1"/>
    <col min="4866" max="4867" width="12.140625" style="394" hidden="1" customWidth="1"/>
    <col min="4868" max="4868" width="12.85546875" style="394" hidden="1" customWidth="1"/>
    <col min="4869" max="4874" width="12.140625" style="394" hidden="1" customWidth="1"/>
    <col min="4875" max="4885" width="8.85546875" style="394" hidden="1" customWidth="1"/>
    <col min="4886" max="5120" width="8.85546875" style="394" hidden="1"/>
    <col min="5121" max="5121" width="32.5703125" style="394" hidden="1" customWidth="1"/>
    <col min="5122" max="5123" width="12.140625" style="394" hidden="1" customWidth="1"/>
    <col min="5124" max="5124" width="12.85546875" style="394" hidden="1" customWidth="1"/>
    <col min="5125" max="5130" width="12.140625" style="394" hidden="1" customWidth="1"/>
    <col min="5131" max="5141" width="8.85546875" style="394" hidden="1" customWidth="1"/>
    <col min="5142" max="5376" width="8.85546875" style="394" hidden="1"/>
    <col min="5377" max="5377" width="32.5703125" style="394" hidden="1" customWidth="1"/>
    <col min="5378" max="5379" width="12.140625" style="394" hidden="1" customWidth="1"/>
    <col min="5380" max="5380" width="12.85546875" style="394" hidden="1" customWidth="1"/>
    <col min="5381" max="5386" width="12.140625" style="394" hidden="1" customWidth="1"/>
    <col min="5387" max="5397" width="8.85546875" style="394" hidden="1" customWidth="1"/>
    <col min="5398" max="5632" width="8.85546875" style="394" hidden="1"/>
    <col min="5633" max="5633" width="32.5703125" style="394" hidden="1" customWidth="1"/>
    <col min="5634" max="5635" width="12.140625" style="394" hidden="1" customWidth="1"/>
    <col min="5636" max="5636" width="12.85546875" style="394" hidden="1" customWidth="1"/>
    <col min="5637" max="5642" width="12.140625" style="394" hidden="1" customWidth="1"/>
    <col min="5643" max="5653" width="8.85546875" style="394" hidden="1" customWidth="1"/>
    <col min="5654" max="5888" width="8.85546875" style="394" hidden="1"/>
    <col min="5889" max="5889" width="32.5703125" style="394" hidden="1" customWidth="1"/>
    <col min="5890" max="5891" width="12.140625" style="394" hidden="1" customWidth="1"/>
    <col min="5892" max="5892" width="12.85546875" style="394" hidden="1" customWidth="1"/>
    <col min="5893" max="5898" width="12.140625" style="394" hidden="1" customWidth="1"/>
    <col min="5899" max="5909" width="8.85546875" style="394" hidden="1" customWidth="1"/>
    <col min="5910" max="6144" width="8.85546875" style="394" hidden="1"/>
    <col min="6145" max="6145" width="32.5703125" style="394" hidden="1" customWidth="1"/>
    <col min="6146" max="6147" width="12.140625" style="394" hidden="1" customWidth="1"/>
    <col min="6148" max="6148" width="12.85546875" style="394" hidden="1" customWidth="1"/>
    <col min="6149" max="6154" width="12.140625" style="394" hidden="1" customWidth="1"/>
    <col min="6155" max="6165" width="8.85546875" style="394" hidden="1" customWidth="1"/>
    <col min="6166" max="6400" width="8.85546875" style="394" hidden="1"/>
    <col min="6401" max="6401" width="32.5703125" style="394" hidden="1" customWidth="1"/>
    <col min="6402" max="6403" width="12.140625" style="394" hidden="1" customWidth="1"/>
    <col min="6404" max="6404" width="12.85546875" style="394" hidden="1" customWidth="1"/>
    <col min="6405" max="6410" width="12.140625" style="394" hidden="1" customWidth="1"/>
    <col min="6411" max="6421" width="8.85546875" style="394" hidden="1" customWidth="1"/>
    <col min="6422" max="6656" width="8.85546875" style="394" hidden="1"/>
    <col min="6657" max="6657" width="32.5703125" style="394" hidden="1" customWidth="1"/>
    <col min="6658" max="6659" width="12.140625" style="394" hidden="1" customWidth="1"/>
    <col min="6660" max="6660" width="12.85546875" style="394" hidden="1" customWidth="1"/>
    <col min="6661" max="6666" width="12.140625" style="394" hidden="1" customWidth="1"/>
    <col min="6667" max="6677" width="8.85546875" style="394" hidden="1" customWidth="1"/>
    <col min="6678" max="6912" width="8.85546875" style="394" hidden="1"/>
    <col min="6913" max="6913" width="32.5703125" style="394" hidden="1" customWidth="1"/>
    <col min="6914" max="6915" width="12.140625" style="394" hidden="1" customWidth="1"/>
    <col min="6916" max="6916" width="12.85546875" style="394" hidden="1" customWidth="1"/>
    <col min="6917" max="6922" width="12.140625" style="394" hidden="1" customWidth="1"/>
    <col min="6923" max="6933" width="8.85546875" style="394" hidden="1" customWidth="1"/>
    <col min="6934" max="7168" width="8.85546875" style="394" hidden="1"/>
    <col min="7169" max="7169" width="32.5703125" style="394" hidden="1" customWidth="1"/>
    <col min="7170" max="7171" width="12.140625" style="394" hidden="1" customWidth="1"/>
    <col min="7172" max="7172" width="12.85546875" style="394" hidden="1" customWidth="1"/>
    <col min="7173" max="7178" width="12.140625" style="394" hidden="1" customWidth="1"/>
    <col min="7179" max="7189" width="8.85546875" style="394" hidden="1" customWidth="1"/>
    <col min="7190" max="7424" width="8.85546875" style="394" hidden="1"/>
    <col min="7425" max="7425" width="32.5703125" style="394" hidden="1" customWidth="1"/>
    <col min="7426" max="7427" width="12.140625" style="394" hidden="1" customWidth="1"/>
    <col min="7428" max="7428" width="12.85546875" style="394" hidden="1" customWidth="1"/>
    <col min="7429" max="7434" width="12.140625" style="394" hidden="1" customWidth="1"/>
    <col min="7435" max="7445" width="8.85546875" style="394" hidden="1" customWidth="1"/>
    <col min="7446" max="7680" width="8.85546875" style="394" hidden="1"/>
    <col min="7681" max="7681" width="32.5703125" style="394" hidden="1" customWidth="1"/>
    <col min="7682" max="7683" width="12.140625" style="394" hidden="1" customWidth="1"/>
    <col min="7684" max="7684" width="12.85546875" style="394" hidden="1" customWidth="1"/>
    <col min="7685" max="7690" width="12.140625" style="394" hidden="1" customWidth="1"/>
    <col min="7691" max="7701" width="8.85546875" style="394" hidden="1" customWidth="1"/>
    <col min="7702" max="7936" width="8.85546875" style="394" hidden="1"/>
    <col min="7937" max="7937" width="32.5703125" style="394" hidden="1" customWidth="1"/>
    <col min="7938" max="7939" width="12.140625" style="394" hidden="1" customWidth="1"/>
    <col min="7940" max="7940" width="12.85546875" style="394" hidden="1" customWidth="1"/>
    <col min="7941" max="7946" width="12.140625" style="394" hidden="1" customWidth="1"/>
    <col min="7947" max="7957" width="8.85546875" style="394" hidden="1" customWidth="1"/>
    <col min="7958" max="8192" width="8.85546875" style="394" hidden="1"/>
    <col min="8193" max="8193" width="32.5703125" style="394" hidden="1" customWidth="1"/>
    <col min="8194" max="8195" width="12.140625" style="394" hidden="1" customWidth="1"/>
    <col min="8196" max="8196" width="12.85546875" style="394" hidden="1" customWidth="1"/>
    <col min="8197" max="8202" width="12.140625" style="394" hidden="1" customWidth="1"/>
    <col min="8203" max="8213" width="8.85546875" style="394" hidden="1" customWidth="1"/>
    <col min="8214" max="8448" width="8.85546875" style="394" hidden="1"/>
    <col min="8449" max="8449" width="32.5703125" style="394" hidden="1" customWidth="1"/>
    <col min="8450" max="8451" width="12.140625" style="394" hidden="1" customWidth="1"/>
    <col min="8452" max="8452" width="12.85546875" style="394" hidden="1" customWidth="1"/>
    <col min="8453" max="8458" width="12.140625" style="394" hidden="1" customWidth="1"/>
    <col min="8459" max="8469" width="8.85546875" style="394" hidden="1" customWidth="1"/>
    <col min="8470" max="8704" width="8.85546875" style="394" hidden="1"/>
    <col min="8705" max="8705" width="32.5703125" style="394" hidden="1" customWidth="1"/>
    <col min="8706" max="8707" width="12.140625" style="394" hidden="1" customWidth="1"/>
    <col min="8708" max="8708" width="12.85546875" style="394" hidden="1" customWidth="1"/>
    <col min="8709" max="8714" width="12.140625" style="394" hidden="1" customWidth="1"/>
    <col min="8715" max="8725" width="8.85546875" style="394" hidden="1" customWidth="1"/>
    <col min="8726" max="8960" width="8.85546875" style="394" hidden="1"/>
    <col min="8961" max="8961" width="32.5703125" style="394" hidden="1" customWidth="1"/>
    <col min="8962" max="8963" width="12.140625" style="394" hidden="1" customWidth="1"/>
    <col min="8964" max="8964" width="12.85546875" style="394" hidden="1" customWidth="1"/>
    <col min="8965" max="8970" width="12.140625" style="394" hidden="1" customWidth="1"/>
    <col min="8971" max="8981" width="8.85546875" style="394" hidden="1" customWidth="1"/>
    <col min="8982" max="9216" width="8.85546875" style="394" hidden="1"/>
    <col min="9217" max="9217" width="32.5703125" style="394" hidden="1" customWidth="1"/>
    <col min="9218" max="9219" width="12.140625" style="394" hidden="1" customWidth="1"/>
    <col min="9220" max="9220" width="12.85546875" style="394" hidden="1" customWidth="1"/>
    <col min="9221" max="9226" width="12.140625" style="394" hidden="1" customWidth="1"/>
    <col min="9227" max="9237" width="8.85546875" style="394" hidden="1" customWidth="1"/>
    <col min="9238" max="9472" width="8.85546875" style="394" hidden="1"/>
    <col min="9473" max="9473" width="32.5703125" style="394" hidden="1" customWidth="1"/>
    <col min="9474" max="9475" width="12.140625" style="394" hidden="1" customWidth="1"/>
    <col min="9476" max="9476" width="12.85546875" style="394" hidden="1" customWidth="1"/>
    <col min="9477" max="9482" width="12.140625" style="394" hidden="1" customWidth="1"/>
    <col min="9483" max="9493" width="8.85546875" style="394" hidden="1" customWidth="1"/>
    <col min="9494" max="9728" width="8.85546875" style="394" hidden="1"/>
    <col min="9729" max="9729" width="32.5703125" style="394" hidden="1" customWidth="1"/>
    <col min="9730" max="9731" width="12.140625" style="394" hidden="1" customWidth="1"/>
    <col min="9732" max="9732" width="12.85546875" style="394" hidden="1" customWidth="1"/>
    <col min="9733" max="9738" width="12.140625" style="394" hidden="1" customWidth="1"/>
    <col min="9739" max="9749" width="8.85546875" style="394" hidden="1" customWidth="1"/>
    <col min="9750" max="9984" width="8.85546875" style="394" hidden="1"/>
    <col min="9985" max="9985" width="32.5703125" style="394" hidden="1" customWidth="1"/>
    <col min="9986" max="9987" width="12.140625" style="394" hidden="1" customWidth="1"/>
    <col min="9988" max="9988" width="12.85546875" style="394" hidden="1" customWidth="1"/>
    <col min="9989" max="9994" width="12.140625" style="394" hidden="1" customWidth="1"/>
    <col min="9995" max="10005" width="8.85546875" style="394" hidden="1" customWidth="1"/>
    <col min="10006" max="10240" width="8.85546875" style="394" hidden="1"/>
    <col min="10241" max="10241" width="32.5703125" style="394" hidden="1" customWidth="1"/>
    <col min="10242" max="10243" width="12.140625" style="394" hidden="1" customWidth="1"/>
    <col min="10244" max="10244" width="12.85546875" style="394" hidden="1" customWidth="1"/>
    <col min="10245" max="10250" width="12.140625" style="394" hidden="1" customWidth="1"/>
    <col min="10251" max="10261" width="8.85546875" style="394" hidden="1" customWidth="1"/>
    <col min="10262" max="10496" width="8.85546875" style="394" hidden="1"/>
    <col min="10497" max="10497" width="32.5703125" style="394" hidden="1" customWidth="1"/>
    <col min="10498" max="10499" width="12.140625" style="394" hidden="1" customWidth="1"/>
    <col min="10500" max="10500" width="12.85546875" style="394" hidden="1" customWidth="1"/>
    <col min="10501" max="10506" width="12.140625" style="394" hidden="1" customWidth="1"/>
    <col min="10507" max="10517" width="8.85546875" style="394" hidden="1" customWidth="1"/>
    <col min="10518" max="10752" width="8.85546875" style="394" hidden="1"/>
    <col min="10753" max="10753" width="32.5703125" style="394" hidden="1" customWidth="1"/>
    <col min="10754" max="10755" width="12.140625" style="394" hidden="1" customWidth="1"/>
    <col min="10756" max="10756" width="12.85546875" style="394" hidden="1" customWidth="1"/>
    <col min="10757" max="10762" width="12.140625" style="394" hidden="1" customWidth="1"/>
    <col min="10763" max="10773" width="8.85546875" style="394" hidden="1" customWidth="1"/>
    <col min="10774" max="11008" width="8.85546875" style="394" hidden="1"/>
    <col min="11009" max="11009" width="32.5703125" style="394" hidden="1" customWidth="1"/>
    <col min="11010" max="11011" width="12.140625" style="394" hidden="1" customWidth="1"/>
    <col min="11012" max="11012" width="12.85546875" style="394" hidden="1" customWidth="1"/>
    <col min="11013" max="11018" width="12.140625" style="394" hidden="1" customWidth="1"/>
    <col min="11019" max="11029" width="8.85546875" style="394" hidden="1" customWidth="1"/>
    <col min="11030" max="11264" width="8.85546875" style="394" hidden="1"/>
    <col min="11265" max="11265" width="32.5703125" style="394" hidden="1" customWidth="1"/>
    <col min="11266" max="11267" width="12.140625" style="394" hidden="1" customWidth="1"/>
    <col min="11268" max="11268" width="12.85546875" style="394" hidden="1" customWidth="1"/>
    <col min="11269" max="11274" width="12.140625" style="394" hidden="1" customWidth="1"/>
    <col min="11275" max="11285" width="8.85546875" style="394" hidden="1" customWidth="1"/>
    <col min="11286" max="11520" width="8.85546875" style="394" hidden="1"/>
    <col min="11521" max="11521" width="32.5703125" style="394" hidden="1" customWidth="1"/>
    <col min="11522" max="11523" width="12.140625" style="394" hidden="1" customWidth="1"/>
    <col min="11524" max="11524" width="12.85546875" style="394" hidden="1" customWidth="1"/>
    <col min="11525" max="11530" width="12.140625" style="394" hidden="1" customWidth="1"/>
    <col min="11531" max="11541" width="8.85546875" style="394" hidden="1" customWidth="1"/>
    <col min="11542" max="11776" width="8.85546875" style="394" hidden="1"/>
    <col min="11777" max="11777" width="32.5703125" style="394" hidden="1" customWidth="1"/>
    <col min="11778" max="11779" width="12.140625" style="394" hidden="1" customWidth="1"/>
    <col min="11780" max="11780" width="12.85546875" style="394" hidden="1" customWidth="1"/>
    <col min="11781" max="11786" width="12.140625" style="394" hidden="1" customWidth="1"/>
    <col min="11787" max="11797" width="8.85546875" style="394" hidden="1" customWidth="1"/>
    <col min="11798" max="12032" width="8.85546875" style="394" hidden="1"/>
    <col min="12033" max="12033" width="32.5703125" style="394" hidden="1" customWidth="1"/>
    <col min="12034" max="12035" width="12.140625" style="394" hidden="1" customWidth="1"/>
    <col min="12036" max="12036" width="12.85546875" style="394" hidden="1" customWidth="1"/>
    <col min="12037" max="12042" width="12.140625" style="394" hidden="1" customWidth="1"/>
    <col min="12043" max="12053" width="8.85546875" style="394" hidden="1" customWidth="1"/>
    <col min="12054" max="12288" width="8.85546875" style="394" hidden="1"/>
    <col min="12289" max="12289" width="32.5703125" style="394" hidden="1" customWidth="1"/>
    <col min="12290" max="12291" width="12.140625" style="394" hidden="1" customWidth="1"/>
    <col min="12292" max="12292" width="12.85546875" style="394" hidden="1" customWidth="1"/>
    <col min="12293" max="12298" width="12.140625" style="394" hidden="1" customWidth="1"/>
    <col min="12299" max="12309" width="8.85546875" style="394" hidden="1" customWidth="1"/>
    <col min="12310" max="12544" width="8.85546875" style="394" hidden="1"/>
    <col min="12545" max="12545" width="32.5703125" style="394" hidden="1" customWidth="1"/>
    <col min="12546" max="12547" width="12.140625" style="394" hidden="1" customWidth="1"/>
    <col min="12548" max="12548" width="12.85546875" style="394" hidden="1" customWidth="1"/>
    <col min="12549" max="12554" width="12.140625" style="394" hidden="1" customWidth="1"/>
    <col min="12555" max="12565" width="8.85546875" style="394" hidden="1" customWidth="1"/>
    <col min="12566" max="12800" width="8.85546875" style="394" hidden="1"/>
    <col min="12801" max="12801" width="32.5703125" style="394" hidden="1" customWidth="1"/>
    <col min="12802" max="12803" width="12.140625" style="394" hidden="1" customWidth="1"/>
    <col min="12804" max="12804" width="12.85546875" style="394" hidden="1" customWidth="1"/>
    <col min="12805" max="12810" width="12.140625" style="394" hidden="1" customWidth="1"/>
    <col min="12811" max="12821" width="8.85546875" style="394" hidden="1" customWidth="1"/>
    <col min="12822" max="13056" width="8.85546875" style="394" hidden="1"/>
    <col min="13057" max="13057" width="32.5703125" style="394" hidden="1" customWidth="1"/>
    <col min="13058" max="13059" width="12.140625" style="394" hidden="1" customWidth="1"/>
    <col min="13060" max="13060" width="12.85546875" style="394" hidden="1" customWidth="1"/>
    <col min="13061" max="13066" width="12.140625" style="394" hidden="1" customWidth="1"/>
    <col min="13067" max="13077" width="8.85546875" style="394" hidden="1" customWidth="1"/>
    <col min="13078" max="13312" width="8.85546875" style="394" hidden="1"/>
    <col min="13313" max="13313" width="32.5703125" style="394" hidden="1" customWidth="1"/>
    <col min="13314" max="13315" width="12.140625" style="394" hidden="1" customWidth="1"/>
    <col min="13316" max="13316" width="12.85546875" style="394" hidden="1" customWidth="1"/>
    <col min="13317" max="13322" width="12.140625" style="394" hidden="1" customWidth="1"/>
    <col min="13323" max="13333" width="8.85546875" style="394" hidden="1" customWidth="1"/>
    <col min="13334" max="13568" width="8.85546875" style="394" hidden="1"/>
    <col min="13569" max="13569" width="32.5703125" style="394" hidden="1" customWidth="1"/>
    <col min="13570" max="13571" width="12.140625" style="394" hidden="1" customWidth="1"/>
    <col min="13572" max="13572" width="12.85546875" style="394" hidden="1" customWidth="1"/>
    <col min="13573" max="13578" width="12.140625" style="394" hidden="1" customWidth="1"/>
    <col min="13579" max="13589" width="8.85546875" style="394" hidden="1" customWidth="1"/>
    <col min="13590" max="13824" width="8.85546875" style="394" hidden="1"/>
    <col min="13825" max="13825" width="32.5703125" style="394" hidden="1" customWidth="1"/>
    <col min="13826" max="13827" width="12.140625" style="394" hidden="1" customWidth="1"/>
    <col min="13828" max="13828" width="12.85546875" style="394" hidden="1" customWidth="1"/>
    <col min="13829" max="13834" width="12.140625" style="394" hidden="1" customWidth="1"/>
    <col min="13835" max="13845" width="8.85546875" style="394" hidden="1" customWidth="1"/>
    <col min="13846" max="14080" width="8.85546875" style="394" hidden="1"/>
    <col min="14081" max="14081" width="32.5703125" style="394" hidden="1" customWidth="1"/>
    <col min="14082" max="14083" width="12.140625" style="394" hidden="1" customWidth="1"/>
    <col min="14084" max="14084" width="12.85546875" style="394" hidden="1" customWidth="1"/>
    <col min="14085" max="14090" width="12.140625" style="394" hidden="1" customWidth="1"/>
    <col min="14091" max="14101" width="8.85546875" style="394" hidden="1" customWidth="1"/>
    <col min="14102" max="14336" width="8.85546875" style="394" hidden="1"/>
    <col min="14337" max="14337" width="32.5703125" style="394" hidden="1" customWidth="1"/>
    <col min="14338" max="14339" width="12.140625" style="394" hidden="1" customWidth="1"/>
    <col min="14340" max="14340" width="12.85546875" style="394" hidden="1" customWidth="1"/>
    <col min="14341" max="14346" width="12.140625" style="394" hidden="1" customWidth="1"/>
    <col min="14347" max="14357" width="8.85546875" style="394" hidden="1" customWidth="1"/>
    <col min="14358" max="14592" width="8.85546875" style="394" hidden="1"/>
    <col min="14593" max="14593" width="32.5703125" style="394" hidden="1" customWidth="1"/>
    <col min="14594" max="14595" width="12.140625" style="394" hidden="1" customWidth="1"/>
    <col min="14596" max="14596" width="12.85546875" style="394" hidden="1" customWidth="1"/>
    <col min="14597" max="14602" width="12.140625" style="394" hidden="1" customWidth="1"/>
    <col min="14603" max="14613" width="8.85546875" style="394" hidden="1" customWidth="1"/>
    <col min="14614" max="14848" width="8.85546875" style="394" hidden="1"/>
    <col min="14849" max="14849" width="32.5703125" style="394" hidden="1" customWidth="1"/>
    <col min="14850" max="14851" width="12.140625" style="394" hidden="1" customWidth="1"/>
    <col min="14852" max="14852" width="12.85546875" style="394" hidden="1" customWidth="1"/>
    <col min="14853" max="14858" width="12.140625" style="394" hidden="1" customWidth="1"/>
    <col min="14859" max="14869" width="8.85546875" style="394" hidden="1" customWidth="1"/>
    <col min="14870" max="15104" width="8.85546875" style="394" hidden="1"/>
    <col min="15105" max="15105" width="32.5703125" style="394" hidden="1" customWidth="1"/>
    <col min="15106" max="15107" width="12.140625" style="394" hidden="1" customWidth="1"/>
    <col min="15108" max="15108" width="12.85546875" style="394" hidden="1" customWidth="1"/>
    <col min="15109" max="15114" width="12.140625" style="394" hidden="1" customWidth="1"/>
    <col min="15115" max="15125" width="8.85546875" style="394" hidden="1" customWidth="1"/>
    <col min="15126" max="15360" width="8.85546875" style="394" hidden="1"/>
    <col min="15361" max="15361" width="32.5703125" style="394" hidden="1" customWidth="1"/>
    <col min="15362" max="15363" width="12.140625" style="394" hidden="1" customWidth="1"/>
    <col min="15364" max="15364" width="12.85546875" style="394" hidden="1" customWidth="1"/>
    <col min="15365" max="15370" width="12.140625" style="394" hidden="1" customWidth="1"/>
    <col min="15371" max="15381" width="8.85546875" style="394" hidden="1" customWidth="1"/>
    <col min="15382" max="15616" width="8.85546875" style="394" hidden="1"/>
    <col min="15617" max="15617" width="32.5703125" style="394" hidden="1" customWidth="1"/>
    <col min="15618" max="15619" width="12.140625" style="394" hidden="1" customWidth="1"/>
    <col min="15620" max="15620" width="12.85546875" style="394" hidden="1" customWidth="1"/>
    <col min="15621" max="15626" width="12.140625" style="394" hidden="1" customWidth="1"/>
    <col min="15627" max="15637" width="8.85546875" style="394" hidden="1" customWidth="1"/>
    <col min="15638" max="15872" width="8.85546875" style="394" hidden="1"/>
    <col min="15873" max="15873" width="32.5703125" style="394" hidden="1" customWidth="1"/>
    <col min="15874" max="15875" width="12.140625" style="394" hidden="1" customWidth="1"/>
    <col min="15876" max="15876" width="12.85546875" style="394" hidden="1" customWidth="1"/>
    <col min="15877" max="15882" width="12.140625" style="394" hidden="1" customWidth="1"/>
    <col min="15883" max="15893" width="8.85546875" style="394" hidden="1" customWidth="1"/>
    <col min="15894" max="16128" width="8.85546875" style="394" hidden="1"/>
    <col min="16129" max="16129" width="32.5703125" style="394" hidden="1" customWidth="1"/>
    <col min="16130" max="16131" width="12.140625" style="394" hidden="1" customWidth="1"/>
    <col min="16132" max="16132" width="12.85546875" style="394" hidden="1" customWidth="1"/>
    <col min="16133" max="16138" width="12.140625" style="394" hidden="1" customWidth="1"/>
    <col min="16139" max="16149" width="8.85546875" style="394" hidden="1" customWidth="1"/>
    <col min="16150" max="16384" width="8.85546875" style="394" hidden="1"/>
  </cols>
  <sheetData>
    <row r="1" spans="1:11" s="357" customFormat="1" ht="12.75">
      <c r="A1" s="1879" t="s">
        <v>1227</v>
      </c>
      <c r="B1" s="1880"/>
      <c r="C1" s="1880"/>
      <c r="D1" s="1880"/>
      <c r="E1" s="1880"/>
      <c r="F1" s="1880"/>
      <c r="G1" s="1880"/>
      <c r="H1" s="1880"/>
      <c r="I1" s="1880"/>
      <c r="J1" s="1881"/>
      <c r="K1" s="356"/>
    </row>
    <row r="2" spans="1:11" s="402" customFormat="1" ht="72">
      <c r="A2" s="399"/>
      <c r="B2" s="400" t="s">
        <v>1027</v>
      </c>
      <c r="C2" s="400" t="s">
        <v>1229</v>
      </c>
      <c r="D2" s="400" t="s">
        <v>1230</v>
      </c>
      <c r="E2" s="400" t="s">
        <v>1158</v>
      </c>
      <c r="F2" s="400" t="s">
        <v>1231</v>
      </c>
      <c r="G2" s="400" t="s">
        <v>1232</v>
      </c>
      <c r="H2" s="400" t="s">
        <v>1028</v>
      </c>
      <c r="I2" s="400" t="s">
        <v>1233</v>
      </c>
      <c r="J2" s="400" t="s">
        <v>1234</v>
      </c>
      <c r="K2" s="401"/>
    </row>
    <row r="3" spans="1:11" s="361" customFormat="1">
      <c r="A3" s="358" t="s">
        <v>26</v>
      </c>
      <c r="B3" s="359"/>
      <c r="C3" s="359"/>
      <c r="D3" s="359"/>
      <c r="E3" s="359"/>
      <c r="F3" s="359"/>
      <c r="G3" s="359"/>
      <c r="H3" s="359"/>
      <c r="I3" s="359"/>
      <c r="J3" s="359"/>
      <c r="K3" s="360"/>
    </row>
    <row r="4" spans="1:11" s="361" customFormat="1">
      <c r="A4" s="365" t="s">
        <v>27</v>
      </c>
      <c r="B4" s="362">
        <f>'Sources and Uses Budget'!C4</f>
        <v>3010000</v>
      </c>
      <c r="C4" s="363">
        <v>3010000</v>
      </c>
      <c r="D4" s="363"/>
      <c r="E4" s="364"/>
      <c r="F4" s="364"/>
      <c r="G4" s="364"/>
      <c r="H4" s="364"/>
      <c r="I4" s="364"/>
      <c r="J4" s="364"/>
      <c r="K4" s="360"/>
    </row>
    <row r="5" spans="1:11" s="361" customFormat="1">
      <c r="A5" s="365" t="s">
        <v>28</v>
      </c>
      <c r="B5" s="362">
        <f>'Sources and Uses Budget'!C5</f>
        <v>0</v>
      </c>
      <c r="C5" s="363"/>
      <c r="D5" s="363"/>
      <c r="E5" s="364"/>
      <c r="F5" s="364"/>
      <c r="G5" s="364"/>
      <c r="H5" s="364"/>
      <c r="I5" s="364"/>
      <c r="J5" s="364"/>
      <c r="K5" s="360"/>
    </row>
    <row r="6" spans="1:11" s="361" customFormat="1">
      <c r="A6" s="365" t="s">
        <v>29</v>
      </c>
      <c r="B6" s="362">
        <f>'Sources and Uses Budget'!C6</f>
        <v>0</v>
      </c>
      <c r="C6" s="363"/>
      <c r="D6" s="363"/>
      <c r="E6" s="364"/>
      <c r="F6" s="364"/>
      <c r="G6" s="364"/>
      <c r="H6" s="364"/>
      <c r="I6" s="364"/>
      <c r="J6" s="364"/>
      <c r="K6" s="360"/>
    </row>
    <row r="7" spans="1:11" s="361" customFormat="1">
      <c r="A7" s="365" t="s">
        <v>97</v>
      </c>
      <c r="B7" s="362">
        <f>'Sources and Uses Budget'!C7</f>
        <v>0</v>
      </c>
      <c r="C7" s="363"/>
      <c r="D7" s="363"/>
      <c r="E7" s="364"/>
      <c r="F7" s="364"/>
      <c r="G7" s="364"/>
      <c r="H7" s="364"/>
      <c r="I7" s="364"/>
      <c r="J7" s="364"/>
      <c r="K7" s="360"/>
    </row>
    <row r="8" spans="1:11" s="361" customFormat="1">
      <c r="A8" s="366" t="s">
        <v>593</v>
      </c>
      <c r="B8" s="362">
        <f>'Sources and Uses Budget'!C8</f>
        <v>3010000</v>
      </c>
      <c r="C8" s="362">
        <f>SUM(C4:C7)</f>
        <v>3010000</v>
      </c>
      <c r="D8" s="362">
        <f>SUM(D4:D7)</f>
        <v>0</v>
      </c>
      <c r="E8" s="364"/>
      <c r="F8" s="364"/>
      <c r="G8" s="364"/>
      <c r="H8" s="364"/>
      <c r="I8" s="364"/>
      <c r="J8" s="364"/>
      <c r="K8" s="360"/>
    </row>
    <row r="9" spans="1:11" s="361" customFormat="1">
      <c r="A9" s="365" t="s">
        <v>594</v>
      </c>
      <c r="B9" s="362">
        <f>'Sources and Uses Budget'!C9</f>
        <v>15440000</v>
      </c>
      <c r="C9" s="363">
        <v>15440000</v>
      </c>
      <c r="D9" s="363"/>
      <c r="E9" s="364"/>
      <c r="F9" s="364"/>
      <c r="G9" s="364"/>
      <c r="H9" s="362">
        <f>'Sources and Uses Budget'!T9</f>
        <v>15440000</v>
      </c>
      <c r="I9" s="363">
        <v>15440000</v>
      </c>
      <c r="J9" s="363"/>
      <c r="K9" s="360"/>
    </row>
    <row r="10" spans="1:11" s="361" customFormat="1">
      <c r="A10" s="365" t="s">
        <v>595</v>
      </c>
      <c r="B10" s="362">
        <f>'Sources and Uses Budget'!C10</f>
        <v>0</v>
      </c>
      <c r="C10" s="363"/>
      <c r="D10" s="363"/>
      <c r="E10" s="362">
        <f>'Sources and Uses Budget'!S10</f>
        <v>0</v>
      </c>
      <c r="F10" s="363"/>
      <c r="G10" s="363"/>
      <c r="H10" s="362">
        <f>'Sources and Uses Budget'!T10</f>
        <v>0</v>
      </c>
      <c r="I10" s="363"/>
      <c r="J10" s="363"/>
      <c r="K10" s="360"/>
    </row>
    <row r="11" spans="1:11" s="361" customFormat="1">
      <c r="A11" s="366" t="s">
        <v>596</v>
      </c>
      <c r="B11" s="362">
        <f>'Sources and Uses Budget'!C11</f>
        <v>15440000</v>
      </c>
      <c r="C11" s="362">
        <f>SUM(C9:C10)</f>
        <v>15440000</v>
      </c>
      <c r="D11" s="362">
        <f>SUM(D9:D10)</f>
        <v>0</v>
      </c>
      <c r="E11" s="364"/>
      <c r="F11" s="364"/>
      <c r="G11" s="364"/>
      <c r="H11" s="362">
        <f>'Sources and Uses Budget'!T11</f>
        <v>15440000</v>
      </c>
      <c r="I11" s="362">
        <f>SUM(I9:I10)</f>
        <v>15440000</v>
      </c>
      <c r="J11" s="362">
        <f>SUM(J9:J10)</f>
        <v>0</v>
      </c>
      <c r="K11" s="360"/>
    </row>
    <row r="12" spans="1:11" s="361" customFormat="1">
      <c r="A12" s="366" t="s">
        <v>84</v>
      </c>
      <c r="B12" s="362">
        <f>'Sources and Uses Budget'!C12</f>
        <v>18450000</v>
      </c>
      <c r="C12" s="362">
        <f>SUM(C8+C11)</f>
        <v>18450000</v>
      </c>
      <c r="D12" s="362">
        <f>SUM(D8+D11)</f>
        <v>0</v>
      </c>
      <c r="E12" s="364"/>
      <c r="F12" s="364"/>
      <c r="G12" s="364"/>
      <c r="H12" s="364"/>
      <c r="I12" s="364"/>
      <c r="J12" s="364"/>
      <c r="K12" s="360"/>
    </row>
    <row r="13" spans="1:11" s="361" customFormat="1">
      <c r="A13" s="367" t="s">
        <v>902</v>
      </c>
      <c r="B13" s="362">
        <f>'Sources and Uses Budget'!C13</f>
        <v>0</v>
      </c>
      <c r="C13" s="363"/>
      <c r="D13" s="363"/>
      <c r="E13" s="362">
        <f>'Sources and Uses Budget'!S13</f>
        <v>0</v>
      </c>
      <c r="F13" s="363"/>
      <c r="G13" s="363"/>
      <c r="H13" s="362">
        <f>'Sources and Uses Budget'!T13</f>
        <v>0</v>
      </c>
      <c r="I13" s="363"/>
      <c r="J13" s="363"/>
      <c r="K13" s="360"/>
    </row>
    <row r="14" spans="1:11" s="361" customFormat="1" ht="24">
      <c r="A14" s="365" t="s">
        <v>903</v>
      </c>
      <c r="B14" s="362">
        <f>'Sources and Uses Budget'!C14</f>
        <v>0</v>
      </c>
      <c r="C14" s="363"/>
      <c r="D14" s="363"/>
      <c r="E14" s="362">
        <f>'Sources and Uses Budget'!S14</f>
        <v>0</v>
      </c>
      <c r="F14" s="363"/>
      <c r="G14" s="363"/>
      <c r="H14" s="362">
        <f>'Sources and Uses Budget'!T14</f>
        <v>0</v>
      </c>
      <c r="I14" s="363"/>
      <c r="J14" s="363"/>
      <c r="K14" s="360"/>
    </row>
    <row r="15" spans="1:11" s="361" customFormat="1">
      <c r="A15" s="365" t="s">
        <v>1161</v>
      </c>
      <c r="B15" s="362">
        <f>'Sources and Uses Budget'!C15</f>
        <v>0</v>
      </c>
      <c r="C15" s="363"/>
      <c r="D15" s="363"/>
      <c r="E15" s="364">
        <f>'Sources and Uses Budget'!S15</f>
        <v>0</v>
      </c>
      <c r="F15" s="364"/>
      <c r="G15" s="364"/>
      <c r="H15" s="364">
        <f>'Sources and Uses Budget'!T15</f>
        <v>0</v>
      </c>
      <c r="I15" s="364"/>
      <c r="J15" s="364"/>
      <c r="K15" s="360"/>
    </row>
    <row r="16" spans="1:11" s="361" customFormat="1">
      <c r="A16" s="358" t="s">
        <v>597</v>
      </c>
      <c r="B16" s="359"/>
      <c r="C16" s="359"/>
      <c r="D16" s="359"/>
      <c r="E16" s="359"/>
      <c r="F16" s="359"/>
      <c r="G16" s="359"/>
      <c r="H16" s="359"/>
      <c r="I16" s="359"/>
      <c r="J16" s="359"/>
      <c r="K16" s="360"/>
    </row>
    <row r="17" spans="1:11" s="361" customFormat="1">
      <c r="A17" s="365" t="s">
        <v>598</v>
      </c>
      <c r="B17" s="362">
        <f>'Sources and Uses Budget'!C17</f>
        <v>0</v>
      </c>
      <c r="C17" s="363"/>
      <c r="D17" s="363"/>
      <c r="E17" s="362">
        <f>'Sources and Uses Budget'!S17</f>
        <v>0</v>
      </c>
      <c r="F17" s="363"/>
      <c r="G17" s="363"/>
      <c r="H17" s="362">
        <f>'Sources and Uses Budget'!T17</f>
        <v>0</v>
      </c>
      <c r="I17" s="363"/>
      <c r="J17" s="363"/>
      <c r="K17" s="360"/>
    </row>
    <row r="18" spans="1:11" s="361" customFormat="1">
      <c r="A18" s="365" t="s">
        <v>599</v>
      </c>
      <c r="B18" s="362">
        <f>'Sources and Uses Budget'!C18</f>
        <v>5000000</v>
      </c>
      <c r="C18" s="363">
        <v>5000000</v>
      </c>
      <c r="D18" s="363"/>
      <c r="E18" s="362">
        <f>'Sources and Uses Budget'!S18</f>
        <v>5000000</v>
      </c>
      <c r="F18" s="363">
        <f>E18</f>
        <v>5000000</v>
      </c>
      <c r="G18" s="363"/>
      <c r="H18" s="362">
        <f>'Sources and Uses Budget'!T18</f>
        <v>0</v>
      </c>
      <c r="I18" s="363"/>
      <c r="J18" s="363"/>
      <c r="K18" s="360"/>
    </row>
    <row r="19" spans="1:11" s="361" customFormat="1">
      <c r="A19" s="365" t="s">
        <v>600</v>
      </c>
      <c r="B19" s="362">
        <f>'Sources and Uses Budget'!C19</f>
        <v>250000</v>
      </c>
      <c r="C19" s="363">
        <f>B19</f>
        <v>250000</v>
      </c>
      <c r="D19" s="363"/>
      <c r="E19" s="362">
        <f>'Sources and Uses Budget'!S19</f>
        <v>250000</v>
      </c>
      <c r="F19" s="363">
        <f t="shared" ref="F19:F25" si="0">E19</f>
        <v>250000</v>
      </c>
      <c r="G19" s="363"/>
      <c r="H19" s="362">
        <f>'Sources and Uses Budget'!T19</f>
        <v>0</v>
      </c>
      <c r="I19" s="363"/>
      <c r="J19" s="363"/>
      <c r="K19" s="360"/>
    </row>
    <row r="20" spans="1:11" s="361" customFormat="1">
      <c r="A20" s="365" t="s">
        <v>137</v>
      </c>
      <c r="B20" s="362">
        <f>'Sources and Uses Budget'!C20</f>
        <v>200000</v>
      </c>
      <c r="C20" s="363">
        <f>B20</f>
        <v>200000</v>
      </c>
      <c r="D20" s="363"/>
      <c r="E20" s="362">
        <f>'Sources and Uses Budget'!S20</f>
        <v>200000</v>
      </c>
      <c r="F20" s="363">
        <f t="shared" si="0"/>
        <v>200000</v>
      </c>
      <c r="G20" s="363"/>
      <c r="H20" s="362">
        <f>'Sources and Uses Budget'!T20</f>
        <v>0</v>
      </c>
      <c r="I20" s="363"/>
      <c r="J20" s="363"/>
      <c r="K20" s="360"/>
    </row>
    <row r="21" spans="1:11" s="361" customFormat="1">
      <c r="A21" s="365" t="s">
        <v>138</v>
      </c>
      <c r="B21" s="362">
        <f>'Sources and Uses Budget'!C21</f>
        <v>200000</v>
      </c>
      <c r="C21" s="363">
        <f>B21</f>
        <v>200000</v>
      </c>
      <c r="D21" s="363"/>
      <c r="E21" s="362">
        <f>'Sources and Uses Budget'!S21</f>
        <v>200000</v>
      </c>
      <c r="F21" s="363">
        <f t="shared" si="0"/>
        <v>200000</v>
      </c>
      <c r="G21" s="363"/>
      <c r="H21" s="362">
        <f>'Sources and Uses Budget'!T21</f>
        <v>0</v>
      </c>
      <c r="I21" s="363"/>
      <c r="J21" s="363"/>
      <c r="K21" s="360"/>
    </row>
    <row r="22" spans="1:11" s="361" customFormat="1">
      <c r="A22" s="365" t="s">
        <v>139</v>
      </c>
      <c r="B22" s="362">
        <f>'Sources and Uses Budget'!C22</f>
        <v>0</v>
      </c>
      <c r="C22" s="363"/>
      <c r="D22" s="363"/>
      <c r="E22" s="362">
        <f>'Sources and Uses Budget'!S22</f>
        <v>0</v>
      </c>
      <c r="F22" s="363">
        <f t="shared" si="0"/>
        <v>0</v>
      </c>
      <c r="G22" s="363"/>
      <c r="H22" s="362">
        <f>'Sources and Uses Budget'!T22</f>
        <v>0</v>
      </c>
      <c r="I22" s="363"/>
      <c r="J22" s="363"/>
      <c r="K22" s="360"/>
    </row>
    <row r="23" spans="1:11" s="361" customFormat="1">
      <c r="A23" s="365" t="s">
        <v>140</v>
      </c>
      <c r="B23" s="362">
        <f>'Sources and Uses Budget'!C23</f>
        <v>750000</v>
      </c>
      <c r="C23" s="363">
        <f>B23</f>
        <v>750000</v>
      </c>
      <c r="D23" s="363"/>
      <c r="E23" s="362">
        <f>'Sources and Uses Budget'!S23</f>
        <v>750000</v>
      </c>
      <c r="F23" s="363">
        <f t="shared" si="0"/>
        <v>750000</v>
      </c>
      <c r="G23" s="363"/>
      <c r="H23" s="362">
        <f>'Sources and Uses Budget'!T23</f>
        <v>0</v>
      </c>
      <c r="I23" s="363"/>
      <c r="J23" s="363"/>
      <c r="K23" s="360"/>
    </row>
    <row r="24" spans="1:11" s="361" customFormat="1">
      <c r="A24" s="509" t="s">
        <v>1640</v>
      </c>
      <c r="B24" s="362">
        <f>'Sources and Uses Budget'!C24</f>
        <v>0</v>
      </c>
      <c r="C24" s="363"/>
      <c r="D24" s="363"/>
      <c r="E24" s="362">
        <f>'Sources and Uses Budget'!S24</f>
        <v>0</v>
      </c>
      <c r="F24" s="363">
        <f t="shared" si="0"/>
        <v>0</v>
      </c>
      <c r="G24" s="363"/>
      <c r="H24" s="362">
        <f>'Sources and Uses Budget'!T24</f>
        <v>0</v>
      </c>
      <c r="I24" s="363"/>
      <c r="J24" s="363"/>
      <c r="K24" s="360"/>
    </row>
    <row r="25" spans="1:11" s="361" customFormat="1">
      <c r="A25" s="365" t="str">
        <f>'Sources and Uses Budget'!$A25</f>
        <v>Other:Solar/FFE+Green Rater</v>
      </c>
      <c r="B25" s="362">
        <f>'Sources and Uses Budget'!C25</f>
        <v>225000</v>
      </c>
      <c r="C25" s="363">
        <f>B25</f>
        <v>225000</v>
      </c>
      <c r="D25" s="363"/>
      <c r="E25" s="362">
        <f>'Sources and Uses Budget'!S25</f>
        <v>225000</v>
      </c>
      <c r="F25" s="363">
        <f t="shared" si="0"/>
        <v>225000</v>
      </c>
      <c r="G25" s="363"/>
      <c r="H25" s="362">
        <f>'Sources and Uses Budget'!T25</f>
        <v>0</v>
      </c>
      <c r="I25" s="363"/>
      <c r="J25" s="363"/>
      <c r="K25" s="360"/>
    </row>
    <row r="26" spans="1:11" s="361" customFormat="1">
      <c r="A26" s="366" t="s">
        <v>133</v>
      </c>
      <c r="B26" s="362">
        <f>'Sources and Uses Budget'!C26</f>
        <v>6625000</v>
      </c>
      <c r="C26" s="362">
        <f>SUM(C17:C25)</f>
        <v>6625000</v>
      </c>
      <c r="D26" s="362">
        <f>SUM(D17:D25)</f>
        <v>0</v>
      </c>
      <c r="E26" s="362">
        <f>'Sources and Uses Budget'!S26</f>
        <v>6625000</v>
      </c>
      <c r="F26" s="368">
        <f>SUM(F17:F25)</f>
        <v>6625000</v>
      </c>
      <c r="G26" s="368">
        <f>SUM(G17:G25)</f>
        <v>0</v>
      </c>
      <c r="H26" s="362">
        <f>'Sources and Uses Budget'!T26</f>
        <v>0</v>
      </c>
      <c r="I26" s="368">
        <f>SUM(I17:I25)</f>
        <v>0</v>
      </c>
      <c r="J26" s="368">
        <f>SUM(J17:J25)</f>
        <v>0</v>
      </c>
      <c r="K26" s="360"/>
    </row>
    <row r="27" spans="1:11" s="361" customFormat="1">
      <c r="A27" s="366" t="s">
        <v>141</v>
      </c>
      <c r="B27" s="362">
        <f>'Sources and Uses Budget'!C27</f>
        <v>344000</v>
      </c>
      <c r="C27" s="363">
        <f>B27</f>
        <v>344000</v>
      </c>
      <c r="D27" s="363"/>
      <c r="E27" s="362">
        <f>'Sources and Uses Budget'!S27</f>
        <v>344000</v>
      </c>
      <c r="F27" s="363">
        <f>E27</f>
        <v>344000</v>
      </c>
      <c r="G27" s="363"/>
      <c r="H27" s="362">
        <f>'Sources and Uses Budget'!T27</f>
        <v>0</v>
      </c>
      <c r="I27" s="363"/>
      <c r="J27" s="363"/>
      <c r="K27" s="360"/>
    </row>
    <row r="28" spans="1:11" s="361" customFormat="1">
      <c r="A28" s="358" t="s">
        <v>142</v>
      </c>
      <c r="B28" s="359"/>
      <c r="C28" s="359"/>
      <c r="D28" s="359"/>
      <c r="E28" s="359"/>
      <c r="F28" s="359"/>
      <c r="G28" s="359"/>
      <c r="H28" s="359"/>
      <c r="I28" s="359"/>
      <c r="J28" s="359"/>
      <c r="K28" s="360"/>
    </row>
    <row r="29" spans="1:11" s="361" customFormat="1">
      <c r="A29" s="145" t="s">
        <v>598</v>
      </c>
      <c r="B29" s="362">
        <f>'Sources and Uses Budget'!C29</f>
        <v>0</v>
      </c>
      <c r="C29" s="363"/>
      <c r="D29" s="363"/>
      <c r="E29" s="362">
        <f>'Sources and Uses Budget'!S29</f>
        <v>0</v>
      </c>
      <c r="F29" s="363"/>
      <c r="G29" s="363"/>
      <c r="H29" s="362">
        <f>'Sources and Uses Budget'!T29</f>
        <v>0</v>
      </c>
      <c r="I29" s="363"/>
      <c r="J29" s="363"/>
      <c r="K29" s="360"/>
    </row>
    <row r="30" spans="1:11" s="361" customFormat="1">
      <c r="A30" s="145" t="s">
        <v>599</v>
      </c>
      <c r="B30" s="362">
        <f>'Sources and Uses Budget'!C30</f>
        <v>0</v>
      </c>
      <c r="C30" s="363"/>
      <c r="D30" s="363"/>
      <c r="E30" s="362">
        <f>'Sources and Uses Budget'!S30</f>
        <v>0</v>
      </c>
      <c r="F30" s="363"/>
      <c r="G30" s="363"/>
      <c r="H30" s="362">
        <f>'Sources and Uses Budget'!T30</f>
        <v>0</v>
      </c>
      <c r="I30" s="363"/>
      <c r="J30" s="363"/>
      <c r="K30" s="360"/>
    </row>
    <row r="31" spans="1:11" s="361" customFormat="1">
      <c r="A31" s="145" t="s">
        <v>600</v>
      </c>
      <c r="B31" s="362">
        <f>'Sources and Uses Budget'!C31</f>
        <v>0</v>
      </c>
      <c r="C31" s="363"/>
      <c r="D31" s="363"/>
      <c r="E31" s="362">
        <f>'Sources and Uses Budget'!S31</f>
        <v>0</v>
      </c>
      <c r="F31" s="363"/>
      <c r="G31" s="363"/>
      <c r="H31" s="362">
        <f>'Sources and Uses Budget'!T31</f>
        <v>0</v>
      </c>
      <c r="I31" s="363"/>
      <c r="J31" s="363"/>
      <c r="K31" s="360"/>
    </row>
    <row r="32" spans="1:11" s="361" customFormat="1">
      <c r="A32" s="145" t="s">
        <v>137</v>
      </c>
      <c r="B32" s="362">
        <f>'Sources and Uses Budget'!C32</f>
        <v>0</v>
      </c>
      <c r="C32" s="363"/>
      <c r="D32" s="363"/>
      <c r="E32" s="362">
        <f>'Sources and Uses Budget'!S32</f>
        <v>0</v>
      </c>
      <c r="F32" s="363"/>
      <c r="G32" s="363"/>
      <c r="H32" s="362">
        <f>'Sources and Uses Budget'!T32</f>
        <v>0</v>
      </c>
      <c r="I32" s="363"/>
      <c r="J32" s="363"/>
      <c r="K32" s="360"/>
    </row>
    <row r="33" spans="1:11" s="361" customFormat="1">
      <c r="A33" s="145" t="s">
        <v>138</v>
      </c>
      <c r="B33" s="362">
        <f>'Sources and Uses Budget'!C33</f>
        <v>0</v>
      </c>
      <c r="C33" s="363"/>
      <c r="D33" s="363"/>
      <c r="E33" s="362">
        <f>'Sources and Uses Budget'!S33</f>
        <v>0</v>
      </c>
      <c r="F33" s="363"/>
      <c r="G33" s="363"/>
      <c r="H33" s="362">
        <f>'Sources and Uses Budget'!T33</f>
        <v>0</v>
      </c>
      <c r="I33" s="363"/>
      <c r="J33" s="363"/>
      <c r="K33" s="360"/>
    </row>
    <row r="34" spans="1:11" s="361" customFormat="1">
      <c r="A34" s="145" t="s">
        <v>139</v>
      </c>
      <c r="B34" s="362">
        <f>'Sources and Uses Budget'!C34</f>
        <v>0</v>
      </c>
      <c r="C34" s="363"/>
      <c r="D34" s="363"/>
      <c r="E34" s="362">
        <f>'Sources and Uses Budget'!S34</f>
        <v>0</v>
      </c>
      <c r="F34" s="363"/>
      <c r="G34" s="363"/>
      <c r="H34" s="362">
        <f>'Sources and Uses Budget'!T34</f>
        <v>0</v>
      </c>
      <c r="I34" s="363"/>
      <c r="J34" s="363"/>
      <c r="K34" s="360"/>
    </row>
    <row r="35" spans="1:11" s="361" customFormat="1">
      <c r="A35" s="145" t="s">
        <v>140</v>
      </c>
      <c r="B35" s="362">
        <f>'Sources and Uses Budget'!C35</f>
        <v>0</v>
      </c>
      <c r="C35" s="363"/>
      <c r="D35" s="363"/>
      <c r="E35" s="362">
        <f>'Sources and Uses Budget'!S35</f>
        <v>0</v>
      </c>
      <c r="F35" s="363"/>
      <c r="G35" s="363"/>
      <c r="H35" s="362">
        <f>'Sources and Uses Budget'!T35</f>
        <v>0</v>
      </c>
      <c r="I35" s="363"/>
      <c r="J35" s="363"/>
      <c r="K35" s="360"/>
    </row>
    <row r="36" spans="1:11" s="361" customFormat="1">
      <c r="A36" s="509" t="s">
        <v>1640</v>
      </c>
      <c r="B36" s="362">
        <f>'Sources and Uses Budget'!C36</f>
        <v>0</v>
      </c>
      <c r="C36" s="363"/>
      <c r="D36" s="363"/>
      <c r="E36" s="362">
        <f>'Sources and Uses Budget'!S36</f>
        <v>0</v>
      </c>
      <c r="F36" s="363"/>
      <c r="G36" s="363"/>
      <c r="H36" s="362">
        <f>'Sources and Uses Budget'!T36</f>
        <v>0</v>
      </c>
      <c r="I36" s="363"/>
      <c r="J36" s="363"/>
      <c r="K36" s="360"/>
    </row>
    <row r="37" spans="1:11" s="361" customFormat="1">
      <c r="A37" s="365" t="str">
        <f>'Sources and Uses Budget'!$A37</f>
        <v>Other: (Specify)</v>
      </c>
      <c r="B37" s="362">
        <f>'Sources and Uses Budget'!C37</f>
        <v>0</v>
      </c>
      <c r="C37" s="363"/>
      <c r="D37" s="363"/>
      <c r="E37" s="362">
        <f>'Sources and Uses Budget'!S37</f>
        <v>0</v>
      </c>
      <c r="F37" s="363"/>
      <c r="G37" s="363"/>
      <c r="H37" s="362">
        <f>'Sources and Uses Budget'!T37</f>
        <v>0</v>
      </c>
      <c r="I37" s="363"/>
      <c r="J37" s="363"/>
      <c r="K37" s="360"/>
    </row>
    <row r="38" spans="1:11" s="361" customFormat="1">
      <c r="A38" s="366" t="s">
        <v>143</v>
      </c>
      <c r="B38" s="362">
        <f>'Sources and Uses Budget'!C38</f>
        <v>0</v>
      </c>
      <c r="C38" s="362">
        <f>SUM(C29:C37)</f>
        <v>0</v>
      </c>
      <c r="D38" s="362">
        <f>SUM(D29:D37)</f>
        <v>0</v>
      </c>
      <c r="E38" s="362">
        <f>'Sources and Uses Budget'!S38</f>
        <v>0</v>
      </c>
      <c r="F38" s="368">
        <f>SUM(F29:F37)</f>
        <v>0</v>
      </c>
      <c r="G38" s="368">
        <f>SUM(G29:G37)</f>
        <v>0</v>
      </c>
      <c r="H38" s="362">
        <f>'Sources and Uses Budget'!T38</f>
        <v>0</v>
      </c>
      <c r="I38" s="368">
        <f>SUM(I29:I37)</f>
        <v>0</v>
      </c>
      <c r="J38" s="368">
        <f>SUM(J29:J37)</f>
        <v>0</v>
      </c>
      <c r="K38" s="360"/>
    </row>
    <row r="39" spans="1:11" s="361" customFormat="1">
      <c r="A39" s="358" t="s">
        <v>144</v>
      </c>
      <c r="B39" s="359"/>
      <c r="C39" s="359"/>
      <c r="D39" s="359"/>
      <c r="E39" s="359"/>
      <c r="F39" s="359"/>
      <c r="G39" s="359"/>
      <c r="H39" s="359"/>
      <c r="I39" s="359"/>
      <c r="J39" s="359"/>
      <c r="K39" s="360"/>
    </row>
    <row r="40" spans="1:11" s="361" customFormat="1">
      <c r="A40" s="365" t="s">
        <v>145</v>
      </c>
      <c r="B40" s="362">
        <f>'Sources and Uses Budget'!C40</f>
        <v>500000</v>
      </c>
      <c r="C40" s="363">
        <f>B40</f>
        <v>500000</v>
      </c>
      <c r="D40" s="363"/>
      <c r="E40" s="362">
        <f>'Sources and Uses Budget'!S40</f>
        <v>500000</v>
      </c>
      <c r="F40" s="363">
        <f>E40</f>
        <v>500000</v>
      </c>
      <c r="G40" s="363"/>
      <c r="H40" s="362">
        <f>'Sources and Uses Budget'!T40</f>
        <v>0</v>
      </c>
      <c r="I40" s="363"/>
      <c r="J40" s="363"/>
      <c r="K40" s="360"/>
    </row>
    <row r="41" spans="1:11" s="361" customFormat="1">
      <c r="A41" s="365" t="s">
        <v>146</v>
      </c>
      <c r="B41" s="362">
        <f>'Sources and Uses Budget'!C41</f>
        <v>0</v>
      </c>
      <c r="C41" s="363"/>
      <c r="D41" s="363"/>
      <c r="E41" s="362">
        <f>'Sources and Uses Budget'!S41</f>
        <v>0</v>
      </c>
      <c r="F41" s="363"/>
      <c r="G41" s="363"/>
      <c r="H41" s="362">
        <f>'Sources and Uses Budget'!T41</f>
        <v>0</v>
      </c>
      <c r="I41" s="363"/>
      <c r="J41" s="363"/>
      <c r="K41" s="360"/>
    </row>
    <row r="42" spans="1:11" s="361" customFormat="1">
      <c r="A42" s="366" t="s">
        <v>147</v>
      </c>
      <c r="B42" s="362">
        <f>'Sources and Uses Budget'!C42</f>
        <v>500000</v>
      </c>
      <c r="C42" s="362">
        <f>SUM(C39:C41)</f>
        <v>500000</v>
      </c>
      <c r="D42" s="362">
        <f>SUM(D39:D41)</f>
        <v>0</v>
      </c>
      <c r="E42" s="362">
        <f>'Sources and Uses Budget'!S42</f>
        <v>500000</v>
      </c>
      <c r="F42" s="368">
        <f>SUM(F40:F41)</f>
        <v>500000</v>
      </c>
      <c r="G42" s="368">
        <f>SUM(G40:G41)</f>
        <v>0</v>
      </c>
      <c r="H42" s="362">
        <f>'Sources and Uses Budget'!T42</f>
        <v>0</v>
      </c>
      <c r="I42" s="368">
        <f>SUM(I40:I41)</f>
        <v>0</v>
      </c>
      <c r="J42" s="368">
        <f>SUM(J40:J41)</f>
        <v>0</v>
      </c>
      <c r="K42" s="360"/>
    </row>
    <row r="43" spans="1:11" s="361" customFormat="1">
      <c r="A43" s="366" t="s">
        <v>148</v>
      </c>
      <c r="B43" s="362">
        <f>'Sources and Uses Budget'!C43</f>
        <v>275000</v>
      </c>
      <c r="C43" s="363">
        <f>B43</f>
        <v>275000</v>
      </c>
      <c r="D43" s="363"/>
      <c r="E43" s="362">
        <f>'Sources and Uses Budget'!S43</f>
        <v>275000</v>
      </c>
      <c r="F43" s="363">
        <f>E43</f>
        <v>275000</v>
      </c>
      <c r="G43" s="363"/>
      <c r="H43" s="362">
        <f>'Sources and Uses Budget'!T43</f>
        <v>0</v>
      </c>
      <c r="I43" s="363"/>
      <c r="J43" s="363"/>
      <c r="K43" s="360"/>
    </row>
    <row r="44" spans="1:11" s="361" customFormat="1">
      <c r="A44" s="358" t="s">
        <v>149</v>
      </c>
      <c r="B44" s="359"/>
      <c r="C44" s="359"/>
      <c r="D44" s="359"/>
      <c r="E44" s="359"/>
      <c r="F44" s="359"/>
      <c r="G44" s="359"/>
      <c r="H44" s="359"/>
      <c r="I44" s="359"/>
      <c r="J44" s="359"/>
      <c r="K44" s="360"/>
    </row>
    <row r="45" spans="1:11" s="361" customFormat="1">
      <c r="A45" s="365" t="s">
        <v>150</v>
      </c>
      <c r="B45" s="362">
        <f>'Sources and Uses Budget'!C45</f>
        <v>810000</v>
      </c>
      <c r="C45" s="363">
        <f>B45</f>
        <v>810000</v>
      </c>
      <c r="D45" s="363"/>
      <c r="E45" s="362">
        <f>'Sources and Uses Budget'!S45</f>
        <v>97200</v>
      </c>
      <c r="F45" s="363">
        <f>E45</f>
        <v>97200</v>
      </c>
      <c r="G45" s="363"/>
      <c r="H45" s="362">
        <f>'Sources and Uses Budget'!T45</f>
        <v>0</v>
      </c>
      <c r="I45" s="363"/>
      <c r="J45" s="363"/>
      <c r="K45" s="360"/>
    </row>
    <row r="46" spans="1:11" s="361" customFormat="1">
      <c r="A46" s="365" t="s">
        <v>151</v>
      </c>
      <c r="B46" s="362">
        <f>'Sources and Uses Budget'!C46</f>
        <v>165000</v>
      </c>
      <c r="C46" s="363">
        <f t="shared" ref="C46:C53" si="1">B46</f>
        <v>165000</v>
      </c>
      <c r="D46" s="363"/>
      <c r="E46" s="362">
        <f>'Sources and Uses Budget'!S46</f>
        <v>165000</v>
      </c>
      <c r="F46" s="363">
        <f>E46</f>
        <v>165000</v>
      </c>
      <c r="G46" s="363"/>
      <c r="H46" s="362">
        <f>'Sources and Uses Budget'!T46</f>
        <v>0</v>
      </c>
      <c r="I46" s="363"/>
      <c r="J46" s="363"/>
      <c r="K46" s="360"/>
    </row>
    <row r="47" spans="1:11" s="361" customFormat="1" ht="12" customHeight="1">
      <c r="A47" s="365" t="s">
        <v>152</v>
      </c>
      <c r="B47" s="362">
        <f>'Sources and Uses Budget'!C47</f>
        <v>0</v>
      </c>
      <c r="C47" s="363">
        <f t="shared" si="1"/>
        <v>0</v>
      </c>
      <c r="D47" s="363"/>
      <c r="E47" s="362">
        <f>'Sources and Uses Budget'!S47</f>
        <v>0</v>
      </c>
      <c r="F47" s="363">
        <f t="shared" ref="F47:F53" si="2">E47</f>
        <v>0</v>
      </c>
      <c r="G47" s="363"/>
      <c r="H47" s="362">
        <f>'Sources and Uses Budget'!T47</f>
        <v>0</v>
      </c>
      <c r="I47" s="363"/>
      <c r="J47" s="363"/>
      <c r="K47" s="360"/>
    </row>
    <row r="48" spans="1:11" s="361" customFormat="1">
      <c r="A48" s="365" t="s">
        <v>153</v>
      </c>
      <c r="B48" s="362">
        <f>'Sources and Uses Budget'!C48</f>
        <v>0</v>
      </c>
      <c r="C48" s="363">
        <f t="shared" si="1"/>
        <v>0</v>
      </c>
      <c r="D48" s="363"/>
      <c r="E48" s="362">
        <f>'Sources and Uses Budget'!S48</f>
        <v>0</v>
      </c>
      <c r="F48" s="363">
        <f t="shared" si="2"/>
        <v>0</v>
      </c>
      <c r="G48" s="363"/>
      <c r="H48" s="362">
        <f>'Sources and Uses Budget'!T48</f>
        <v>0</v>
      </c>
      <c r="I48" s="363"/>
      <c r="J48" s="363"/>
      <c r="K48" s="360"/>
    </row>
    <row r="49" spans="1:11" s="361" customFormat="1">
      <c r="A49" s="284" t="s">
        <v>57</v>
      </c>
      <c r="B49" s="362">
        <f>'Sources and Uses Budget'!C49</f>
        <v>175000</v>
      </c>
      <c r="C49" s="363">
        <f t="shared" si="1"/>
        <v>175000</v>
      </c>
      <c r="D49" s="363"/>
      <c r="E49" s="362">
        <f>'Sources and Uses Budget'!S49</f>
        <v>17500</v>
      </c>
      <c r="F49" s="363">
        <f t="shared" si="2"/>
        <v>17500</v>
      </c>
      <c r="G49" s="363"/>
      <c r="H49" s="362">
        <f>'Sources and Uses Budget'!T49</f>
        <v>0</v>
      </c>
      <c r="I49" s="363"/>
      <c r="J49" s="363"/>
      <c r="K49" s="360"/>
    </row>
    <row r="50" spans="1:11" s="361" customFormat="1">
      <c r="A50" s="365" t="s">
        <v>156</v>
      </c>
      <c r="B50" s="362">
        <f>'Sources and Uses Budget'!C50</f>
        <v>75000</v>
      </c>
      <c r="C50" s="363">
        <f t="shared" si="1"/>
        <v>75000</v>
      </c>
      <c r="D50" s="363"/>
      <c r="E50" s="362">
        <f>'Sources and Uses Budget'!S50</f>
        <v>75000</v>
      </c>
      <c r="F50" s="363">
        <f t="shared" si="2"/>
        <v>75000</v>
      </c>
      <c r="G50" s="363"/>
      <c r="H50" s="362">
        <f>'Sources and Uses Budget'!T50</f>
        <v>0</v>
      </c>
      <c r="I50" s="363"/>
      <c r="J50" s="363"/>
      <c r="K50" s="360"/>
    </row>
    <row r="51" spans="1:11" s="361" customFormat="1">
      <c r="A51" s="365" t="s">
        <v>154</v>
      </c>
      <c r="B51" s="362">
        <f>'Sources and Uses Budget'!C51</f>
        <v>50000</v>
      </c>
      <c r="C51" s="363">
        <f t="shared" si="1"/>
        <v>50000</v>
      </c>
      <c r="D51" s="363"/>
      <c r="E51" s="362">
        <f>'Sources and Uses Budget'!S51</f>
        <v>50000</v>
      </c>
      <c r="F51" s="363">
        <f t="shared" si="2"/>
        <v>50000</v>
      </c>
      <c r="G51" s="363"/>
      <c r="H51" s="362">
        <f>'Sources and Uses Budget'!T51</f>
        <v>0</v>
      </c>
      <c r="I51" s="363"/>
      <c r="J51" s="363"/>
      <c r="K51" s="360"/>
    </row>
    <row r="52" spans="1:11" s="361" customFormat="1">
      <c r="A52" s="365" t="s">
        <v>155</v>
      </c>
      <c r="B52" s="362">
        <f>'Sources and Uses Budget'!C52</f>
        <v>75000</v>
      </c>
      <c r="C52" s="363">
        <f t="shared" si="1"/>
        <v>75000</v>
      </c>
      <c r="D52" s="363"/>
      <c r="E52" s="362">
        <f>'Sources and Uses Budget'!S52</f>
        <v>75000</v>
      </c>
      <c r="F52" s="363">
        <f t="shared" si="2"/>
        <v>75000</v>
      </c>
      <c r="G52" s="363"/>
      <c r="H52" s="362">
        <f>'Sources and Uses Budget'!T52</f>
        <v>0</v>
      </c>
      <c r="I52" s="363"/>
      <c r="J52" s="363"/>
      <c r="K52" s="360"/>
    </row>
    <row r="53" spans="1:11" s="361" customFormat="1">
      <c r="A53" s="365" t="str">
        <f>'Sources and Uses Budget'!$A53</f>
        <v>Construction Service Fees (Bank)</v>
      </c>
      <c r="B53" s="362">
        <f>'Sources and Uses Budget'!C53</f>
        <v>50000</v>
      </c>
      <c r="C53" s="363">
        <f t="shared" si="1"/>
        <v>50000</v>
      </c>
      <c r="D53" s="363"/>
      <c r="E53" s="362">
        <f>'Sources and Uses Budget'!S53</f>
        <v>50000</v>
      </c>
      <c r="F53" s="363">
        <f t="shared" si="2"/>
        <v>50000</v>
      </c>
      <c r="G53" s="363"/>
      <c r="H53" s="362">
        <f>'Sources and Uses Budget'!T53</f>
        <v>0</v>
      </c>
      <c r="I53" s="363"/>
      <c r="J53" s="363"/>
      <c r="K53" s="360"/>
    </row>
    <row r="54" spans="1:11" s="370" customFormat="1">
      <c r="A54" s="366" t="s">
        <v>157</v>
      </c>
      <c r="B54" s="362">
        <f>'Sources and Uses Budget'!C54</f>
        <v>1400000</v>
      </c>
      <c r="C54" s="368">
        <f>SUM(C45:C53)</f>
        <v>1400000</v>
      </c>
      <c r="D54" s="368">
        <f>SUM(D45:D53)</f>
        <v>0</v>
      </c>
      <c r="E54" s="362">
        <f>'Sources and Uses Budget'!S54</f>
        <v>529700</v>
      </c>
      <c r="F54" s="368">
        <f>SUM(F45:F53)</f>
        <v>529700</v>
      </c>
      <c r="G54" s="368">
        <f>SUM(G45:G53)</f>
        <v>0</v>
      </c>
      <c r="H54" s="362">
        <f>'Sources and Uses Budget'!T54</f>
        <v>0</v>
      </c>
      <c r="I54" s="368">
        <f>SUM(I45:I53)</f>
        <v>0</v>
      </c>
      <c r="J54" s="368">
        <f>SUM(J45:J53)</f>
        <v>0</v>
      </c>
      <c r="K54" s="369"/>
    </row>
    <row r="55" spans="1:11" s="361" customFormat="1">
      <c r="A55" s="358" t="s">
        <v>418</v>
      </c>
      <c r="B55" s="359"/>
      <c r="C55" s="359"/>
      <c r="D55" s="359"/>
      <c r="E55" s="359"/>
      <c r="F55" s="359"/>
      <c r="G55" s="359"/>
      <c r="H55" s="359"/>
      <c r="I55" s="359"/>
      <c r="J55" s="359"/>
      <c r="K55" s="360"/>
    </row>
    <row r="56" spans="1:11" s="361" customFormat="1">
      <c r="A56" s="365" t="s">
        <v>158</v>
      </c>
      <c r="B56" s="362">
        <f>'Sources and Uses Budget'!C56</f>
        <v>76511</v>
      </c>
      <c r="C56" s="363">
        <f>B56</f>
        <v>76511</v>
      </c>
      <c r="D56" s="363"/>
      <c r="E56" s="364"/>
      <c r="F56" s="364"/>
      <c r="G56" s="364"/>
      <c r="H56" s="364"/>
      <c r="I56" s="364"/>
      <c r="J56" s="364"/>
      <c r="K56" s="360"/>
    </row>
    <row r="57" spans="1:11" s="361" customFormat="1" ht="12" customHeight="1">
      <c r="A57" s="365" t="s">
        <v>152</v>
      </c>
      <c r="B57" s="362">
        <f>'Sources and Uses Budget'!C57</f>
        <v>0</v>
      </c>
      <c r="C57" s="363"/>
      <c r="D57" s="363"/>
      <c r="E57" s="364"/>
      <c r="F57" s="364"/>
      <c r="G57" s="364"/>
      <c r="H57" s="364"/>
      <c r="I57" s="364"/>
      <c r="J57" s="364"/>
      <c r="K57" s="360"/>
    </row>
    <row r="58" spans="1:11" s="361" customFormat="1">
      <c r="A58" s="365" t="s">
        <v>156</v>
      </c>
      <c r="B58" s="362">
        <f>'Sources and Uses Budget'!C58</f>
        <v>0</v>
      </c>
      <c r="C58" s="363"/>
      <c r="D58" s="363"/>
      <c r="E58" s="364"/>
      <c r="F58" s="364"/>
      <c r="G58" s="364"/>
      <c r="H58" s="364"/>
      <c r="I58" s="364"/>
      <c r="J58" s="364"/>
      <c r="K58" s="360"/>
    </row>
    <row r="59" spans="1:11" s="361" customFormat="1">
      <c r="A59" s="365" t="s">
        <v>154</v>
      </c>
      <c r="B59" s="362">
        <f>'Sources and Uses Budget'!C59</f>
        <v>0</v>
      </c>
      <c r="C59" s="363"/>
      <c r="D59" s="363"/>
      <c r="E59" s="364"/>
      <c r="F59" s="364"/>
      <c r="G59" s="364"/>
      <c r="H59" s="364"/>
      <c r="I59" s="364"/>
      <c r="J59" s="364"/>
      <c r="K59" s="360"/>
    </row>
    <row r="60" spans="1:11" s="361" customFormat="1">
      <c r="A60" s="365" t="s">
        <v>155</v>
      </c>
      <c r="B60" s="362">
        <f>'Sources and Uses Budget'!C60</f>
        <v>0</v>
      </c>
      <c r="C60" s="363"/>
      <c r="D60" s="363"/>
      <c r="E60" s="364"/>
      <c r="F60" s="364"/>
      <c r="G60" s="364"/>
      <c r="H60" s="364"/>
      <c r="I60" s="364"/>
      <c r="J60" s="364"/>
      <c r="K60" s="360"/>
    </row>
    <row r="61" spans="1:11" s="361" customFormat="1">
      <c r="A61" s="365" t="str">
        <f>'Sources and Uses Budget'!$A61</f>
        <v>Interest Prior to Conversion</v>
      </c>
      <c r="B61" s="362">
        <f>'Sources and Uses Budget'!C61</f>
        <v>490000</v>
      </c>
      <c r="C61" s="363">
        <f>B61</f>
        <v>490000</v>
      </c>
      <c r="D61" s="363"/>
      <c r="E61" s="364"/>
      <c r="F61" s="364"/>
      <c r="G61" s="364"/>
      <c r="H61" s="364"/>
      <c r="I61" s="364"/>
      <c r="J61" s="364"/>
      <c r="K61" s="360"/>
    </row>
    <row r="62" spans="1:11" s="361" customFormat="1" ht="13.7" customHeight="1">
      <c r="A62" s="366" t="s">
        <v>301</v>
      </c>
      <c r="B62" s="362">
        <f>'Sources and Uses Budget'!C62</f>
        <v>566511</v>
      </c>
      <c r="C62" s="362">
        <f>SUM(C56:C61)</f>
        <v>566511</v>
      </c>
      <c r="D62" s="362">
        <f>SUM(D56:D61)</f>
        <v>0</v>
      </c>
      <c r="E62" s="364"/>
      <c r="F62" s="364"/>
      <c r="G62" s="364"/>
      <c r="H62" s="364"/>
      <c r="I62" s="364"/>
      <c r="J62" s="364"/>
      <c r="K62" s="360"/>
    </row>
    <row r="63" spans="1:11" s="361" customFormat="1">
      <c r="A63" s="371" t="s">
        <v>302</v>
      </c>
      <c r="B63" s="362">
        <f>'Sources and Uses Budget'!C63</f>
        <v>28160511</v>
      </c>
      <c r="C63" s="362">
        <f>SUM(C8+C11+C13+C14+C15+C26+C27+C38+C42+C43+C54+C62)</f>
        <v>28160511</v>
      </c>
      <c r="D63" s="362">
        <f>SUM(D8+D11+D13+D14+D15+D26+D27+D38+D42+D43+D54+D62)</f>
        <v>0</v>
      </c>
      <c r="E63" s="362">
        <f>'Sources and Uses Budget'!S63</f>
        <v>8273700</v>
      </c>
      <c r="F63" s="362">
        <f>SUM(F10+F13+F14+F15+F26+F27+F38+F42+F43+F54)</f>
        <v>8273700</v>
      </c>
      <c r="G63" s="362">
        <f>SUM(G10+G13+G14+G15+G26+G27+G38+G42+G43+G54)</f>
        <v>0</v>
      </c>
      <c r="H63" s="362">
        <f>'Sources and Uses Budget'!T63</f>
        <v>15440000</v>
      </c>
      <c r="I63" s="362">
        <f>SUM(I11+I13+I14+I15+I26+I27+I38+I42+I43+I54)</f>
        <v>15440000</v>
      </c>
      <c r="J63" s="362">
        <f>SUM(J11+J13+J14+J15+J26+J27+J38+J42+J43+J54)</f>
        <v>0</v>
      </c>
      <c r="K63" s="360"/>
    </row>
    <row r="64" spans="1:11" s="361" customFormat="1" ht="24">
      <c r="A64" s="141" t="s">
        <v>1644</v>
      </c>
      <c r="B64" s="359"/>
      <c r="C64" s="359"/>
      <c r="D64" s="359"/>
      <c r="E64" s="359"/>
      <c r="F64" s="359"/>
      <c r="G64" s="359"/>
      <c r="H64" s="359"/>
      <c r="I64" s="359"/>
      <c r="J64" s="359"/>
      <c r="K64" s="360"/>
    </row>
    <row r="65" spans="1:11" s="361" customFormat="1">
      <c r="A65" s="145" t="s">
        <v>171</v>
      </c>
      <c r="B65" s="362">
        <f>'Sources and Uses Budget'!C65</f>
        <v>150000</v>
      </c>
      <c r="C65" s="363">
        <f>B65</f>
        <v>150000</v>
      </c>
      <c r="D65" s="363"/>
      <c r="E65" s="362">
        <f>'Sources and Uses Budget'!S65</f>
        <v>127500</v>
      </c>
      <c r="F65" s="363">
        <v>127500</v>
      </c>
      <c r="G65" s="363"/>
      <c r="H65" s="362">
        <f>'Sources and Uses Budget'!T65</f>
        <v>0</v>
      </c>
      <c r="I65" s="363"/>
      <c r="J65" s="363"/>
      <c r="K65" s="360"/>
    </row>
    <row r="66" spans="1:11" s="361" customFormat="1" ht="24">
      <c r="A66" s="284" t="s">
        <v>1641</v>
      </c>
      <c r="B66" s="362">
        <f>'Sources and Uses Budget'!C66</f>
        <v>0</v>
      </c>
      <c r="C66" s="363"/>
      <c r="D66" s="363"/>
      <c r="E66" s="362">
        <f>'Sources and Uses Budget'!S66</f>
        <v>0</v>
      </c>
      <c r="F66" s="363"/>
      <c r="G66" s="363"/>
      <c r="H66" s="362">
        <f>'Sources and Uses Budget'!T66</f>
        <v>0</v>
      </c>
      <c r="I66" s="363"/>
      <c r="J66" s="363"/>
      <c r="K66" s="360"/>
    </row>
    <row r="67" spans="1:11" s="361" customFormat="1" ht="24">
      <c r="A67" s="284" t="s">
        <v>1642</v>
      </c>
      <c r="B67" s="362">
        <f>'Sources and Uses Budget'!C67</f>
        <v>0</v>
      </c>
      <c r="C67" s="363"/>
      <c r="D67" s="363"/>
      <c r="E67" s="362">
        <f>'Sources and Uses Budget'!S67</f>
        <v>0</v>
      </c>
      <c r="F67" s="363"/>
      <c r="G67" s="363"/>
      <c r="H67" s="362">
        <f>'Sources and Uses Budget'!T67</f>
        <v>0</v>
      </c>
      <c r="I67" s="363"/>
      <c r="J67" s="363"/>
      <c r="K67" s="360"/>
    </row>
    <row r="68" spans="1:11" s="361" customFormat="1">
      <c r="A68" s="284" t="s">
        <v>1648</v>
      </c>
      <c r="B68" s="362">
        <f>'Sources and Uses Budget'!C68</f>
        <v>0</v>
      </c>
      <c r="C68" s="363"/>
      <c r="D68" s="363"/>
      <c r="E68" s="362">
        <f>'Sources and Uses Budget'!S68</f>
        <v>0</v>
      </c>
      <c r="F68" s="363"/>
      <c r="G68" s="363"/>
      <c r="H68" s="362">
        <f>'Sources and Uses Budget'!T68</f>
        <v>0</v>
      </c>
      <c r="I68" s="363"/>
      <c r="J68" s="363"/>
      <c r="K68" s="360"/>
    </row>
    <row r="69" spans="1:11" s="361" customFormat="1">
      <c r="A69" s="365" t="str">
        <f>'Sources and Uses Budget'!$A69</f>
        <v>Partnership &amp; Transaction Fees</v>
      </c>
      <c r="B69" s="362">
        <f>'Sources and Uses Budget'!C69</f>
        <v>100000</v>
      </c>
      <c r="C69" s="363">
        <f>B69</f>
        <v>100000</v>
      </c>
      <c r="D69" s="363"/>
      <c r="E69" s="362">
        <f>'Sources and Uses Budget'!S69</f>
        <v>30000</v>
      </c>
      <c r="F69" s="363">
        <v>30000</v>
      </c>
      <c r="G69" s="363"/>
      <c r="H69" s="362">
        <f>'Sources and Uses Budget'!T69</f>
        <v>0</v>
      </c>
      <c r="I69" s="363"/>
      <c r="J69" s="363"/>
      <c r="K69" s="360"/>
    </row>
    <row r="70" spans="1:11" s="361" customFormat="1">
      <c r="A70" s="366" t="s">
        <v>601</v>
      </c>
      <c r="B70" s="362">
        <f>'Sources and Uses Budget'!C70</f>
        <v>250000</v>
      </c>
      <c r="C70" s="362">
        <f>SUM(C64:C69)</f>
        <v>250000</v>
      </c>
      <c r="D70" s="362">
        <f>SUM(D64:D69)</f>
        <v>0</v>
      </c>
      <c r="E70" s="362">
        <f>'Sources and Uses Budget'!S70</f>
        <v>157500</v>
      </c>
      <c r="F70" s="368">
        <f>SUM(F65:F69)</f>
        <v>157500</v>
      </c>
      <c r="G70" s="368">
        <f>SUM(G65:G69)</f>
        <v>0</v>
      </c>
      <c r="H70" s="362">
        <f>'Sources and Uses Budget'!T70</f>
        <v>0</v>
      </c>
      <c r="I70" s="368">
        <f>SUM(I65:I69)</f>
        <v>0</v>
      </c>
      <c r="J70" s="368">
        <f>SUM(J65:J69)</f>
        <v>0</v>
      </c>
      <c r="K70" s="360"/>
    </row>
    <row r="71" spans="1:11" s="361" customFormat="1">
      <c r="A71" s="358" t="s">
        <v>602</v>
      </c>
      <c r="B71" s="359"/>
      <c r="C71" s="359"/>
      <c r="D71" s="359"/>
      <c r="E71" s="359"/>
      <c r="F71" s="359"/>
      <c r="G71" s="359"/>
      <c r="H71" s="359"/>
      <c r="I71" s="359"/>
      <c r="J71" s="359"/>
      <c r="K71" s="360"/>
    </row>
    <row r="72" spans="1:11" s="361" customFormat="1">
      <c r="A72" s="365" t="s">
        <v>603</v>
      </c>
      <c r="B72" s="362">
        <f>'Sources and Uses Budget'!C72</f>
        <v>0</v>
      </c>
      <c r="C72" s="363"/>
      <c r="D72" s="363"/>
      <c r="E72" s="364"/>
      <c r="F72" s="364"/>
      <c r="G72" s="364"/>
      <c r="H72" s="364"/>
      <c r="I72" s="364"/>
      <c r="J72" s="364"/>
      <c r="K72" s="360"/>
    </row>
    <row r="73" spans="1:11" s="361" customFormat="1">
      <c r="A73" s="365" t="s">
        <v>604</v>
      </c>
      <c r="B73" s="362">
        <f>'Sources and Uses Budget'!C73</f>
        <v>0</v>
      </c>
      <c r="C73" s="363"/>
      <c r="D73" s="363"/>
      <c r="E73" s="364"/>
      <c r="F73" s="364"/>
      <c r="G73" s="364"/>
      <c r="H73" s="364"/>
      <c r="I73" s="364"/>
      <c r="J73" s="364"/>
      <c r="K73" s="360"/>
    </row>
    <row r="74" spans="1:11" s="361" customFormat="1">
      <c r="A74" s="367" t="s">
        <v>986</v>
      </c>
      <c r="B74" s="362">
        <f>'Sources and Uses Budget'!C74</f>
        <v>0</v>
      </c>
      <c r="C74" s="363"/>
      <c r="D74" s="363"/>
      <c r="E74" s="364"/>
      <c r="F74" s="364"/>
      <c r="G74" s="364"/>
      <c r="H74" s="364"/>
      <c r="I74" s="364"/>
      <c r="J74" s="364"/>
      <c r="K74" s="360"/>
    </row>
    <row r="75" spans="1:11" s="361" customFormat="1">
      <c r="A75" s="365" t="s">
        <v>605</v>
      </c>
      <c r="B75" s="362">
        <f>'Sources and Uses Budget'!C75</f>
        <v>334782</v>
      </c>
      <c r="C75" s="363">
        <f>B75</f>
        <v>334782</v>
      </c>
      <c r="D75" s="363"/>
      <c r="E75" s="364"/>
      <c r="F75" s="364"/>
      <c r="G75" s="364"/>
      <c r="H75" s="364"/>
      <c r="I75" s="364"/>
      <c r="J75" s="364"/>
      <c r="K75" s="360"/>
    </row>
    <row r="76" spans="1:11" s="361" customFormat="1">
      <c r="A76" s="365" t="str">
        <f>'Sources and Uses Budget'!$A76</f>
        <v>Other: (Specify)</v>
      </c>
      <c r="B76" s="362">
        <f>'Sources and Uses Budget'!C76</f>
        <v>0</v>
      </c>
      <c r="C76" s="363"/>
      <c r="D76" s="363"/>
      <c r="E76" s="364"/>
      <c r="F76" s="364"/>
      <c r="G76" s="364"/>
      <c r="H76" s="364"/>
      <c r="I76" s="364"/>
      <c r="J76" s="364"/>
      <c r="K76" s="360"/>
    </row>
    <row r="77" spans="1:11" s="361" customFormat="1">
      <c r="A77" s="366" t="s">
        <v>606</v>
      </c>
      <c r="B77" s="362">
        <f>'Sources and Uses Budget'!C77</f>
        <v>334782</v>
      </c>
      <c r="C77" s="362">
        <f>SUM(C72:C76)</f>
        <v>334782</v>
      </c>
      <c r="D77" s="362">
        <f>SUM(D72:D76)</f>
        <v>0</v>
      </c>
      <c r="E77" s="364"/>
      <c r="F77" s="364"/>
      <c r="G77" s="364"/>
      <c r="H77" s="364"/>
      <c r="I77" s="364"/>
      <c r="J77" s="364"/>
      <c r="K77" s="360"/>
    </row>
    <row r="78" spans="1:11" s="361" customFormat="1">
      <c r="A78" s="358" t="s">
        <v>1210</v>
      </c>
      <c r="B78" s="359"/>
      <c r="C78" s="359"/>
      <c r="D78" s="359"/>
      <c r="E78" s="359"/>
      <c r="F78" s="359"/>
      <c r="G78" s="359"/>
      <c r="H78" s="359"/>
      <c r="I78" s="359"/>
      <c r="J78" s="359"/>
      <c r="K78" s="360"/>
    </row>
    <row r="79" spans="1:11" s="361" customFormat="1">
      <c r="A79" s="365" t="s">
        <v>1212</v>
      </c>
      <c r="B79" s="362">
        <f>'Sources and Uses Budget'!C79</f>
        <v>1186000</v>
      </c>
      <c r="C79" s="363">
        <f>B79</f>
        <v>1186000</v>
      </c>
      <c r="D79" s="363"/>
      <c r="E79" s="362">
        <f>'Sources and Uses Budget'!S79</f>
        <v>1186000</v>
      </c>
      <c r="F79" s="363">
        <f>E79</f>
        <v>1186000</v>
      </c>
      <c r="G79" s="363"/>
      <c r="H79" s="362">
        <f>'Sources and Uses Budget'!T79</f>
        <v>0</v>
      </c>
      <c r="I79" s="363"/>
      <c r="J79" s="363"/>
      <c r="K79" s="360"/>
    </row>
    <row r="80" spans="1:11" s="361" customFormat="1">
      <c r="A80" s="365" t="s">
        <v>58</v>
      </c>
      <c r="B80" s="362">
        <f>'Sources and Uses Budget'!C80</f>
        <v>449580</v>
      </c>
      <c r="C80" s="363">
        <f>B80</f>
        <v>449580</v>
      </c>
      <c r="D80" s="363"/>
      <c r="E80" s="362">
        <f>'Sources and Uses Budget'!S80</f>
        <v>449580</v>
      </c>
      <c r="F80" s="363">
        <f>E80</f>
        <v>449580</v>
      </c>
      <c r="G80" s="363"/>
      <c r="H80" s="362">
        <f>'Sources and Uses Budget'!T80</f>
        <v>0</v>
      </c>
      <c r="I80" s="363"/>
      <c r="J80" s="363"/>
      <c r="K80" s="360"/>
    </row>
    <row r="81" spans="1:11" s="361" customFormat="1">
      <c r="A81" s="366" t="s">
        <v>1209</v>
      </c>
      <c r="B81" s="362">
        <f>'Sources and Uses Budget'!C81</f>
        <v>1635580</v>
      </c>
      <c r="C81" s="362">
        <f>SUM(C79:C80)</f>
        <v>1635580</v>
      </c>
      <c r="D81" s="362">
        <f>SUM(D79:D80)</f>
        <v>0</v>
      </c>
      <c r="E81" s="362">
        <f>'Sources and Uses Budget'!S81</f>
        <v>1635580</v>
      </c>
      <c r="F81" s="362">
        <f>SUM(F79:F80)</f>
        <v>1635580</v>
      </c>
      <c r="G81" s="362">
        <f>SUM(G79:G80)</f>
        <v>0</v>
      </c>
      <c r="H81" s="362">
        <f>'Sources and Uses Budget'!T81</f>
        <v>0</v>
      </c>
      <c r="I81" s="362">
        <f>SUM(I79:I80)</f>
        <v>0</v>
      </c>
      <c r="J81" s="362">
        <f>SUM(J79:J80)</f>
        <v>0</v>
      </c>
      <c r="K81" s="360"/>
    </row>
    <row r="82" spans="1:11" s="361" customFormat="1">
      <c r="A82" s="358" t="s">
        <v>765</v>
      </c>
      <c r="B82" s="359"/>
      <c r="C82" s="359"/>
      <c r="D82" s="359"/>
      <c r="E82" s="359"/>
      <c r="F82" s="359"/>
      <c r="G82" s="359"/>
      <c r="H82" s="359"/>
      <c r="I82" s="359"/>
      <c r="J82" s="359"/>
      <c r="K82" s="360"/>
    </row>
    <row r="83" spans="1:11" s="361" customFormat="1" ht="13.7" customHeight="1">
      <c r="A83" s="145" t="s">
        <v>2096</v>
      </c>
      <c r="B83" s="362">
        <f>'Sources and Uses Budget'!C83</f>
        <v>74996</v>
      </c>
      <c r="C83" s="363">
        <v>74996</v>
      </c>
      <c r="D83" s="363"/>
      <c r="E83" s="364"/>
      <c r="F83" s="364"/>
      <c r="G83" s="364"/>
      <c r="H83" s="364"/>
      <c r="I83" s="364"/>
      <c r="J83" s="364"/>
      <c r="K83" s="360"/>
    </row>
    <row r="84" spans="1:11" s="361" customFormat="1">
      <c r="A84" s="145" t="s">
        <v>767</v>
      </c>
      <c r="B84" s="362">
        <f>'Sources and Uses Budget'!C84</f>
        <v>40000</v>
      </c>
      <c r="C84" s="363">
        <f>B84</f>
        <v>40000</v>
      </c>
      <c r="D84" s="363"/>
      <c r="E84" s="362">
        <f>'Sources and Uses Budget'!S84</f>
        <v>40000</v>
      </c>
      <c r="F84" s="363">
        <f>E84</f>
        <v>40000</v>
      </c>
      <c r="G84" s="363"/>
      <c r="H84" s="362">
        <f>'Sources and Uses Budget'!T84</f>
        <v>0</v>
      </c>
      <c r="I84" s="363"/>
      <c r="J84" s="363"/>
      <c r="K84" s="360"/>
    </row>
    <row r="85" spans="1:11" s="361" customFormat="1">
      <c r="A85" s="145" t="s">
        <v>768</v>
      </c>
      <c r="B85" s="362">
        <f>'Sources and Uses Budget'!C85</f>
        <v>0</v>
      </c>
      <c r="C85" s="363"/>
      <c r="D85" s="363"/>
      <c r="E85" s="362">
        <f>'Sources and Uses Budget'!S85</f>
        <v>0</v>
      </c>
      <c r="F85" s="363"/>
      <c r="G85" s="363"/>
      <c r="H85" s="362">
        <f>'Sources and Uses Budget'!T85</f>
        <v>0</v>
      </c>
      <c r="I85" s="363"/>
      <c r="J85" s="363"/>
      <c r="K85" s="360"/>
    </row>
    <row r="86" spans="1:11" s="361" customFormat="1">
      <c r="A86" s="145" t="s">
        <v>769</v>
      </c>
      <c r="B86" s="362">
        <f>'Sources and Uses Budget'!C86</f>
        <v>150000</v>
      </c>
      <c r="C86" s="363">
        <f>B86</f>
        <v>150000</v>
      </c>
      <c r="D86" s="363"/>
      <c r="E86" s="362">
        <f>'Sources and Uses Budget'!S86</f>
        <v>150000</v>
      </c>
      <c r="F86" s="363">
        <f>E86</f>
        <v>150000</v>
      </c>
      <c r="G86" s="363"/>
      <c r="H86" s="362">
        <f>'Sources and Uses Budget'!T86</f>
        <v>0</v>
      </c>
      <c r="I86" s="363"/>
      <c r="J86" s="363"/>
      <c r="K86" s="360"/>
    </row>
    <row r="87" spans="1:11" s="361" customFormat="1">
      <c r="A87" s="145" t="s">
        <v>770</v>
      </c>
      <c r="B87" s="362">
        <f>'Sources and Uses Budget'!C87</f>
        <v>0</v>
      </c>
      <c r="C87" s="363"/>
      <c r="D87" s="363"/>
      <c r="E87" s="362">
        <f>'Sources and Uses Budget'!S87</f>
        <v>0</v>
      </c>
      <c r="F87" s="363"/>
      <c r="G87" s="363"/>
      <c r="H87" s="362">
        <f>'Sources and Uses Budget'!T87</f>
        <v>0</v>
      </c>
      <c r="I87" s="363"/>
      <c r="J87" s="363"/>
      <c r="K87" s="360"/>
    </row>
    <row r="88" spans="1:11" s="361" customFormat="1">
      <c r="A88" s="145" t="s">
        <v>771</v>
      </c>
      <c r="B88" s="362">
        <f>'Sources and Uses Budget'!C88</f>
        <v>20000</v>
      </c>
      <c r="C88" s="363">
        <f>B88</f>
        <v>20000</v>
      </c>
      <c r="D88" s="363"/>
      <c r="E88" s="364"/>
      <c r="F88" s="364"/>
      <c r="G88" s="364"/>
      <c r="H88" s="364"/>
      <c r="I88" s="364"/>
      <c r="J88" s="364"/>
      <c r="K88" s="360"/>
    </row>
    <row r="89" spans="1:11" s="361" customFormat="1">
      <c r="A89" s="145" t="s">
        <v>772</v>
      </c>
      <c r="B89" s="362">
        <f>'Sources and Uses Budget'!C89</f>
        <v>415000</v>
      </c>
      <c r="C89" s="363">
        <f>B89</f>
        <v>415000</v>
      </c>
      <c r="D89" s="363"/>
      <c r="E89" s="362">
        <f>'Sources and Uses Budget'!S89</f>
        <v>415000</v>
      </c>
      <c r="F89" s="363">
        <f>E89</f>
        <v>415000</v>
      </c>
      <c r="G89" s="363"/>
      <c r="H89" s="362">
        <f>'Sources and Uses Budget'!T89</f>
        <v>0</v>
      </c>
      <c r="I89" s="363"/>
      <c r="J89" s="363"/>
      <c r="K89" s="360"/>
    </row>
    <row r="90" spans="1:11" s="361" customFormat="1">
      <c r="A90" s="145" t="s">
        <v>773</v>
      </c>
      <c r="B90" s="362">
        <f>'Sources and Uses Budget'!C90</f>
        <v>15000</v>
      </c>
      <c r="C90" s="363">
        <f>B90</f>
        <v>15000</v>
      </c>
      <c r="D90" s="363"/>
      <c r="E90" s="362">
        <f>'Sources and Uses Budget'!S90</f>
        <v>15000</v>
      </c>
      <c r="F90" s="363">
        <f>E90</f>
        <v>15000</v>
      </c>
      <c r="G90" s="363"/>
      <c r="H90" s="362">
        <f>'Sources and Uses Budget'!T90</f>
        <v>0</v>
      </c>
      <c r="I90" s="363"/>
      <c r="J90" s="363"/>
      <c r="K90" s="360"/>
    </row>
    <row r="91" spans="1:11" s="361" customFormat="1">
      <c r="A91" s="155" t="s">
        <v>372</v>
      </c>
      <c r="B91" s="362">
        <f>'Sources and Uses Budget'!C91</f>
        <v>25000</v>
      </c>
      <c r="C91" s="363">
        <f>B91</f>
        <v>25000</v>
      </c>
      <c r="D91" s="363"/>
      <c r="E91" s="362">
        <f>'Sources and Uses Budget'!S91</f>
        <v>25000</v>
      </c>
      <c r="F91" s="363">
        <f>E91</f>
        <v>25000</v>
      </c>
      <c r="G91" s="363"/>
      <c r="H91" s="362">
        <f>'Sources and Uses Budget'!T91</f>
        <v>0</v>
      </c>
      <c r="I91" s="363"/>
      <c r="J91" s="363"/>
      <c r="K91" s="360"/>
    </row>
    <row r="92" spans="1:11" s="361" customFormat="1">
      <c r="A92" s="509" t="s">
        <v>1211</v>
      </c>
      <c r="B92" s="362">
        <f>'Sources and Uses Budget'!C92</f>
        <v>15000</v>
      </c>
      <c r="C92" s="363">
        <f>B92</f>
        <v>15000</v>
      </c>
      <c r="D92" s="363"/>
      <c r="E92" s="362">
        <f>'Sources and Uses Budget'!S92</f>
        <v>15000</v>
      </c>
      <c r="F92" s="363">
        <f>E92</f>
        <v>15000</v>
      </c>
      <c r="G92" s="363"/>
      <c r="H92" s="362">
        <f>'Sources and Uses Budget'!T92</f>
        <v>0</v>
      </c>
      <c r="I92" s="363"/>
      <c r="J92" s="363"/>
      <c r="K92" s="360"/>
    </row>
    <row r="93" spans="1:11" s="361" customFormat="1">
      <c r="A93" s="365" t="str">
        <f>'Sources and Uses Budget'!$A93</f>
        <v>Other: (Specify)</v>
      </c>
      <c r="B93" s="362">
        <f>'Sources and Uses Budget'!C93</f>
        <v>0</v>
      </c>
      <c r="C93" s="363"/>
      <c r="D93" s="363"/>
      <c r="E93" s="362">
        <f>'Sources and Uses Budget'!S93</f>
        <v>0</v>
      </c>
      <c r="F93" s="363"/>
      <c r="G93" s="363"/>
      <c r="H93" s="362">
        <f>'Sources and Uses Budget'!T93</f>
        <v>0</v>
      </c>
      <c r="I93" s="363"/>
      <c r="J93" s="363"/>
      <c r="K93" s="360"/>
    </row>
    <row r="94" spans="1:11" s="361" customFormat="1">
      <c r="A94" s="365" t="str">
        <f>'Sources and Uses Budget'!$A94</f>
        <v>Other: (Specify)</v>
      </c>
      <c r="B94" s="362">
        <f>'Sources and Uses Budget'!C94</f>
        <v>0</v>
      </c>
      <c r="C94" s="363"/>
      <c r="D94" s="363"/>
      <c r="E94" s="362">
        <f>'Sources and Uses Budget'!S94</f>
        <v>0</v>
      </c>
      <c r="F94" s="363"/>
      <c r="G94" s="363"/>
      <c r="H94" s="362">
        <f>'Sources and Uses Budget'!T94</f>
        <v>0</v>
      </c>
      <c r="I94" s="363"/>
      <c r="J94" s="363"/>
      <c r="K94" s="360"/>
    </row>
    <row r="95" spans="1:11" s="361" customFormat="1">
      <c r="A95" s="365" t="str">
        <f>'Sources and Uses Budget'!$A95</f>
        <v>Other: (Specify)</v>
      </c>
      <c r="B95" s="362">
        <f>'Sources and Uses Budget'!C95</f>
        <v>0</v>
      </c>
      <c r="C95" s="363"/>
      <c r="D95" s="363"/>
      <c r="E95" s="362">
        <f>'Sources and Uses Budget'!S95</f>
        <v>0</v>
      </c>
      <c r="F95" s="363"/>
      <c r="G95" s="363"/>
      <c r="H95" s="362">
        <f>'Sources and Uses Budget'!T95</f>
        <v>0</v>
      </c>
      <c r="I95" s="363"/>
      <c r="J95" s="363"/>
      <c r="K95" s="360"/>
    </row>
    <row r="96" spans="1:11" s="361" customFormat="1">
      <c r="A96" s="366" t="s">
        <v>774</v>
      </c>
      <c r="B96" s="362">
        <f>'Sources and Uses Budget'!C96</f>
        <v>754996</v>
      </c>
      <c r="C96" s="362">
        <f>SUM(C83:C95)</f>
        <v>754996</v>
      </c>
      <c r="D96" s="362">
        <f>SUM(D83:D95)</f>
        <v>0</v>
      </c>
      <c r="E96" s="362">
        <f>'Sources and Uses Budget'!S96</f>
        <v>660000</v>
      </c>
      <c r="F96" s="368">
        <f>SUM(F84:F87,F89:F95)</f>
        <v>660000</v>
      </c>
      <c r="G96" s="368">
        <f>SUM(G84:G87,G89:G95)</f>
        <v>0</v>
      </c>
      <c r="H96" s="362">
        <f>'Sources and Uses Budget'!T96</f>
        <v>0</v>
      </c>
      <c r="I96" s="362">
        <f>SUM(I84:I87,I89:I95)</f>
        <v>0</v>
      </c>
      <c r="J96" s="362">
        <f>SUM(J84:J87,J89:J95)</f>
        <v>0</v>
      </c>
      <c r="K96" s="360"/>
    </row>
    <row r="97" spans="1:11" s="361" customFormat="1">
      <c r="A97" s="366" t="s">
        <v>1029</v>
      </c>
      <c r="B97" s="362">
        <f>'Sources and Uses Budget'!C97</f>
        <v>31135869</v>
      </c>
      <c r="C97" s="362">
        <f>SUM(C63+C70+C77+C81+C96)</f>
        <v>31135869</v>
      </c>
      <c r="D97" s="362">
        <f>SUM(D63+D70+D77+D81+D96)</f>
        <v>0</v>
      </c>
      <c r="E97" s="362">
        <f>'Sources and Uses Budget'!S97</f>
        <v>10726780</v>
      </c>
      <c r="F97" s="368">
        <f>SUM(+F63+F70+F81+F96)</f>
        <v>10726780</v>
      </c>
      <c r="G97" s="368">
        <f>SUM(+G63+G70+G81+G96)</f>
        <v>0</v>
      </c>
      <c r="H97" s="362">
        <f>'Sources and Uses Budget'!T97</f>
        <v>15440000</v>
      </c>
      <c r="I97" s="368">
        <f>SUM(I63+I70+I81+I96)</f>
        <v>15440000</v>
      </c>
      <c r="J97" s="368">
        <f>SUM(J63+J70+J81+J96)</f>
        <v>0</v>
      </c>
      <c r="K97" s="360"/>
    </row>
    <row r="98" spans="1:11" s="361" customFormat="1">
      <c r="A98" s="358" t="s">
        <v>776</v>
      </c>
      <c r="B98" s="359"/>
      <c r="C98" s="359"/>
      <c r="D98" s="359"/>
      <c r="E98" s="359"/>
      <c r="F98" s="359"/>
      <c r="G98" s="359"/>
      <c r="H98" s="359"/>
      <c r="I98" s="359"/>
      <c r="J98" s="359"/>
      <c r="K98" s="360"/>
    </row>
    <row r="99" spans="1:11" s="361" customFormat="1">
      <c r="A99" s="145" t="s">
        <v>777</v>
      </c>
      <c r="B99" s="362">
        <f>'Sources and Uses Budget'!C99</f>
        <v>2381017</v>
      </c>
      <c r="C99" s="363">
        <f>B99</f>
        <v>2381017</v>
      </c>
      <c r="D99" s="363"/>
      <c r="E99" s="362">
        <f>'Sources and Uses Budget'!S99</f>
        <v>1609017</v>
      </c>
      <c r="F99" s="363">
        <f>E99</f>
        <v>1609017</v>
      </c>
      <c r="G99" s="363"/>
      <c r="H99" s="362">
        <f>'Sources and Uses Budget'!T99</f>
        <v>772000</v>
      </c>
      <c r="I99" s="363">
        <v>772000</v>
      </c>
      <c r="J99" s="363"/>
      <c r="K99" s="360"/>
    </row>
    <row r="100" spans="1:11" s="361" customFormat="1">
      <c r="A100" s="284" t="s">
        <v>1646</v>
      </c>
      <c r="B100" s="362">
        <f>'Sources and Uses Budget'!C100</f>
        <v>0</v>
      </c>
      <c r="C100" s="363"/>
      <c r="D100" s="363"/>
      <c r="E100" s="362">
        <f>'Sources and Uses Budget'!S100</f>
        <v>0</v>
      </c>
      <c r="F100" s="363"/>
      <c r="G100" s="363"/>
      <c r="H100" s="362">
        <f>'Sources and Uses Budget'!T100</f>
        <v>0</v>
      </c>
      <c r="I100" s="363"/>
      <c r="J100" s="363"/>
      <c r="K100" s="360"/>
    </row>
    <row r="101" spans="1:11" s="361" customFormat="1">
      <c r="A101" s="145" t="s">
        <v>778</v>
      </c>
      <c r="B101" s="362">
        <f>'Sources and Uses Budget'!C101</f>
        <v>0</v>
      </c>
      <c r="C101" s="363"/>
      <c r="D101" s="363"/>
      <c r="E101" s="362">
        <f>'Sources and Uses Budget'!S101</f>
        <v>0</v>
      </c>
      <c r="F101" s="363"/>
      <c r="G101" s="363"/>
      <c r="H101" s="362">
        <f>'Sources and Uses Budget'!T101</f>
        <v>0</v>
      </c>
      <c r="I101" s="363"/>
      <c r="J101" s="363"/>
      <c r="K101" s="360"/>
    </row>
    <row r="102" spans="1:11" s="361" customFormat="1" ht="12" customHeight="1">
      <c r="A102" s="284" t="s">
        <v>1647</v>
      </c>
      <c r="B102" s="362">
        <f>'Sources and Uses Budget'!C102</f>
        <v>0</v>
      </c>
      <c r="C102" s="363"/>
      <c r="D102" s="363"/>
      <c r="E102" s="362">
        <f>'Sources and Uses Budget'!S102</f>
        <v>0</v>
      </c>
      <c r="F102" s="363"/>
      <c r="G102" s="363"/>
      <c r="H102" s="362">
        <f>'Sources and Uses Budget'!T102</f>
        <v>0</v>
      </c>
      <c r="I102" s="363"/>
      <c r="J102" s="363"/>
      <c r="K102" s="360"/>
    </row>
    <row r="103" spans="1:11" s="361" customFormat="1">
      <c r="A103" s="365" t="str">
        <f>'Sources and Uses Budget'!$A103</f>
        <v>Other: (Specify)</v>
      </c>
      <c r="B103" s="362">
        <f>'Sources and Uses Budget'!C103</f>
        <v>0</v>
      </c>
      <c r="C103" s="363"/>
      <c r="D103" s="363"/>
      <c r="E103" s="362">
        <f>'Sources and Uses Budget'!S103</f>
        <v>0</v>
      </c>
      <c r="F103" s="363"/>
      <c r="G103" s="363"/>
      <c r="H103" s="362">
        <f>'Sources and Uses Budget'!T103</f>
        <v>0</v>
      </c>
      <c r="I103" s="363"/>
      <c r="J103" s="363"/>
      <c r="K103" s="360"/>
    </row>
    <row r="104" spans="1:11" s="361" customFormat="1">
      <c r="A104" s="366" t="s">
        <v>779</v>
      </c>
      <c r="B104" s="362">
        <f>'Sources and Uses Budget'!C104</f>
        <v>2381017</v>
      </c>
      <c r="C104" s="362">
        <f>SUM(C99:C103)</f>
        <v>2381017</v>
      </c>
      <c r="D104" s="362">
        <f>SUM(D99:D103)</f>
        <v>0</v>
      </c>
      <c r="E104" s="362">
        <f>'Sources and Uses Budget'!S104</f>
        <v>1609017</v>
      </c>
      <c r="F104" s="368">
        <f>SUM(F99:F103)</f>
        <v>1609017</v>
      </c>
      <c r="G104" s="368">
        <f>SUM(G99:G103)</f>
        <v>0</v>
      </c>
      <c r="H104" s="362">
        <f>'Sources and Uses Budget'!T104</f>
        <v>772000</v>
      </c>
      <c r="I104" s="368">
        <f>SUM(I99:I103)</f>
        <v>772000</v>
      </c>
      <c r="J104" s="368">
        <f>SUM(J99:J103)</f>
        <v>0</v>
      </c>
      <c r="K104" s="360"/>
    </row>
    <row r="105" spans="1:11" s="361" customFormat="1">
      <c r="A105" s="366" t="s">
        <v>1030</v>
      </c>
      <c r="B105" s="362">
        <f>'Sources and Uses Budget'!C105</f>
        <v>33516886</v>
      </c>
      <c r="C105" s="368">
        <f>SUM(C97+C104)</f>
        <v>33516886</v>
      </c>
      <c r="D105" s="368">
        <f>SUM(D97+D104)</f>
        <v>0</v>
      </c>
      <c r="E105" s="362">
        <f>'Sources and Uses Budget'!S105</f>
        <v>12335797</v>
      </c>
      <c r="F105" s="368">
        <f>F97+F104</f>
        <v>12335797</v>
      </c>
      <c r="G105" s="368">
        <f>G97+G104</f>
        <v>0</v>
      </c>
      <c r="H105" s="362">
        <f>'Sources and Uses Budget'!T105</f>
        <v>16212000</v>
      </c>
      <c r="I105" s="368">
        <f>I97+I104</f>
        <v>16212000</v>
      </c>
      <c r="J105" s="368">
        <f>J97+J104</f>
        <v>0</v>
      </c>
      <c r="K105" s="360"/>
    </row>
    <row r="106" spans="1:11" s="361" customFormat="1">
      <c r="A106" s="372"/>
      <c r="B106" s="373"/>
      <c r="C106" s="373"/>
      <c r="D106" s="373"/>
      <c r="E106" s="362">
        <f>'Sources and Uses Budget'!S106</f>
        <v>0</v>
      </c>
      <c r="F106" s="363"/>
      <c r="G106" s="363"/>
      <c r="H106" s="362">
        <f>'Sources and Uses Budget'!T106</f>
        <v>0</v>
      </c>
      <c r="I106" s="363"/>
      <c r="J106" s="363"/>
      <c r="K106" s="360"/>
    </row>
    <row r="107" spans="1:11" s="361" customFormat="1">
      <c r="A107" s="374"/>
      <c r="B107" s="375"/>
      <c r="C107" s="373"/>
      <c r="D107" s="455" t="s">
        <v>375</v>
      </c>
      <c r="E107" s="362">
        <f>'Sources and Uses Budget'!S107</f>
        <v>12335797</v>
      </c>
      <c r="F107" s="368">
        <f>F105+F106</f>
        <v>12335797</v>
      </c>
      <c r="G107" s="368">
        <f>G105+G106</f>
        <v>0</v>
      </c>
      <c r="H107" s="362">
        <f>'Sources and Uses Budget'!T107</f>
        <v>16212000</v>
      </c>
      <c r="I107" s="368">
        <f>I105+I106</f>
        <v>16212000</v>
      </c>
      <c r="J107" s="368">
        <f>J105+J106</f>
        <v>0</v>
      </c>
      <c r="K107" s="360"/>
    </row>
    <row r="108" spans="1:11" s="361" customFormat="1">
      <c r="A108" s="374"/>
      <c r="B108" s="376"/>
      <c r="C108" s="376"/>
      <c r="D108" s="376"/>
      <c r="J108" s="377"/>
      <c r="K108" s="360"/>
    </row>
    <row r="109" spans="1:11" s="361" customFormat="1">
      <c r="A109" s="374"/>
      <c r="B109" s="376"/>
      <c r="C109" s="376"/>
      <c r="D109" s="376"/>
      <c r="J109" s="377"/>
      <c r="K109" s="360"/>
    </row>
    <row r="110" spans="1:11" s="361" customFormat="1">
      <c r="A110" s="374"/>
      <c r="B110" s="376"/>
      <c r="C110" s="376"/>
      <c r="D110" s="376"/>
      <c r="J110" s="377"/>
      <c r="K110" s="360"/>
    </row>
    <row r="111" spans="1:11" s="361" customFormat="1" ht="12.75">
      <c r="A111" s="378"/>
      <c r="B111" s="376"/>
      <c r="C111" s="376"/>
      <c r="D111" s="376"/>
      <c r="J111" s="377"/>
      <c r="K111" s="360"/>
    </row>
    <row r="112" spans="1:11" s="361" customFormat="1" ht="12.75">
      <c r="A112" s="378"/>
      <c r="B112" s="376"/>
      <c r="C112" s="376"/>
      <c r="D112" s="376"/>
      <c r="J112" s="377"/>
      <c r="K112" s="360"/>
    </row>
    <row r="113" spans="1:11" s="361" customFormat="1" ht="14.25">
      <c r="A113" s="379"/>
      <c r="B113" s="376"/>
      <c r="C113" s="376"/>
      <c r="D113" s="376"/>
      <c r="J113" s="377"/>
      <c r="K113" s="360"/>
    </row>
    <row r="114" spans="1:11" s="361" customFormat="1" ht="12.75">
      <c r="A114" s="378"/>
      <c r="J114" s="377"/>
      <c r="K114" s="360"/>
    </row>
    <row r="115" spans="1:11" s="361" customFormat="1" ht="14.25">
      <c r="A115" s="379"/>
      <c r="J115" s="377"/>
      <c r="K115" s="360"/>
    </row>
    <row r="116" spans="1:11" s="361" customFormat="1" ht="14.25">
      <c r="A116" s="379"/>
      <c r="J116" s="377"/>
      <c r="K116" s="360"/>
    </row>
    <row r="117" spans="1:11" s="361" customFormat="1">
      <c r="B117" s="376"/>
      <c r="C117" s="376"/>
      <c r="D117" s="376"/>
      <c r="J117" s="377"/>
      <c r="K117" s="360"/>
    </row>
    <row r="118" spans="1:11" s="361" customFormat="1">
      <c r="J118" s="377"/>
      <c r="K118" s="360"/>
    </row>
    <row r="119" spans="1:11" s="361" customFormat="1">
      <c r="J119" s="377"/>
      <c r="K119" s="360"/>
    </row>
    <row r="120" spans="1:11" s="361" customFormat="1">
      <c r="J120" s="377"/>
      <c r="K120" s="360"/>
    </row>
    <row r="121" spans="1:11" s="361" customFormat="1" ht="14.25">
      <c r="A121" s="379"/>
      <c r="J121" s="377"/>
      <c r="K121" s="360"/>
    </row>
    <row r="122" spans="1:11" s="381" customFormat="1" ht="15.75">
      <c r="A122" s="380"/>
      <c r="J122" s="382"/>
      <c r="K122" s="383"/>
    </row>
    <row r="123" spans="1:11" s="361" customFormat="1">
      <c r="A123" s="384"/>
      <c r="J123" s="377"/>
      <c r="K123" s="360"/>
    </row>
    <row r="124" spans="1:11" s="361" customFormat="1">
      <c r="B124" s="385"/>
      <c r="D124" s="1877"/>
      <c r="E124" s="1314"/>
      <c r="F124" s="1314"/>
      <c r="G124" s="1314"/>
      <c r="H124" s="1314"/>
      <c r="I124" s="1314"/>
      <c r="J124" s="377"/>
      <c r="K124" s="360"/>
    </row>
    <row r="125" spans="1:11" s="361" customFormat="1" ht="12.75">
      <c r="A125" s="386"/>
      <c r="B125" s="385"/>
      <c r="C125" s="386"/>
      <c r="D125" s="1314"/>
      <c r="E125" s="1314"/>
      <c r="F125" s="1314"/>
      <c r="G125" s="1314"/>
      <c r="H125" s="1314"/>
      <c r="I125" s="1314"/>
      <c r="J125" s="377"/>
      <c r="K125" s="360"/>
    </row>
    <row r="126" spans="1:11" s="361" customFormat="1" ht="12.75">
      <c r="A126" s="386"/>
      <c r="B126" s="385"/>
      <c r="C126" s="386"/>
      <c r="D126" s="1314"/>
      <c r="E126" s="1314"/>
      <c r="F126" s="1314"/>
      <c r="G126" s="1314"/>
      <c r="H126" s="1314"/>
      <c r="I126" s="1314"/>
      <c r="J126" s="377"/>
      <c r="K126" s="360"/>
    </row>
    <row r="127" spans="1:11" s="361" customFormat="1" ht="12.75">
      <c r="A127" s="386"/>
      <c r="B127" s="385"/>
      <c r="C127" s="386"/>
      <c r="D127" s="387"/>
      <c r="E127" s="386"/>
      <c r="F127" s="386"/>
      <c r="G127" s="386"/>
      <c r="J127" s="377"/>
      <c r="K127" s="360"/>
    </row>
    <row r="128" spans="1:11" s="361" customFormat="1" ht="12.75">
      <c r="A128" s="386"/>
      <c r="B128" s="385"/>
      <c r="C128" s="386"/>
      <c r="D128" s="387"/>
      <c r="E128" s="386"/>
      <c r="F128" s="386"/>
      <c r="G128" s="386"/>
      <c r="J128" s="377"/>
      <c r="K128" s="360"/>
    </row>
    <row r="129" spans="1:11" s="361" customFormat="1" ht="12.75">
      <c r="A129" s="386"/>
      <c r="B129" s="385"/>
      <c r="C129" s="386"/>
      <c r="D129" s="386"/>
      <c r="E129" s="386"/>
      <c r="F129" s="386"/>
      <c r="G129" s="386"/>
      <c r="J129" s="377"/>
      <c r="K129" s="360"/>
    </row>
    <row r="130" spans="1:11" s="361" customFormat="1" ht="12.75">
      <c r="A130" s="386"/>
      <c r="B130" s="385"/>
      <c r="C130" s="386"/>
      <c r="D130" s="386"/>
      <c r="E130" s="386"/>
      <c r="F130" s="386"/>
      <c r="G130" s="386"/>
      <c r="J130" s="377"/>
      <c r="K130" s="360"/>
    </row>
    <row r="131" spans="1:11" s="361" customFormat="1" ht="12.75">
      <c r="A131" s="386"/>
      <c r="B131" s="388"/>
      <c r="C131" s="386"/>
      <c r="D131" s="386"/>
      <c r="E131" s="386"/>
      <c r="F131" s="386"/>
      <c r="G131" s="386"/>
      <c r="J131" s="377"/>
      <c r="K131" s="360"/>
    </row>
    <row r="132" spans="1:11" s="361" customFormat="1" ht="12.75">
      <c r="A132" s="389"/>
      <c r="B132" s="390"/>
      <c r="C132" s="386"/>
      <c r="D132" s="391"/>
      <c r="E132" s="386"/>
      <c r="F132" s="386"/>
      <c r="G132" s="386"/>
      <c r="J132" s="377"/>
      <c r="K132" s="360"/>
    </row>
    <row r="133" spans="1:11" s="361" customFormat="1" ht="12.75">
      <c r="A133" s="392"/>
      <c r="B133" s="386"/>
      <c r="C133" s="386"/>
      <c r="D133" s="386"/>
      <c r="E133" s="386"/>
      <c r="F133" s="386"/>
      <c r="G133" s="386"/>
      <c r="J133" s="377"/>
      <c r="K133" s="360"/>
    </row>
    <row r="134" spans="1:11" s="361" customFormat="1" ht="12.75">
      <c r="A134" s="392"/>
      <c r="B134" s="386"/>
      <c r="C134" s="386"/>
      <c r="D134" s="386"/>
      <c r="E134" s="386"/>
      <c r="F134" s="386"/>
      <c r="G134" s="386"/>
      <c r="J134" s="377"/>
      <c r="K134" s="360"/>
    </row>
    <row r="135" spans="1:11" s="361" customFormat="1" ht="12.75">
      <c r="A135" s="393"/>
      <c r="B135" s="386"/>
      <c r="C135" s="386"/>
      <c r="D135" s="386"/>
      <c r="E135" s="386"/>
      <c r="F135" s="386"/>
      <c r="G135" s="386"/>
      <c r="J135" s="377"/>
      <c r="K135" s="360"/>
    </row>
    <row r="136" spans="1:11" s="361" customFormat="1" ht="12.75">
      <c r="A136" s="378"/>
      <c r="B136" s="386"/>
      <c r="C136" s="386"/>
      <c r="D136" s="386"/>
      <c r="E136" s="386"/>
      <c r="F136" s="386"/>
      <c r="G136" s="386"/>
      <c r="J136" s="377"/>
      <c r="K136" s="360"/>
    </row>
    <row r="137" spans="1:11" ht="12.75">
      <c r="A137" s="392"/>
      <c r="B137" s="386"/>
      <c r="C137" s="386"/>
      <c r="D137" s="386"/>
      <c r="E137" s="386"/>
      <c r="F137" s="386"/>
      <c r="G137" s="386"/>
    </row>
    <row r="138" spans="1:11" ht="12" customHeight="1">
      <c r="A138" s="392"/>
      <c r="B138" s="386"/>
      <c r="C138" s="386"/>
      <c r="D138" s="386"/>
      <c r="E138" s="386"/>
      <c r="F138" s="386"/>
      <c r="G138" s="386"/>
    </row>
    <row r="139" spans="1:11" ht="12" customHeight="1">
      <c r="A139" s="1878"/>
      <c r="B139" s="1314"/>
      <c r="C139" s="1314"/>
      <c r="D139" s="357"/>
      <c r="E139" s="386"/>
      <c r="F139" s="386"/>
      <c r="G139" s="386"/>
    </row>
    <row r="140" spans="1:11" ht="12" customHeight="1">
      <c r="A140" s="1285"/>
      <c r="B140" s="1285"/>
      <c r="C140" s="1285"/>
      <c r="D140" s="357"/>
      <c r="E140" s="386"/>
      <c r="F140" s="386"/>
      <c r="G140" s="386"/>
    </row>
    <row r="141" spans="1:11" ht="12" customHeight="1">
      <c r="A141" s="392"/>
      <c r="B141" s="386"/>
      <c r="C141" s="386"/>
      <c r="D141" s="357"/>
      <c r="E141" s="386"/>
      <c r="F141" s="386"/>
      <c r="G141" s="386"/>
      <c r="H141" s="395"/>
      <c r="I141" s="395"/>
    </row>
    <row r="142" spans="1:11" ht="12" customHeight="1">
      <c r="A142" s="397"/>
      <c r="B142" s="357"/>
      <c r="C142" s="357"/>
      <c r="D142" s="357"/>
      <c r="E142" s="386"/>
      <c r="F142" s="386"/>
      <c r="G142" s="386"/>
      <c r="H142" s="395"/>
      <c r="I142" s="395"/>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topLeftCell="A16" workbookViewId="0">
      <selection sqref="A1:BE1"/>
    </sheetView>
  </sheetViews>
  <sheetFormatPr defaultColWidth="2.5703125" defaultRowHeight="15.75" customHeight="1"/>
  <cols>
    <col min="1" max="8" width="2.5703125" style="1189"/>
    <col min="9" max="9" width="7.5703125" style="1189" customWidth="1"/>
    <col min="10" max="13" width="2.5703125" style="1189"/>
    <col min="14" max="14" width="4.5703125" style="1189" customWidth="1"/>
    <col min="15" max="19" width="2.5703125" style="1189"/>
    <col min="20" max="20" width="3.5703125" style="1189" customWidth="1"/>
    <col min="21" max="37" width="2.5703125" style="1189"/>
    <col min="38" max="38" width="3" style="1189" customWidth="1"/>
    <col min="39" max="45" width="2.5703125" style="1189"/>
    <col min="46" max="46" width="4.5703125" style="1189" customWidth="1"/>
    <col min="47" max="64" width="2.5703125" style="1189"/>
    <col min="65" max="65" width="10.42578125" style="1189" hidden="1" customWidth="1"/>
    <col min="66" max="66" width="5.5703125" style="1189" bestFit="1" customWidth="1"/>
    <col min="67" max="68" width="5.5703125" style="1189" hidden="1" customWidth="1"/>
    <col min="69" max="69" width="8" style="1189" hidden="1" customWidth="1"/>
    <col min="70" max="70" width="6" style="1189" hidden="1" customWidth="1"/>
    <col min="71" max="71" width="6.140625" style="1189" hidden="1" customWidth="1"/>
    <col min="72" max="76" width="5.5703125" style="1189" hidden="1" customWidth="1"/>
    <col min="77" max="77" width="6.140625" style="1189" bestFit="1" customWidth="1"/>
    <col min="78" max="78" width="5.5703125" style="1189" bestFit="1" customWidth="1"/>
    <col min="79" max="16384" width="2.5703125" style="1189"/>
  </cols>
  <sheetData>
    <row r="1" spans="1:65" ht="15.75" customHeight="1">
      <c r="A1" s="1890" t="s">
        <v>2460</v>
      </c>
      <c r="B1" s="1891"/>
      <c r="C1" s="1891"/>
      <c r="D1" s="1891"/>
      <c r="E1" s="1891"/>
      <c r="F1" s="1891"/>
      <c r="G1" s="1891"/>
      <c r="H1" s="1891"/>
      <c r="I1" s="1891"/>
      <c r="J1" s="1891"/>
      <c r="K1" s="1891"/>
      <c r="L1" s="1891"/>
      <c r="M1" s="1891"/>
      <c r="N1" s="1891"/>
      <c r="O1" s="1891"/>
      <c r="P1" s="1891"/>
      <c r="Q1" s="1891"/>
      <c r="R1" s="1891"/>
      <c r="S1" s="1891"/>
      <c r="T1" s="1891"/>
      <c r="U1" s="1891"/>
      <c r="V1" s="1891"/>
      <c r="W1" s="1891"/>
      <c r="X1" s="1891"/>
      <c r="Y1" s="1891"/>
      <c r="Z1" s="1891"/>
      <c r="AA1" s="1891"/>
      <c r="AB1" s="1891"/>
      <c r="AC1" s="1891"/>
      <c r="AD1" s="1891"/>
      <c r="AE1" s="1891"/>
      <c r="AF1" s="1891"/>
      <c r="AG1" s="1891"/>
      <c r="AH1" s="1891"/>
      <c r="AI1" s="1891"/>
      <c r="AJ1" s="1891"/>
      <c r="AK1" s="1891"/>
      <c r="AL1" s="1891"/>
      <c r="AM1" s="1891"/>
      <c r="AN1" s="1891"/>
      <c r="AO1" s="1891"/>
      <c r="AP1" s="1891"/>
      <c r="AQ1" s="1891"/>
      <c r="AR1" s="1891"/>
      <c r="AS1" s="1891"/>
      <c r="AT1" s="1891"/>
      <c r="AU1" s="1891"/>
      <c r="AV1" s="1891"/>
      <c r="AW1" s="1891"/>
      <c r="AX1" s="1891"/>
      <c r="AY1" s="1891"/>
      <c r="AZ1" s="1891"/>
      <c r="BA1" s="1891"/>
      <c r="BB1" s="1891"/>
      <c r="BC1" s="1891"/>
      <c r="BD1" s="1891"/>
      <c r="BE1" s="1892"/>
    </row>
    <row r="2" spans="1:65" ht="15.75" customHeight="1">
      <c r="A2" s="1893" t="s">
        <v>2459</v>
      </c>
      <c r="B2" s="1894"/>
      <c r="C2" s="1894"/>
      <c r="D2" s="1894"/>
      <c r="E2" s="1894"/>
      <c r="F2" s="1894"/>
      <c r="G2" s="1894"/>
      <c r="H2" s="1894"/>
      <c r="I2" s="1894"/>
      <c r="J2" s="1894"/>
      <c r="K2" s="1894"/>
      <c r="L2" s="1894"/>
      <c r="M2" s="1894"/>
      <c r="N2" s="1894"/>
      <c r="O2" s="1894"/>
      <c r="P2" s="1894"/>
      <c r="Q2" s="1894"/>
      <c r="R2" s="1894"/>
      <c r="S2" s="1894"/>
      <c r="T2" s="1894"/>
      <c r="U2" s="1894"/>
      <c r="V2" s="1894"/>
      <c r="W2" s="1894"/>
      <c r="X2" s="1894"/>
      <c r="Y2" s="1894"/>
      <c r="Z2" s="1894"/>
      <c r="AA2" s="1894"/>
      <c r="AB2" s="1894"/>
      <c r="AC2" s="1894"/>
      <c r="AD2" s="1894"/>
      <c r="AE2" s="1894"/>
      <c r="AF2" s="1894"/>
      <c r="AG2" s="1894"/>
      <c r="AH2" s="1894"/>
      <c r="AI2" s="1894"/>
      <c r="AJ2" s="1894"/>
      <c r="AK2" s="1894"/>
      <c r="AL2" s="1894"/>
      <c r="AM2" s="1894"/>
      <c r="AN2" s="1894"/>
      <c r="AO2" s="1894"/>
      <c r="AP2" s="1894"/>
      <c r="AQ2" s="1894"/>
      <c r="AR2" s="1894"/>
      <c r="AS2" s="1894"/>
      <c r="AT2" s="1894"/>
      <c r="AU2" s="1894"/>
      <c r="AV2" s="1894"/>
      <c r="AW2" s="1894"/>
      <c r="AX2" s="1894"/>
      <c r="AY2" s="1894"/>
      <c r="AZ2" s="1894"/>
      <c r="BA2" s="1894"/>
      <c r="BB2" s="1894"/>
      <c r="BC2" s="1894"/>
      <c r="BD2" s="1894"/>
      <c r="BE2" s="1895"/>
      <c r="BF2" s="1190"/>
    </row>
    <row r="3" spans="1:65" ht="15.75" customHeight="1" thickBot="1">
      <c r="A3" s="1191"/>
      <c r="B3" s="1192"/>
      <c r="C3" s="1192"/>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1192"/>
      <c r="AZ3" s="1192"/>
      <c r="BA3" s="1192"/>
      <c r="BB3" s="1192"/>
      <c r="BC3" s="1192"/>
      <c r="BD3" s="1192"/>
      <c r="BE3" s="1193"/>
    </row>
    <row r="4" spans="1:65" ht="15.75" customHeight="1" thickBot="1">
      <c r="A4" s="1191"/>
      <c r="B4" s="1194" t="s">
        <v>656</v>
      </c>
      <c r="C4" s="1194"/>
      <c r="D4" s="1194"/>
      <c r="E4" s="1194"/>
      <c r="F4" s="1194"/>
      <c r="G4" s="1192"/>
      <c r="H4" s="1192"/>
      <c r="I4" s="1192"/>
      <c r="J4" s="1192"/>
      <c r="K4" s="1192"/>
      <c r="L4" s="1882" t="str">
        <f>IF(Application!H18="","",Application!H18)</f>
        <v>Fairways at San Antonio Court</v>
      </c>
      <c r="M4" s="1883"/>
      <c r="N4" s="1883"/>
      <c r="O4" s="1883"/>
      <c r="P4" s="1883"/>
      <c r="Q4" s="1883"/>
      <c r="R4" s="1883"/>
      <c r="S4" s="1883"/>
      <c r="T4" s="1883"/>
      <c r="U4" s="1883"/>
      <c r="V4" s="1883"/>
      <c r="W4" s="1883"/>
      <c r="X4" s="1883"/>
      <c r="Y4" s="1883"/>
      <c r="Z4" s="1883"/>
      <c r="AA4" s="1883"/>
      <c r="AB4" s="1883"/>
      <c r="AC4" s="1884"/>
      <c r="AD4" s="1192"/>
      <c r="AE4" s="1192"/>
      <c r="AF4" s="1896" t="s">
        <v>2458</v>
      </c>
      <c r="AG4" s="1896"/>
      <c r="AH4" s="1896"/>
      <c r="AI4" s="1896"/>
      <c r="AJ4" s="1896"/>
      <c r="AK4" s="1896"/>
      <c r="AL4" s="1896"/>
      <c r="AM4" s="1896"/>
      <c r="AN4" s="1896"/>
      <c r="AO4" s="1896"/>
      <c r="AP4" s="1897"/>
      <c r="AQ4" s="1898"/>
      <c r="AR4" s="1898"/>
      <c r="AS4" s="1898"/>
      <c r="AT4" s="1898"/>
      <c r="AU4" s="1898"/>
      <c r="AV4" s="1192"/>
      <c r="AW4" s="1192"/>
      <c r="AX4" s="1192"/>
      <c r="AY4" s="1192"/>
      <c r="AZ4" s="1192"/>
      <c r="BA4" s="1192"/>
      <c r="BB4" s="1192"/>
      <c r="BC4" s="1192"/>
      <c r="BD4" s="1192"/>
      <c r="BE4" s="1193"/>
    </row>
    <row r="5" spans="1:65" ht="15.75" customHeight="1" thickBot="1">
      <c r="A5" s="1191"/>
      <c r="B5" s="1192"/>
      <c r="C5" s="1192"/>
      <c r="D5" s="1192"/>
      <c r="E5" s="1192"/>
      <c r="F5" s="1192"/>
      <c r="G5" s="1192"/>
      <c r="H5" s="1192"/>
      <c r="I5" s="1192"/>
      <c r="J5" s="1192"/>
      <c r="K5" s="1192"/>
      <c r="L5" s="1192"/>
      <c r="M5" s="1192"/>
      <c r="N5" s="1192"/>
      <c r="O5" s="1192"/>
      <c r="P5" s="1192"/>
      <c r="Q5" s="1192"/>
      <c r="R5" s="1192"/>
      <c r="S5" s="1192"/>
      <c r="T5" s="1192"/>
      <c r="U5" s="1192"/>
      <c r="V5" s="1192"/>
      <c r="W5" s="1192"/>
      <c r="X5" s="1192"/>
      <c r="Y5" s="1192"/>
      <c r="Z5" s="1192"/>
      <c r="AA5" s="1192"/>
      <c r="AB5" s="1192"/>
      <c r="AC5" s="1192"/>
      <c r="AD5" s="1192"/>
      <c r="AE5" s="1192"/>
      <c r="AF5" s="1896" t="s">
        <v>2457</v>
      </c>
      <c r="AG5" s="1896"/>
      <c r="AH5" s="1896"/>
      <c r="AI5" s="1896"/>
      <c r="AJ5" s="1896"/>
      <c r="AK5" s="1896"/>
      <c r="AL5" s="1896"/>
      <c r="AM5" s="1896"/>
      <c r="AN5" s="1896"/>
      <c r="AO5" s="1896"/>
      <c r="AP5" s="1897"/>
      <c r="AQ5" s="1898"/>
      <c r="AR5" s="1898"/>
      <c r="AS5" s="1898"/>
      <c r="AT5" s="1898"/>
      <c r="AU5" s="1898"/>
      <c r="AV5" s="1192"/>
      <c r="AW5" s="1192"/>
      <c r="AX5" s="1192"/>
      <c r="AY5" s="1192"/>
      <c r="AZ5" s="1192"/>
      <c r="BA5" s="1192"/>
      <c r="BB5" s="1192"/>
      <c r="BC5" s="1192"/>
      <c r="BD5" s="1192"/>
      <c r="BE5" s="1193"/>
    </row>
    <row r="6" spans="1:65" ht="15.75" customHeight="1" thickBot="1">
      <c r="A6" s="1191"/>
      <c r="B6" s="1194" t="s">
        <v>2456</v>
      </c>
      <c r="C6" s="1192"/>
      <c r="D6" s="1192"/>
      <c r="E6" s="1192"/>
      <c r="F6" s="1192"/>
      <c r="G6" s="1192"/>
      <c r="H6" s="1192"/>
      <c r="I6" s="1192"/>
      <c r="J6" s="1192"/>
      <c r="K6" s="1192"/>
      <c r="L6" s="1882" t="str">
        <f>IF(Application!H16="","",Application!H16)</f>
        <v>Fairways Apartments, L.P.</v>
      </c>
      <c r="M6" s="1883"/>
      <c r="N6" s="1883"/>
      <c r="O6" s="1883"/>
      <c r="P6" s="1883"/>
      <c r="Q6" s="1883"/>
      <c r="R6" s="1883"/>
      <c r="S6" s="1883"/>
      <c r="T6" s="1883"/>
      <c r="U6" s="1883"/>
      <c r="V6" s="1883"/>
      <c r="W6" s="1883"/>
      <c r="X6" s="1883"/>
      <c r="Y6" s="1883"/>
      <c r="Z6" s="1883"/>
      <c r="AA6" s="1883"/>
      <c r="AB6" s="1883"/>
      <c r="AC6" s="1884"/>
      <c r="AD6" s="1192"/>
      <c r="AE6" s="1192"/>
      <c r="AF6" s="1885" t="s">
        <v>2455</v>
      </c>
      <c r="AG6" s="1885"/>
      <c r="AH6" s="1885"/>
      <c r="AI6" s="1885"/>
      <c r="AJ6" s="1885"/>
      <c r="AK6" s="1885"/>
      <c r="AL6" s="1885"/>
      <c r="AM6" s="1885"/>
      <c r="AN6" s="1885"/>
      <c r="AO6" s="1885"/>
      <c r="AP6" s="1886"/>
      <c r="AQ6" s="1886"/>
      <c r="AR6" s="1886"/>
      <c r="AS6" s="1886"/>
      <c r="AT6" s="1886"/>
      <c r="AU6" s="1886"/>
      <c r="AV6" s="1192"/>
      <c r="AW6" s="1192"/>
      <c r="AX6" s="1192"/>
      <c r="AY6" s="1192"/>
      <c r="AZ6" s="1192"/>
      <c r="BA6" s="1192"/>
      <c r="BB6" s="1192"/>
      <c r="BC6" s="1192"/>
      <c r="BD6" s="1192"/>
      <c r="BE6" s="1193"/>
    </row>
    <row r="7" spans="1:65" thickBot="1">
      <c r="A7" s="1191"/>
      <c r="B7" s="1192"/>
      <c r="C7" s="1192"/>
      <c r="D7" s="1192"/>
      <c r="E7" s="1192"/>
      <c r="F7" s="1192"/>
      <c r="G7" s="1192"/>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1885" t="s">
        <v>2454</v>
      </c>
      <c r="AG7" s="1885"/>
      <c r="AH7" s="1885"/>
      <c r="AI7" s="1885"/>
      <c r="AJ7" s="1885"/>
      <c r="AK7" s="1885"/>
      <c r="AL7" s="1885"/>
      <c r="AM7" s="1885"/>
      <c r="AN7" s="1885"/>
      <c r="AO7" s="1885"/>
      <c r="AP7" s="1886"/>
      <c r="AQ7" s="1886"/>
      <c r="AR7" s="1886"/>
      <c r="AS7" s="1886"/>
      <c r="AT7" s="1886"/>
      <c r="AU7" s="1886"/>
      <c r="AV7" s="1192"/>
      <c r="AW7" s="1192"/>
      <c r="AX7" s="1192"/>
      <c r="AY7" s="1192"/>
      <c r="AZ7" s="1192"/>
      <c r="BA7" s="1192"/>
      <c r="BB7" s="1192"/>
      <c r="BC7" s="1192"/>
      <c r="BD7" s="1192"/>
      <c r="BE7" s="1193"/>
    </row>
    <row r="8" spans="1:65" thickBot="1">
      <c r="A8" s="1191"/>
      <c r="B8" s="1194" t="s">
        <v>2453</v>
      </c>
      <c r="C8" s="1192"/>
      <c r="D8" s="1192"/>
      <c r="E8" s="1192"/>
      <c r="F8" s="1192"/>
      <c r="G8" s="1192"/>
      <c r="H8" s="1192"/>
      <c r="I8" s="1192"/>
      <c r="J8" s="1192"/>
      <c r="K8" s="1192"/>
      <c r="L8" s="1192"/>
      <c r="M8" s="1192"/>
      <c r="N8" s="1192"/>
      <c r="O8" s="1192"/>
      <c r="P8" s="1192"/>
      <c r="Q8" s="1192"/>
      <c r="R8" s="1192"/>
      <c r="S8" s="1192"/>
      <c r="T8" s="1192"/>
      <c r="U8" s="1192"/>
      <c r="V8" s="1192"/>
      <c r="W8" s="1192"/>
      <c r="X8" s="1192"/>
      <c r="Y8" s="1192"/>
      <c r="Z8" s="1192"/>
      <c r="AA8" s="1192"/>
      <c r="AB8" s="1887" t="str">
        <f>Application!T197</f>
        <v>No</v>
      </c>
      <c r="AC8" s="1888"/>
      <c r="AD8" s="1889"/>
      <c r="AE8" s="1192"/>
      <c r="AF8" s="1885" t="s">
        <v>2452</v>
      </c>
      <c r="AG8" s="1885"/>
      <c r="AH8" s="1885"/>
      <c r="AI8" s="1885"/>
      <c r="AJ8" s="1885"/>
      <c r="AK8" s="1885"/>
      <c r="AL8" s="1885"/>
      <c r="AM8" s="1885"/>
      <c r="AN8" s="1885"/>
      <c r="AO8" s="1885"/>
      <c r="AP8" s="1886" t="s">
        <v>2100</v>
      </c>
      <c r="AQ8" s="1886"/>
      <c r="AR8" s="1886"/>
      <c r="AS8" s="1886"/>
      <c r="AT8" s="1886"/>
      <c r="AU8" s="1886"/>
      <c r="AV8" s="1192"/>
      <c r="AW8" s="1192"/>
      <c r="AX8" s="1192"/>
      <c r="AY8" s="1192"/>
      <c r="AZ8" s="1192"/>
      <c r="BA8" s="1192"/>
      <c r="BB8" s="1192"/>
      <c r="BC8" s="1192"/>
      <c r="BD8" s="1192"/>
      <c r="BE8" s="1193"/>
      <c r="BM8" s="1189" t="s">
        <v>1984</v>
      </c>
    </row>
    <row r="9" spans="1:65" ht="15">
      <c r="A9" s="1192"/>
      <c r="B9" s="1192"/>
      <c r="C9" s="1192"/>
      <c r="D9" s="1192"/>
      <c r="E9" s="1192"/>
      <c r="F9" s="1192"/>
      <c r="G9" s="1192"/>
      <c r="H9" s="1192"/>
      <c r="I9" s="1192"/>
      <c r="J9" s="1192"/>
      <c r="K9" s="1192"/>
      <c r="L9" s="1192"/>
      <c r="M9" s="1192"/>
      <c r="N9" s="1192"/>
      <c r="O9" s="1192"/>
      <c r="P9" s="1192"/>
      <c r="Q9" s="1192"/>
      <c r="R9" s="1192"/>
      <c r="S9" s="1192"/>
      <c r="T9" s="1192"/>
      <c r="U9" s="1192"/>
      <c r="V9" s="1192"/>
      <c r="W9" s="1192"/>
      <c r="X9" s="1192"/>
      <c r="Y9" s="1192"/>
      <c r="Z9" s="1192"/>
      <c r="AA9" s="1192"/>
      <c r="AB9" s="1192"/>
      <c r="AC9" s="1192"/>
      <c r="AD9" s="1192"/>
      <c r="AE9" s="1192"/>
      <c r="AF9" s="1896" t="s">
        <v>2451</v>
      </c>
      <c r="AG9" s="1896"/>
      <c r="AH9" s="1896"/>
      <c r="AI9" s="1896"/>
      <c r="AJ9" s="1896"/>
      <c r="AK9" s="1896"/>
      <c r="AL9" s="1896"/>
      <c r="AM9" s="1896"/>
      <c r="AN9" s="1896"/>
      <c r="AO9" s="1896"/>
      <c r="AP9" s="1897"/>
      <c r="AQ9" s="1898"/>
      <c r="AR9" s="1898"/>
      <c r="AS9" s="1898"/>
      <c r="AT9" s="1898"/>
      <c r="AU9" s="1898"/>
      <c r="AV9" s="1192"/>
      <c r="AW9" s="1192"/>
      <c r="AX9" s="1192"/>
      <c r="AY9" s="1192"/>
      <c r="AZ9" s="1192"/>
      <c r="BA9" s="1192"/>
      <c r="BB9" s="1192"/>
      <c r="BC9" s="1192"/>
      <c r="BD9" s="1192"/>
      <c r="BE9" s="1193"/>
      <c r="BM9" s="1189" t="s">
        <v>2450</v>
      </c>
    </row>
    <row r="10" spans="1:65" ht="15">
      <c r="A10" s="1191"/>
      <c r="B10" s="1194" t="s">
        <v>2449</v>
      </c>
      <c r="C10" s="1194"/>
      <c r="D10" s="1194"/>
      <c r="E10" s="1194"/>
      <c r="F10" s="1194"/>
      <c r="G10" s="1194"/>
      <c r="H10" s="1194"/>
      <c r="I10" s="1194"/>
      <c r="J10" s="1194"/>
      <c r="K10" s="1194"/>
      <c r="L10" s="1194"/>
      <c r="M10" s="1192"/>
      <c r="N10" s="1911">
        <f>Application!AO627</f>
        <v>7651136</v>
      </c>
      <c r="O10" s="1911"/>
      <c r="P10" s="1911"/>
      <c r="Q10" s="1911"/>
      <c r="R10" s="1911"/>
      <c r="S10" s="1911"/>
      <c r="T10" s="1911"/>
      <c r="U10" s="1192"/>
      <c r="V10" s="1192"/>
      <c r="W10" s="1192"/>
      <c r="X10" s="1195"/>
      <c r="Y10" s="1195"/>
      <c r="Z10" s="1195"/>
      <c r="AA10" s="1195"/>
      <c r="AB10" s="1195"/>
      <c r="AC10" s="1195"/>
      <c r="AD10" s="1195"/>
      <c r="AE10" s="1195"/>
      <c r="AF10" s="1896" t="s">
        <v>2448</v>
      </c>
      <c r="AG10" s="1896"/>
      <c r="AH10" s="1896"/>
      <c r="AI10" s="1896"/>
      <c r="AJ10" s="1896"/>
      <c r="AK10" s="1896"/>
      <c r="AL10" s="1896"/>
      <c r="AM10" s="1896"/>
      <c r="AN10" s="1896"/>
      <c r="AO10" s="1896"/>
      <c r="AP10" s="1897"/>
      <c r="AQ10" s="1898"/>
      <c r="AR10" s="1898"/>
      <c r="AS10" s="1898"/>
      <c r="AT10" s="1898"/>
      <c r="AU10" s="1898"/>
      <c r="AV10" s="1195"/>
      <c r="AW10" s="1195"/>
      <c r="AX10" s="1192"/>
      <c r="AY10" s="1192"/>
      <c r="AZ10" s="1192"/>
      <c r="BA10" s="1192"/>
      <c r="BB10" s="1192"/>
      <c r="BC10" s="1192"/>
      <c r="BD10" s="1192"/>
      <c r="BE10" s="1193"/>
      <c r="BM10" s="1189" t="s">
        <v>2447</v>
      </c>
    </row>
    <row r="11" spans="1:65" ht="15">
      <c r="A11" s="1191"/>
      <c r="B11" s="1194" t="s">
        <v>2446</v>
      </c>
      <c r="C11" s="1194"/>
      <c r="D11" s="1194"/>
      <c r="E11" s="1194"/>
      <c r="F11" s="1194"/>
      <c r="G11" s="1194"/>
      <c r="H11" s="1194"/>
      <c r="I11" s="1194"/>
      <c r="J11" s="1194"/>
      <c r="K11" s="1194"/>
      <c r="L11" s="1194"/>
      <c r="M11" s="1192"/>
      <c r="N11" s="1911">
        <f>Application!AA933</f>
        <v>0</v>
      </c>
      <c r="O11" s="1911"/>
      <c r="P11" s="1911"/>
      <c r="Q11" s="1911"/>
      <c r="R11" s="1911"/>
      <c r="S11" s="1911"/>
      <c r="T11" s="1911"/>
      <c r="U11" s="1192"/>
      <c r="V11" s="1192"/>
      <c r="W11" s="1192"/>
      <c r="X11" s="1195"/>
      <c r="Y11" s="1195"/>
      <c r="Z11" s="1195"/>
      <c r="AA11" s="1195"/>
      <c r="AB11" s="1195"/>
      <c r="AC11" s="1195"/>
      <c r="AD11" s="1195"/>
      <c r="AE11" s="1195"/>
      <c r="AF11" s="1896" t="s">
        <v>2445</v>
      </c>
      <c r="AG11" s="1896"/>
      <c r="AH11" s="1896"/>
      <c r="AI11" s="1896"/>
      <c r="AJ11" s="1896"/>
      <c r="AK11" s="1896"/>
      <c r="AL11" s="1896"/>
      <c r="AM11" s="1896"/>
      <c r="AN11" s="1896"/>
      <c r="AO11" s="1896"/>
      <c r="AP11" s="1897"/>
      <c r="AQ11" s="1898"/>
      <c r="AR11" s="1898"/>
      <c r="AS11" s="1898"/>
      <c r="AT11" s="1898"/>
      <c r="AU11" s="1898"/>
      <c r="AV11" s="1195"/>
      <c r="AW11" s="1195"/>
      <c r="AX11" s="1192"/>
      <c r="AY11" s="1192"/>
      <c r="AZ11" s="1192"/>
      <c r="BA11" s="1192"/>
      <c r="BB11" s="1192"/>
      <c r="BC11" s="1192"/>
      <c r="BD11" s="1192"/>
      <c r="BE11" s="1193"/>
      <c r="BM11" s="1189" t="s">
        <v>2100</v>
      </c>
    </row>
    <row r="12" spans="1:65" thickBot="1">
      <c r="A12" s="1192"/>
      <c r="B12" s="1192"/>
      <c r="C12" s="1192"/>
      <c r="D12" s="1192"/>
      <c r="E12" s="1192"/>
      <c r="F12" s="1192"/>
      <c r="G12" s="1192"/>
      <c r="H12" s="1192"/>
      <c r="I12" s="1192"/>
      <c r="J12" s="1192"/>
      <c r="K12" s="1192"/>
      <c r="L12" s="1192"/>
      <c r="M12" s="1192"/>
      <c r="N12" s="1192"/>
      <c r="O12" s="1192"/>
      <c r="P12" s="1192"/>
      <c r="Q12" s="1192"/>
      <c r="R12" s="1192"/>
      <c r="S12" s="1192"/>
      <c r="T12" s="1192"/>
      <c r="U12" s="1192"/>
      <c r="V12" s="1192"/>
      <c r="W12" s="1192"/>
      <c r="X12" s="1195"/>
      <c r="Y12" s="1195"/>
      <c r="Z12" s="1195"/>
      <c r="AA12" s="1195"/>
      <c r="AB12" s="1195"/>
      <c r="AC12" s="1195"/>
      <c r="AD12" s="1195"/>
      <c r="AE12" s="1195"/>
      <c r="AF12" s="1195"/>
      <c r="AG12" s="1195"/>
      <c r="AH12" s="1195"/>
      <c r="AI12" s="1195"/>
      <c r="AJ12" s="1195"/>
      <c r="AK12" s="1195"/>
      <c r="AL12" s="1195"/>
      <c r="AM12" s="1195"/>
      <c r="AN12" s="1195"/>
      <c r="AO12" s="1195"/>
      <c r="AP12" s="1195"/>
      <c r="AQ12" s="1195"/>
      <c r="AR12" s="1195"/>
      <c r="AS12" s="1195"/>
      <c r="AT12" s="1195"/>
      <c r="AU12" s="1195"/>
      <c r="AV12" s="1192"/>
      <c r="AW12" s="1192"/>
      <c r="AX12" s="1192"/>
      <c r="AY12" s="1192"/>
      <c r="AZ12" s="1192"/>
      <c r="BA12" s="1192"/>
      <c r="BB12" s="1192"/>
      <c r="BC12" s="1192"/>
      <c r="BD12" s="1192"/>
      <c r="BE12" s="1196"/>
      <c r="BM12" s="1189" t="s">
        <v>2444</v>
      </c>
    </row>
    <row r="13" spans="1:65" thickBot="1">
      <c r="A13" s="1192"/>
      <c r="B13" s="1899" t="s">
        <v>2443</v>
      </c>
      <c r="C13" s="1900"/>
      <c r="D13" s="1900"/>
      <c r="E13" s="1900"/>
      <c r="F13" s="1900"/>
      <c r="G13" s="1900"/>
      <c r="H13" s="1900"/>
      <c r="I13" s="1900"/>
      <c r="J13" s="1900"/>
      <c r="K13" s="1900"/>
      <c r="L13" s="1900"/>
      <c r="M13" s="1900"/>
      <c r="N13" s="1900"/>
      <c r="O13" s="1900"/>
      <c r="P13" s="1901"/>
      <c r="Q13" s="1902" t="s">
        <v>669</v>
      </c>
      <c r="R13" s="1903"/>
      <c r="S13" s="1903"/>
      <c r="T13" s="1904"/>
      <c r="U13" s="1195"/>
      <c r="V13" s="1192"/>
      <c r="W13" s="1192"/>
      <c r="X13" s="1192"/>
      <c r="Y13" s="1192"/>
      <c r="Z13" s="1192"/>
      <c r="AA13" s="1905" t="s">
        <v>2442</v>
      </c>
      <c r="AB13" s="1905"/>
      <c r="AC13" s="1905"/>
      <c r="AD13" s="1905"/>
      <c r="AE13" s="1905"/>
      <c r="AF13" s="1905"/>
      <c r="AG13" s="1905"/>
      <c r="AH13" s="1905"/>
      <c r="AI13" s="1905"/>
      <c r="AJ13" s="1905"/>
      <c r="AK13" s="1905"/>
      <c r="AL13" s="1905"/>
      <c r="AM13" s="1905"/>
      <c r="AN13" s="1905"/>
      <c r="AO13" s="1906">
        <f>Application!W473</f>
        <v>0</v>
      </c>
      <c r="AP13" s="1907"/>
      <c r="AQ13" s="1907"/>
      <c r="AR13" s="1907"/>
      <c r="AS13" s="1907"/>
      <c r="AT13" s="1195"/>
      <c r="AU13" s="1195"/>
      <c r="AV13" s="1195"/>
      <c r="AW13" s="1195"/>
      <c r="AX13" s="1195"/>
      <c r="AY13" s="1195"/>
      <c r="AZ13" s="1195"/>
      <c r="BA13" s="1195"/>
      <c r="BB13" s="1195"/>
      <c r="BC13" s="1195"/>
      <c r="BD13" s="1195"/>
      <c r="BE13" s="1196"/>
      <c r="BM13" s="1189" t="s">
        <v>2441</v>
      </c>
    </row>
    <row r="14" spans="1:65" thickBot="1">
      <c r="A14" s="1192"/>
      <c r="B14" s="1192"/>
      <c r="C14" s="1192"/>
      <c r="D14" s="1192"/>
      <c r="E14" s="1192"/>
      <c r="F14" s="1192"/>
      <c r="G14" s="1192"/>
      <c r="H14" s="1192"/>
      <c r="I14" s="1192"/>
      <c r="J14" s="1192"/>
      <c r="K14" s="1192"/>
      <c r="L14" s="1192"/>
      <c r="M14" s="1192"/>
      <c r="N14" s="1192"/>
      <c r="O14" s="1192"/>
      <c r="P14" s="1192"/>
      <c r="Q14" s="1192"/>
      <c r="R14" s="1192"/>
      <c r="S14" s="1192"/>
      <c r="T14" s="1192"/>
      <c r="U14" s="1192"/>
      <c r="V14" s="1192"/>
      <c r="W14" s="1192"/>
      <c r="X14" s="1192"/>
      <c r="Y14" s="1192"/>
      <c r="Z14" s="1192"/>
      <c r="AA14" s="1908" t="s">
        <v>2440</v>
      </c>
      <c r="AB14" s="1908"/>
      <c r="AC14" s="1908"/>
      <c r="AD14" s="1908"/>
      <c r="AE14" s="1908"/>
      <c r="AF14" s="1908"/>
      <c r="AG14" s="1908"/>
      <c r="AH14" s="1908"/>
      <c r="AI14" s="1908"/>
      <c r="AJ14" s="1908"/>
      <c r="AK14" s="1908"/>
      <c r="AL14" s="1908"/>
      <c r="AM14" s="1908"/>
      <c r="AN14" s="1908"/>
      <c r="AO14" s="1909"/>
      <c r="AP14" s="1910"/>
      <c r="AQ14" s="1910"/>
      <c r="AR14" s="1910"/>
      <c r="AS14" s="1910"/>
      <c r="AT14" s="1195"/>
      <c r="AU14" s="1195"/>
      <c r="AV14" s="1195"/>
      <c r="AW14" s="1195"/>
      <c r="AX14" s="1195"/>
      <c r="AY14" s="1195"/>
      <c r="AZ14" s="1195"/>
      <c r="BA14" s="1195"/>
      <c r="BB14" s="1195"/>
      <c r="BC14" s="1195"/>
      <c r="BD14" s="1195"/>
      <c r="BE14" s="1196"/>
    </row>
    <row r="15" spans="1:65" thickBot="1">
      <c r="A15" s="1192"/>
      <c r="B15" s="1912" t="s">
        <v>2439</v>
      </c>
      <c r="C15" s="1913"/>
      <c r="D15" s="1913"/>
      <c r="E15" s="1913"/>
      <c r="F15" s="1913"/>
      <c r="G15" s="1913"/>
      <c r="H15" s="1913"/>
      <c r="I15" s="1913"/>
      <c r="J15" s="1913"/>
      <c r="K15" s="1913"/>
      <c r="L15" s="1913"/>
      <c r="M15" s="1913"/>
      <c r="N15" s="1913"/>
      <c r="O15" s="1913"/>
      <c r="P15" s="1913"/>
      <c r="Q15" s="1913"/>
      <c r="R15" s="1914"/>
      <c r="S15" s="1915" t="str">
        <f>IF(Application!AB214="","",Application!AB214)</f>
        <v/>
      </c>
      <c r="T15" s="1915"/>
      <c r="U15" s="1915"/>
      <c r="V15" s="1915"/>
      <c r="W15" s="1916"/>
      <c r="X15" s="1195"/>
      <c r="Y15" s="1192"/>
      <c r="Z15" s="1192"/>
      <c r="AA15" s="1905" t="s">
        <v>2438</v>
      </c>
      <c r="AB15" s="1905"/>
      <c r="AC15" s="1905"/>
      <c r="AD15" s="1905"/>
      <c r="AE15" s="1905"/>
      <c r="AF15" s="1905"/>
      <c r="AG15" s="1905"/>
      <c r="AH15" s="1905"/>
      <c r="AI15" s="1905"/>
      <c r="AJ15" s="1905"/>
      <c r="AK15" s="1905"/>
      <c r="AL15" s="1905"/>
      <c r="AM15" s="1905"/>
      <c r="AN15" s="1905"/>
      <c r="AO15" s="1909"/>
      <c r="AP15" s="1910"/>
      <c r="AQ15" s="1910"/>
      <c r="AR15" s="1910"/>
      <c r="AS15" s="1910"/>
      <c r="AT15" s="1195"/>
      <c r="AU15" s="1195"/>
      <c r="AV15" s="1195"/>
      <c r="AW15" s="1195"/>
      <c r="AX15" s="1195"/>
      <c r="AY15" s="1195"/>
      <c r="AZ15" s="1195"/>
      <c r="BA15" s="1195"/>
      <c r="BB15" s="1195"/>
      <c r="BC15" s="1195"/>
      <c r="BD15" s="1195"/>
      <c r="BE15" s="1196"/>
    </row>
    <row r="16" spans="1:65" thickBot="1">
      <c r="A16" s="1191"/>
      <c r="B16" s="1192"/>
      <c r="C16" s="1192"/>
      <c r="D16" s="1192"/>
      <c r="E16" s="1192"/>
      <c r="F16" s="1192"/>
      <c r="G16" s="1192"/>
      <c r="H16" s="1192"/>
      <c r="I16" s="1192"/>
      <c r="J16" s="1192"/>
      <c r="K16" s="1192"/>
      <c r="L16" s="1192"/>
      <c r="M16" s="1192"/>
      <c r="N16" s="1192"/>
      <c r="O16" s="1192"/>
      <c r="P16" s="1192"/>
      <c r="Q16" s="1192"/>
      <c r="R16" s="1192"/>
      <c r="S16" s="1192"/>
      <c r="T16" s="1192"/>
      <c r="U16" s="1192"/>
      <c r="V16" s="1192"/>
      <c r="W16" s="1192"/>
      <c r="X16" s="1192"/>
      <c r="Y16" s="1192"/>
      <c r="Z16" s="1192"/>
      <c r="AA16" s="1192"/>
      <c r="AB16" s="1192"/>
      <c r="AC16" s="1192"/>
      <c r="AD16" s="1192"/>
      <c r="AE16" s="1192"/>
      <c r="AF16" s="1192"/>
      <c r="AG16" s="1192"/>
      <c r="AH16" s="1192"/>
      <c r="AI16" s="1192"/>
      <c r="AJ16" s="1192"/>
      <c r="AK16" s="1192"/>
      <c r="AL16" s="1192"/>
      <c r="AM16" s="1192"/>
      <c r="AN16" s="1192"/>
      <c r="AO16" s="1192"/>
      <c r="AP16" s="1192"/>
      <c r="AQ16" s="1192"/>
      <c r="AR16" s="1192"/>
      <c r="AS16" s="1192"/>
      <c r="AT16" s="1192"/>
      <c r="AU16" s="1192"/>
      <c r="AV16" s="1192"/>
      <c r="AW16" s="1192"/>
      <c r="AX16" s="1192"/>
      <c r="AY16" s="1192"/>
      <c r="AZ16" s="1192"/>
      <c r="BA16" s="1192"/>
      <c r="BB16" s="1192"/>
      <c r="BC16" s="1192"/>
      <c r="BD16" s="1192"/>
      <c r="BE16" s="1196"/>
    </row>
    <row r="17" spans="1:58" ht="15">
      <c r="A17" s="1192"/>
      <c r="B17" s="1917" t="s">
        <v>2437</v>
      </c>
      <c r="C17" s="1918"/>
      <c r="D17" s="1918"/>
      <c r="E17" s="1918"/>
      <c r="F17" s="1918"/>
      <c r="G17" s="1918"/>
      <c r="H17" s="1918"/>
      <c r="I17" s="1918"/>
      <c r="J17" s="1918"/>
      <c r="K17" s="1918"/>
      <c r="L17" s="1918"/>
      <c r="M17" s="1918"/>
      <c r="N17" s="1918"/>
      <c r="O17" s="1918"/>
      <c r="P17" s="1918"/>
      <c r="Q17" s="1918"/>
      <c r="R17" s="1918"/>
      <c r="S17" s="1918"/>
      <c r="T17" s="1918"/>
      <c r="U17" s="1918"/>
      <c r="V17" s="1918"/>
      <c r="W17" s="1918"/>
      <c r="X17" s="1918"/>
      <c r="Y17" s="1918"/>
      <c r="Z17" s="1918"/>
      <c r="AA17" s="1918"/>
      <c r="AB17" s="1918"/>
      <c r="AC17" s="1918"/>
      <c r="AD17" s="1918"/>
      <c r="AE17" s="1918"/>
      <c r="AF17" s="1918"/>
      <c r="AG17" s="1918"/>
      <c r="AH17" s="1918"/>
      <c r="AI17" s="1918"/>
      <c r="AJ17" s="1918"/>
      <c r="AK17" s="1918"/>
      <c r="AL17" s="1918"/>
      <c r="AM17" s="1918"/>
      <c r="AN17" s="1918"/>
      <c r="AO17" s="1918"/>
      <c r="AP17" s="1918"/>
      <c r="AQ17" s="1918"/>
      <c r="AR17" s="1918"/>
      <c r="AS17" s="1918"/>
      <c r="AT17" s="1918"/>
      <c r="AU17" s="1918"/>
      <c r="AV17" s="1918"/>
      <c r="AW17" s="1918"/>
      <c r="AX17" s="1918"/>
      <c r="AY17" s="1919"/>
      <c r="AZ17" s="1192"/>
      <c r="BA17" s="1192"/>
      <c r="BB17" s="1192"/>
      <c r="BC17" s="1192"/>
      <c r="BD17" s="1192"/>
      <c r="BE17" s="1196"/>
      <c r="BF17" s="1190"/>
    </row>
    <row r="18" spans="1:58" ht="15.75" customHeight="1">
      <c r="A18" s="1192"/>
      <c r="B18" s="1920" t="s">
        <v>2436</v>
      </c>
      <c r="C18" s="1921"/>
      <c r="D18" s="1921"/>
      <c r="E18" s="1921"/>
      <c r="F18" s="1921"/>
      <c r="G18" s="1921"/>
      <c r="H18" s="1921"/>
      <c r="I18" s="1922"/>
      <c r="J18" s="1923" t="s">
        <v>1586</v>
      </c>
      <c r="K18" s="1924"/>
      <c r="L18" s="1924"/>
      <c r="M18" s="1924"/>
      <c r="N18" s="1924"/>
      <c r="O18" s="1925"/>
      <c r="P18" s="1923" t="s">
        <v>324</v>
      </c>
      <c r="Q18" s="1924"/>
      <c r="R18" s="1924"/>
      <c r="S18" s="1924"/>
      <c r="T18" s="1924"/>
      <c r="U18" s="1925"/>
      <c r="V18" s="1923" t="s">
        <v>325</v>
      </c>
      <c r="W18" s="1924"/>
      <c r="X18" s="1924"/>
      <c r="Y18" s="1924"/>
      <c r="Z18" s="1924"/>
      <c r="AA18" s="1925"/>
      <c r="AB18" s="1923" t="s">
        <v>163</v>
      </c>
      <c r="AC18" s="1924"/>
      <c r="AD18" s="1924"/>
      <c r="AE18" s="1924"/>
      <c r="AF18" s="1924"/>
      <c r="AG18" s="1925"/>
      <c r="AH18" s="1923" t="s">
        <v>164</v>
      </c>
      <c r="AI18" s="1924"/>
      <c r="AJ18" s="1924"/>
      <c r="AK18" s="1924"/>
      <c r="AL18" s="1924"/>
      <c r="AM18" s="1925"/>
      <c r="AN18" s="1923" t="s">
        <v>165</v>
      </c>
      <c r="AO18" s="1924"/>
      <c r="AP18" s="1924"/>
      <c r="AQ18" s="1924"/>
      <c r="AR18" s="1924"/>
      <c r="AS18" s="1925"/>
      <c r="AT18" s="1923" t="s">
        <v>2435</v>
      </c>
      <c r="AU18" s="1924"/>
      <c r="AV18" s="1924"/>
      <c r="AW18" s="1924"/>
      <c r="AX18" s="1924"/>
      <c r="AY18" s="1926"/>
      <c r="AZ18" s="1192"/>
      <c r="BA18" s="1192"/>
      <c r="BB18" s="1192"/>
      <c r="BC18" s="1192"/>
      <c r="BD18" s="1192"/>
      <c r="BE18" s="1196"/>
    </row>
    <row r="19" spans="1:58" ht="15">
      <c r="A19" s="1192"/>
      <c r="B19" s="1927">
        <v>0.3</v>
      </c>
      <c r="C19" s="1928"/>
      <c r="D19" s="1928"/>
      <c r="E19" s="1928"/>
      <c r="F19" s="1928"/>
      <c r="G19" s="1928"/>
      <c r="H19" s="1928"/>
      <c r="I19" s="1929"/>
      <c r="J19" s="1930">
        <f t="shared" ref="J19:J24" si="0">SUM(P19:AS19)</f>
        <v>23</v>
      </c>
      <c r="K19" s="1931"/>
      <c r="L19" s="1931"/>
      <c r="M19" s="1931"/>
      <c r="N19" s="1931"/>
      <c r="O19" s="1932"/>
      <c r="P19" s="1930" cm="1">
        <f t="array" ref="P19">SUMPRODUCT((Application!$B$718:$B$752 = 'CalHFA Addendum'!P$18)*(Application!$AC$718:$AC$752 = 'CalHFA Addendum'!$B19),Application!$G$718:$G$752)</f>
        <v>5</v>
      </c>
      <c r="Q19" s="1931"/>
      <c r="R19" s="1931"/>
      <c r="S19" s="1931"/>
      <c r="T19" s="1931"/>
      <c r="U19" s="1932"/>
      <c r="V19" s="1930" cm="1">
        <f t="array" ref="V19">SUMPRODUCT((Application!$B$714:$B$738 = 'CalHFA Addendum'!V$18)*(Application!$AC$714:$AC$738 = 'CalHFA Addendum'!$B19),Application!$G$714:$G$738)</f>
        <v>5</v>
      </c>
      <c r="W19" s="1931"/>
      <c r="X19" s="1931"/>
      <c r="Y19" s="1931"/>
      <c r="Z19" s="1931"/>
      <c r="AA19" s="1932"/>
      <c r="AB19" s="1930" cm="1">
        <f t="array" ref="AB19">SUMPRODUCT((Application!$B$714:$B$738 = 'CalHFA Addendum'!AB$18)*(Application!$AC$714:$AC$738 = 'CalHFA Addendum'!$B19),Application!$G$714:$G$738)</f>
        <v>7</v>
      </c>
      <c r="AC19" s="1931"/>
      <c r="AD19" s="1931"/>
      <c r="AE19" s="1931"/>
      <c r="AF19" s="1931"/>
      <c r="AG19" s="1932"/>
      <c r="AH19" s="1930" cm="1">
        <f t="array" ref="AH19">SUMPRODUCT((Application!$B$714:$B$738 = 'CalHFA Addendum'!AH$18)*(Application!$AC$714:$AC$738 = 'CalHFA Addendum'!$B19),Application!$G$714:$G$738)</f>
        <v>6</v>
      </c>
      <c r="AI19" s="1931"/>
      <c r="AJ19" s="1931"/>
      <c r="AK19" s="1931"/>
      <c r="AL19" s="1931"/>
      <c r="AM19" s="1932"/>
      <c r="AN19" s="1930" cm="1">
        <f t="array" ref="AN19">SUMPRODUCT((Application!$B$714:$B$738 = 'CalHFA Addendum'!AN$18)*(Application!$AC$714:$AC$738 = 'CalHFA Addendum'!$B19),Application!$G$714:$G$738)</f>
        <v>0</v>
      </c>
      <c r="AO19" s="1931"/>
      <c r="AP19" s="1931"/>
      <c r="AQ19" s="1931"/>
      <c r="AR19" s="1931"/>
      <c r="AS19" s="1932"/>
      <c r="AT19" s="1933">
        <f t="shared" ref="AT19:AT29" si="1">J19/$J$29</f>
        <v>0.37704918032786883</v>
      </c>
      <c r="AU19" s="1934"/>
      <c r="AV19" s="1934"/>
      <c r="AW19" s="1934"/>
      <c r="AX19" s="1934"/>
      <c r="AY19" s="1935"/>
      <c r="AZ19" s="1197"/>
      <c r="BA19" s="1192"/>
      <c r="BB19" s="1192"/>
      <c r="BC19" s="1192"/>
      <c r="BD19" s="1192"/>
      <c r="BE19" s="1196"/>
    </row>
    <row r="20" spans="1:58" ht="15" customHeight="1">
      <c r="A20" s="1192"/>
      <c r="B20" s="1927">
        <v>0.4</v>
      </c>
      <c r="C20" s="1928"/>
      <c r="D20" s="1928"/>
      <c r="E20" s="1928"/>
      <c r="F20" s="1928"/>
      <c r="G20" s="1928"/>
      <c r="H20" s="1928"/>
      <c r="I20" s="1929"/>
      <c r="J20" s="1930">
        <f t="shared" si="0"/>
        <v>0</v>
      </c>
      <c r="K20" s="1931"/>
      <c r="L20" s="1931"/>
      <c r="M20" s="1931"/>
      <c r="N20" s="1931"/>
      <c r="O20" s="1932"/>
      <c r="P20" s="1930" cm="1">
        <f t="array" ref="P20">SUMPRODUCT((Application!$B$718:$B$752 = 'CalHFA Addendum'!P$18)*(Application!$AC$718:$AC$752 = 'CalHFA Addendum'!$B20),Application!$G$718:$G$752)</f>
        <v>0</v>
      </c>
      <c r="Q20" s="1931"/>
      <c r="R20" s="1931"/>
      <c r="S20" s="1931"/>
      <c r="T20" s="1931"/>
      <c r="U20" s="1932"/>
      <c r="V20" s="1930" cm="1">
        <f t="array" ref="V20">SUMPRODUCT((Application!$B$714:$B$738 = 'CalHFA Addendum'!V$18)*(Application!$AC$714:$AC$738 = 'CalHFA Addendum'!$B20),Application!$G$714:$G$738)</f>
        <v>0</v>
      </c>
      <c r="W20" s="1931"/>
      <c r="X20" s="1931"/>
      <c r="Y20" s="1931"/>
      <c r="Z20" s="1931"/>
      <c r="AA20" s="1932"/>
      <c r="AB20" s="1930" cm="1">
        <f t="array" ref="AB20">SUMPRODUCT((Application!$B$714:$B$738 = 'CalHFA Addendum'!AB$18)*(Application!$AC$714:$AC$738 = 'CalHFA Addendum'!$B20),Application!$G$714:$G$738)</f>
        <v>0</v>
      </c>
      <c r="AC20" s="1931"/>
      <c r="AD20" s="1931"/>
      <c r="AE20" s="1931"/>
      <c r="AF20" s="1931"/>
      <c r="AG20" s="1932"/>
      <c r="AH20" s="1930" cm="1">
        <f t="array" ref="AH20">SUMPRODUCT((Application!$B$714:$B$738 = 'CalHFA Addendum'!AH$18)*(Application!$AC$714:$AC$738 = 'CalHFA Addendum'!$B20),Application!$G$714:$G$738)</f>
        <v>0</v>
      </c>
      <c r="AI20" s="1931"/>
      <c r="AJ20" s="1931"/>
      <c r="AK20" s="1931"/>
      <c r="AL20" s="1931"/>
      <c r="AM20" s="1932"/>
      <c r="AN20" s="1930" cm="1">
        <f t="array" ref="AN20">SUMPRODUCT((Application!$B$714:$B$738 = 'CalHFA Addendum'!AN$18)*(Application!$AC$714:$AC$738 = 'CalHFA Addendum'!$B20),Application!$G$714:$G$738)</f>
        <v>0</v>
      </c>
      <c r="AO20" s="1931"/>
      <c r="AP20" s="1931"/>
      <c r="AQ20" s="1931"/>
      <c r="AR20" s="1931"/>
      <c r="AS20" s="1932"/>
      <c r="AT20" s="1933">
        <f t="shared" si="1"/>
        <v>0</v>
      </c>
      <c r="AU20" s="1934"/>
      <c r="AV20" s="1934"/>
      <c r="AW20" s="1934"/>
      <c r="AX20" s="1934"/>
      <c r="AY20" s="1935"/>
      <c r="AZ20" s="1192"/>
      <c r="BA20" s="1192"/>
      <c r="BB20" s="1192"/>
      <c r="BC20" s="1192"/>
      <c r="BD20" s="1192"/>
      <c r="BE20" s="1196"/>
    </row>
    <row r="21" spans="1:58" ht="15">
      <c r="A21" s="1192"/>
      <c r="B21" s="1927">
        <v>0.5</v>
      </c>
      <c r="C21" s="1928"/>
      <c r="D21" s="1928"/>
      <c r="E21" s="1928"/>
      <c r="F21" s="1928"/>
      <c r="G21" s="1928"/>
      <c r="H21" s="1928"/>
      <c r="I21" s="1929"/>
      <c r="J21" s="1930">
        <f t="shared" si="0"/>
        <v>36</v>
      </c>
      <c r="K21" s="1931"/>
      <c r="L21" s="1931"/>
      <c r="M21" s="1931"/>
      <c r="N21" s="1931"/>
      <c r="O21" s="1932"/>
      <c r="P21" s="1930" cm="1">
        <f t="array" ref="P21">SUMPRODUCT((Application!$B$714:$B$738 = 'CalHFA Addendum'!P$18)*(Application!$AC$714:$AC$738 = 'CalHFA Addendum'!$B21),Application!$G$714:$G$738)</f>
        <v>0</v>
      </c>
      <c r="Q21" s="1931"/>
      <c r="R21" s="1931"/>
      <c r="S21" s="1931"/>
      <c r="T21" s="1931"/>
      <c r="U21" s="1932"/>
      <c r="V21" s="1930" cm="1">
        <f t="array" ref="V21">SUMPRODUCT((Application!$B$714:$B$738 = 'CalHFA Addendum'!V$18)*(Application!$AC$714:$AC$738 = 'CalHFA Addendum'!$B21),Application!$G$714:$G$738)</f>
        <v>6</v>
      </c>
      <c r="W21" s="1931"/>
      <c r="X21" s="1931"/>
      <c r="Y21" s="1931"/>
      <c r="Z21" s="1931"/>
      <c r="AA21" s="1932"/>
      <c r="AB21" s="1930" cm="1">
        <f t="array" ref="AB21">SUMPRODUCT((Application!$B$714:$B$738 = 'CalHFA Addendum'!AB$18)*(Application!$AC$714:$AC$738 = 'CalHFA Addendum'!$B21),Application!$G$714:$G$738)</f>
        <v>8</v>
      </c>
      <c r="AC21" s="1931"/>
      <c r="AD21" s="1931"/>
      <c r="AE21" s="1931"/>
      <c r="AF21" s="1931"/>
      <c r="AG21" s="1932"/>
      <c r="AH21" s="1930" cm="1">
        <f t="array" ref="AH21">SUMPRODUCT((Application!$B$714:$B$738 = 'CalHFA Addendum'!AH$18)*(Application!$AC$714:$AC$738 = 'CalHFA Addendum'!$B21),Application!$G$714:$G$738)</f>
        <v>22</v>
      </c>
      <c r="AI21" s="1931"/>
      <c r="AJ21" s="1931"/>
      <c r="AK21" s="1931"/>
      <c r="AL21" s="1931"/>
      <c r="AM21" s="1932"/>
      <c r="AN21" s="1930" cm="1">
        <f t="array" ref="AN21">SUMPRODUCT((Application!$B$714:$B$738 = 'CalHFA Addendum'!AN$18)*(Application!$AC$714:$AC$738 = 'CalHFA Addendum'!$B21),Application!$G$714:$G$738)</f>
        <v>0</v>
      </c>
      <c r="AO21" s="1931"/>
      <c r="AP21" s="1931"/>
      <c r="AQ21" s="1931"/>
      <c r="AR21" s="1931"/>
      <c r="AS21" s="1932"/>
      <c r="AT21" s="1933">
        <f t="shared" si="1"/>
        <v>0.5901639344262295</v>
      </c>
      <c r="AU21" s="1934"/>
      <c r="AV21" s="1934"/>
      <c r="AW21" s="1934"/>
      <c r="AX21" s="1934"/>
      <c r="AY21" s="1935"/>
      <c r="AZ21" s="1192"/>
      <c r="BA21" s="1192"/>
      <c r="BB21" s="1192"/>
      <c r="BC21" s="1192"/>
      <c r="BD21" s="1192"/>
      <c r="BE21" s="1196"/>
    </row>
    <row r="22" spans="1:58" ht="15">
      <c r="A22" s="1192"/>
      <c r="B22" s="1927">
        <v>0.6</v>
      </c>
      <c r="C22" s="1928"/>
      <c r="D22" s="1928"/>
      <c r="E22" s="1928"/>
      <c r="F22" s="1928"/>
      <c r="G22" s="1928"/>
      <c r="H22" s="1928"/>
      <c r="I22" s="1929"/>
      <c r="J22" s="1930">
        <f t="shared" si="0"/>
        <v>0</v>
      </c>
      <c r="K22" s="1931"/>
      <c r="L22" s="1931"/>
      <c r="M22" s="1931"/>
      <c r="N22" s="1931"/>
      <c r="O22" s="1932"/>
      <c r="P22" s="1930" cm="1">
        <f t="array" ref="P22">SUMPRODUCT((Application!$B$714:$B$738 = 'CalHFA Addendum'!P$18)*(Application!$AC$714:$AC$738 = 'CalHFA Addendum'!$B22),Application!$G$714:$G$738)</f>
        <v>0</v>
      </c>
      <c r="Q22" s="1931"/>
      <c r="R22" s="1931"/>
      <c r="S22" s="1931"/>
      <c r="T22" s="1931"/>
      <c r="U22" s="1932"/>
      <c r="V22" s="1930" cm="1">
        <f t="array" ref="V22">SUMPRODUCT((Application!$B$714:$B$738 = 'CalHFA Addendum'!V$18)*(Application!$AC$714:$AC$738 = 'CalHFA Addendum'!$B22),Application!$G$714:$G$738)</f>
        <v>0</v>
      </c>
      <c r="W22" s="1931"/>
      <c r="X22" s="1931"/>
      <c r="Y22" s="1931"/>
      <c r="Z22" s="1931"/>
      <c r="AA22" s="1932"/>
      <c r="AB22" s="1930" cm="1">
        <f t="array" ref="AB22">SUMPRODUCT((Application!$B$714:$B$738 = 'CalHFA Addendum'!AB$18)*(Application!$AC$714:$AC$738 = 'CalHFA Addendum'!$B22),Application!$G$714:$G$738)</f>
        <v>0</v>
      </c>
      <c r="AC22" s="1931"/>
      <c r="AD22" s="1931"/>
      <c r="AE22" s="1931"/>
      <c r="AF22" s="1931"/>
      <c r="AG22" s="1932"/>
      <c r="AH22" s="1930" cm="1">
        <f t="array" ref="AH22">SUMPRODUCT((Application!$B$714:$B$738 = 'CalHFA Addendum'!AH$18)*(Application!$AC$714:$AC$738 = 'CalHFA Addendum'!$B22),Application!$G$714:$G$738)</f>
        <v>0</v>
      </c>
      <c r="AI22" s="1931"/>
      <c r="AJ22" s="1931"/>
      <c r="AK22" s="1931"/>
      <c r="AL22" s="1931"/>
      <c r="AM22" s="1932"/>
      <c r="AN22" s="1930" cm="1">
        <f t="array" ref="AN22">SUMPRODUCT((Application!$B$714:$B$738 = 'CalHFA Addendum'!AN$18)*(Application!$AC$714:$AC$738 = 'CalHFA Addendum'!$B22),Application!$G$714:$G$738)</f>
        <v>0</v>
      </c>
      <c r="AO22" s="1931"/>
      <c r="AP22" s="1931"/>
      <c r="AQ22" s="1931"/>
      <c r="AR22" s="1931"/>
      <c r="AS22" s="1932"/>
      <c r="AT22" s="1933">
        <f t="shared" si="1"/>
        <v>0</v>
      </c>
      <c r="AU22" s="1934"/>
      <c r="AV22" s="1934"/>
      <c r="AW22" s="1934"/>
      <c r="AX22" s="1934"/>
      <c r="AY22" s="1935"/>
      <c r="AZ22" s="1192"/>
      <c r="BA22" s="1192"/>
      <c r="BB22" s="1192"/>
      <c r="BC22" s="1192"/>
      <c r="BD22" s="1192"/>
      <c r="BE22" s="1196"/>
    </row>
    <row r="23" spans="1:58" ht="15">
      <c r="A23" s="1192"/>
      <c r="B23" s="1927">
        <v>0.7</v>
      </c>
      <c r="C23" s="1928"/>
      <c r="D23" s="1928"/>
      <c r="E23" s="1928"/>
      <c r="F23" s="1928"/>
      <c r="G23" s="1928"/>
      <c r="H23" s="1928"/>
      <c r="I23" s="1929"/>
      <c r="J23" s="1930">
        <f t="shared" si="0"/>
        <v>0</v>
      </c>
      <c r="K23" s="1931"/>
      <c r="L23" s="1931"/>
      <c r="M23" s="1931"/>
      <c r="N23" s="1931"/>
      <c r="O23" s="1932"/>
      <c r="P23" s="1930" cm="1">
        <f t="array" ref="P23">SUMPRODUCT((Application!$B$714:$B$738 = 'CalHFA Addendum'!P$18)*(Application!$AC$714:$AC$738 = 'CalHFA Addendum'!$B23),Application!$G$714:$G$738)</f>
        <v>0</v>
      </c>
      <c r="Q23" s="1931"/>
      <c r="R23" s="1931"/>
      <c r="S23" s="1931"/>
      <c r="T23" s="1931"/>
      <c r="U23" s="1932"/>
      <c r="V23" s="1930" cm="1">
        <f t="array" ref="V23">SUMPRODUCT((Application!$B$714:$B$738 = 'CalHFA Addendum'!V$18)*(Application!$AC$714:$AC$738 = 'CalHFA Addendum'!$B23),Application!$G$714:$G$738)</f>
        <v>0</v>
      </c>
      <c r="W23" s="1931"/>
      <c r="X23" s="1931"/>
      <c r="Y23" s="1931"/>
      <c r="Z23" s="1931"/>
      <c r="AA23" s="1932"/>
      <c r="AB23" s="1930" cm="1">
        <f t="array" ref="AB23">SUMPRODUCT((Application!$B$714:$B$738 = 'CalHFA Addendum'!AB$18)*(Application!$AC$714:$AC$738 = 'CalHFA Addendum'!$B23),Application!$G$714:$G$738)</f>
        <v>0</v>
      </c>
      <c r="AC23" s="1931"/>
      <c r="AD23" s="1931"/>
      <c r="AE23" s="1931"/>
      <c r="AF23" s="1931"/>
      <c r="AG23" s="1932"/>
      <c r="AH23" s="1930" cm="1">
        <f t="array" ref="AH23">SUMPRODUCT((Application!$B$714:$B$738 = 'CalHFA Addendum'!AH$18)*(Application!$AC$714:$AC$738 = 'CalHFA Addendum'!$B23),Application!$G$714:$G$738)</f>
        <v>0</v>
      </c>
      <c r="AI23" s="1931"/>
      <c r="AJ23" s="1931"/>
      <c r="AK23" s="1931"/>
      <c r="AL23" s="1931"/>
      <c r="AM23" s="1932"/>
      <c r="AN23" s="1930" cm="1">
        <f t="array" ref="AN23">SUMPRODUCT((Application!$B$714:$B$738 = 'CalHFA Addendum'!AN$18)*(Application!$AC$714:$AC$738 = 'CalHFA Addendum'!$B23),Application!$G$714:$G$738)</f>
        <v>0</v>
      </c>
      <c r="AO23" s="1931"/>
      <c r="AP23" s="1931"/>
      <c r="AQ23" s="1931"/>
      <c r="AR23" s="1931"/>
      <c r="AS23" s="1932"/>
      <c r="AT23" s="1933">
        <f t="shared" si="1"/>
        <v>0</v>
      </c>
      <c r="AU23" s="1934"/>
      <c r="AV23" s="1934"/>
      <c r="AW23" s="1934"/>
      <c r="AX23" s="1934"/>
      <c r="AY23" s="1935"/>
      <c r="AZ23" s="1192"/>
      <c r="BA23" s="1192"/>
      <c r="BB23" s="1192"/>
      <c r="BC23" s="1192"/>
      <c r="BD23" s="1192"/>
      <c r="BE23" s="1196"/>
    </row>
    <row r="24" spans="1:58" ht="15">
      <c r="A24" s="1192"/>
      <c r="B24" s="1927">
        <v>0.8</v>
      </c>
      <c r="C24" s="1928"/>
      <c r="D24" s="1928"/>
      <c r="E24" s="1928"/>
      <c r="F24" s="1928"/>
      <c r="G24" s="1928"/>
      <c r="H24" s="1928"/>
      <c r="I24" s="1929"/>
      <c r="J24" s="1930">
        <f t="shared" si="0"/>
        <v>0</v>
      </c>
      <c r="K24" s="1931"/>
      <c r="L24" s="1931"/>
      <c r="M24" s="1931"/>
      <c r="N24" s="1931"/>
      <c r="O24" s="1932"/>
      <c r="P24" s="1930" cm="1">
        <f t="array" ref="P24">SUMPRODUCT((Application!$B$714:$B$738 = 'CalHFA Addendum'!P$18)*(Application!$AC$714:$AC$738 = 'CalHFA Addendum'!$B24),Application!$G$714:$G$738)</f>
        <v>0</v>
      </c>
      <c r="Q24" s="1931"/>
      <c r="R24" s="1931"/>
      <c r="S24" s="1931"/>
      <c r="T24" s="1931"/>
      <c r="U24" s="1932"/>
      <c r="V24" s="1930" cm="1">
        <f t="array" ref="V24">SUMPRODUCT((Application!$B$714:$B$738 = 'CalHFA Addendum'!V$18)*(Application!$AC$714:$AC$738 = 'CalHFA Addendum'!$B24),Application!$G$714:$G$738)</f>
        <v>0</v>
      </c>
      <c r="W24" s="1931"/>
      <c r="X24" s="1931"/>
      <c r="Y24" s="1931"/>
      <c r="Z24" s="1931"/>
      <c r="AA24" s="1932"/>
      <c r="AB24" s="1930" cm="1">
        <f t="array" ref="AB24">SUMPRODUCT((Application!$B$714:$B$738 = 'CalHFA Addendum'!AB$18)*(Application!$AC$714:$AC$738 = 'CalHFA Addendum'!$B24),Application!$G$714:$G$738)</f>
        <v>0</v>
      </c>
      <c r="AC24" s="1931"/>
      <c r="AD24" s="1931"/>
      <c r="AE24" s="1931"/>
      <c r="AF24" s="1931"/>
      <c r="AG24" s="1932"/>
      <c r="AH24" s="1930" cm="1">
        <f t="array" ref="AH24">SUMPRODUCT((Application!$B$714:$B$738 = 'CalHFA Addendum'!AH$18)*(Application!$AC$714:$AC$738 = 'CalHFA Addendum'!$B24),Application!$G$714:$G$738)</f>
        <v>0</v>
      </c>
      <c r="AI24" s="1931"/>
      <c r="AJ24" s="1931"/>
      <c r="AK24" s="1931"/>
      <c r="AL24" s="1931"/>
      <c r="AM24" s="1932"/>
      <c r="AN24" s="1930" cm="1">
        <f t="array" ref="AN24">SUMPRODUCT((Application!$B$714:$B$738 = 'CalHFA Addendum'!AN$18)*(Application!$AC$714:$AC$738 = 'CalHFA Addendum'!$B24),Application!$G$714:$G$738)</f>
        <v>0</v>
      </c>
      <c r="AO24" s="1931"/>
      <c r="AP24" s="1931"/>
      <c r="AQ24" s="1931"/>
      <c r="AR24" s="1931"/>
      <c r="AS24" s="1932"/>
      <c r="AT24" s="1933">
        <f t="shared" si="1"/>
        <v>0</v>
      </c>
      <c r="AU24" s="1934"/>
      <c r="AV24" s="1934"/>
      <c r="AW24" s="1934"/>
      <c r="AX24" s="1934"/>
      <c r="AY24" s="1935"/>
      <c r="AZ24" s="1192"/>
      <c r="BA24" s="1192"/>
      <c r="BB24" s="1192"/>
      <c r="BC24" s="1192"/>
      <c r="BD24" s="1192"/>
      <c r="BE24" s="1196"/>
    </row>
    <row r="25" spans="1:58" ht="15">
      <c r="A25" s="1192"/>
      <c r="B25" s="1927">
        <v>0.9</v>
      </c>
      <c r="C25" s="1928"/>
      <c r="D25" s="1928"/>
      <c r="E25" s="1928"/>
      <c r="F25" s="1928"/>
      <c r="G25" s="1928"/>
      <c r="H25" s="1928"/>
      <c r="I25" s="1929"/>
      <c r="J25" s="1936"/>
      <c r="K25" s="1937"/>
      <c r="L25" s="1937"/>
      <c r="M25" s="1937"/>
      <c r="N25" s="1937"/>
      <c r="O25" s="1938"/>
      <c r="P25" s="1936"/>
      <c r="Q25" s="1937"/>
      <c r="R25" s="1937"/>
      <c r="S25" s="1937"/>
      <c r="T25" s="1937"/>
      <c r="U25" s="1938"/>
      <c r="V25" s="1936"/>
      <c r="W25" s="1937"/>
      <c r="X25" s="1937"/>
      <c r="Y25" s="1937"/>
      <c r="Z25" s="1937"/>
      <c r="AA25" s="1938"/>
      <c r="AB25" s="1936"/>
      <c r="AC25" s="1937"/>
      <c r="AD25" s="1937"/>
      <c r="AE25" s="1937"/>
      <c r="AF25" s="1937"/>
      <c r="AG25" s="1938"/>
      <c r="AH25" s="1936"/>
      <c r="AI25" s="1937"/>
      <c r="AJ25" s="1937"/>
      <c r="AK25" s="1937"/>
      <c r="AL25" s="1937"/>
      <c r="AM25" s="1938"/>
      <c r="AN25" s="1936"/>
      <c r="AO25" s="1937"/>
      <c r="AP25" s="1937"/>
      <c r="AQ25" s="1937"/>
      <c r="AR25" s="1937"/>
      <c r="AS25" s="1938"/>
      <c r="AT25" s="1933">
        <f t="shared" si="1"/>
        <v>0</v>
      </c>
      <c r="AU25" s="1934"/>
      <c r="AV25" s="1934"/>
      <c r="AW25" s="1934"/>
      <c r="AX25" s="1934"/>
      <c r="AY25" s="1935"/>
      <c r="AZ25" s="1192"/>
      <c r="BA25" s="1192"/>
      <c r="BB25" s="1192"/>
      <c r="BC25" s="1192"/>
      <c r="BD25" s="1192"/>
      <c r="BE25" s="1196"/>
    </row>
    <row r="26" spans="1:58" ht="15">
      <c r="A26" s="1192"/>
      <c r="B26" s="1927">
        <v>1</v>
      </c>
      <c r="C26" s="1928"/>
      <c r="D26" s="1928"/>
      <c r="E26" s="1928"/>
      <c r="F26" s="1928"/>
      <c r="G26" s="1928"/>
      <c r="H26" s="1928"/>
      <c r="I26" s="1929"/>
      <c r="J26" s="1936"/>
      <c r="K26" s="1937"/>
      <c r="L26" s="1937"/>
      <c r="M26" s="1937"/>
      <c r="N26" s="1937"/>
      <c r="O26" s="1938"/>
      <c r="P26" s="1936"/>
      <c r="Q26" s="1937"/>
      <c r="R26" s="1937"/>
      <c r="S26" s="1937"/>
      <c r="T26" s="1937"/>
      <c r="U26" s="1938"/>
      <c r="V26" s="1936"/>
      <c r="W26" s="1937"/>
      <c r="X26" s="1937"/>
      <c r="Y26" s="1937"/>
      <c r="Z26" s="1937"/>
      <c r="AA26" s="1938"/>
      <c r="AB26" s="1936"/>
      <c r="AC26" s="1937"/>
      <c r="AD26" s="1937"/>
      <c r="AE26" s="1937"/>
      <c r="AF26" s="1937"/>
      <c r="AG26" s="1938"/>
      <c r="AH26" s="1936"/>
      <c r="AI26" s="1937"/>
      <c r="AJ26" s="1937"/>
      <c r="AK26" s="1937"/>
      <c r="AL26" s="1937"/>
      <c r="AM26" s="1938"/>
      <c r="AN26" s="1936"/>
      <c r="AO26" s="1937"/>
      <c r="AP26" s="1937"/>
      <c r="AQ26" s="1937"/>
      <c r="AR26" s="1937"/>
      <c r="AS26" s="1938"/>
      <c r="AT26" s="1933">
        <f t="shared" si="1"/>
        <v>0</v>
      </c>
      <c r="AU26" s="1934"/>
      <c r="AV26" s="1934"/>
      <c r="AW26" s="1934"/>
      <c r="AX26" s="1934"/>
      <c r="AY26" s="1935"/>
      <c r="AZ26" s="1192"/>
      <c r="BA26" s="1192"/>
      <c r="BB26" s="1192"/>
      <c r="BC26" s="1192"/>
      <c r="BD26" s="1192"/>
      <c r="BE26" s="1196"/>
    </row>
    <row r="27" spans="1:58" ht="15">
      <c r="A27" s="1192"/>
      <c r="B27" s="1927">
        <v>1.2</v>
      </c>
      <c r="C27" s="1928"/>
      <c r="D27" s="1928"/>
      <c r="E27" s="1928"/>
      <c r="F27" s="1928"/>
      <c r="G27" s="1928"/>
      <c r="H27" s="1928"/>
      <c r="I27" s="1929"/>
      <c r="J27" s="1936"/>
      <c r="K27" s="1937"/>
      <c r="L27" s="1937"/>
      <c r="M27" s="1937"/>
      <c r="N27" s="1937"/>
      <c r="O27" s="1938"/>
      <c r="P27" s="1936"/>
      <c r="Q27" s="1937"/>
      <c r="R27" s="1937"/>
      <c r="S27" s="1937"/>
      <c r="T27" s="1937"/>
      <c r="U27" s="1938"/>
      <c r="V27" s="1936"/>
      <c r="W27" s="1937"/>
      <c r="X27" s="1937"/>
      <c r="Y27" s="1937"/>
      <c r="Z27" s="1937"/>
      <c r="AA27" s="1938"/>
      <c r="AB27" s="1936"/>
      <c r="AC27" s="1937"/>
      <c r="AD27" s="1937"/>
      <c r="AE27" s="1937"/>
      <c r="AF27" s="1937"/>
      <c r="AG27" s="1938"/>
      <c r="AH27" s="1936"/>
      <c r="AI27" s="1937"/>
      <c r="AJ27" s="1937"/>
      <c r="AK27" s="1937"/>
      <c r="AL27" s="1937"/>
      <c r="AM27" s="1938"/>
      <c r="AN27" s="1936"/>
      <c r="AO27" s="1937"/>
      <c r="AP27" s="1937"/>
      <c r="AQ27" s="1937"/>
      <c r="AR27" s="1937"/>
      <c r="AS27" s="1938"/>
      <c r="AT27" s="1933">
        <f t="shared" si="1"/>
        <v>0</v>
      </c>
      <c r="AU27" s="1934"/>
      <c r="AV27" s="1934"/>
      <c r="AW27" s="1934"/>
      <c r="AX27" s="1934"/>
      <c r="AY27" s="1935"/>
      <c r="AZ27" s="1192"/>
      <c r="BA27" s="1192"/>
      <c r="BB27" s="1192"/>
      <c r="BC27" s="1192"/>
      <c r="BD27" s="1192"/>
      <c r="BE27" s="1196"/>
    </row>
    <row r="28" spans="1:58" thickBot="1">
      <c r="A28" s="1192"/>
      <c r="B28" s="1939" t="s">
        <v>2434</v>
      </c>
      <c r="C28" s="1940"/>
      <c r="D28" s="1940"/>
      <c r="E28" s="1940"/>
      <c r="F28" s="1940"/>
      <c r="G28" s="1940"/>
      <c r="H28" s="1940"/>
      <c r="I28" s="1941"/>
      <c r="J28" s="1942">
        <f>SUM(P28:AS28)</f>
        <v>2</v>
      </c>
      <c r="K28" s="1943"/>
      <c r="L28" s="1943"/>
      <c r="M28" s="1943"/>
      <c r="N28" s="1943"/>
      <c r="O28" s="1944"/>
      <c r="P28" s="1942">
        <f>_xlfn.IFNA(VLOOKUP(P$18,Application!$J$773:$S$776,6,FALSE), 0)</f>
        <v>0</v>
      </c>
      <c r="Q28" s="1943"/>
      <c r="R28" s="1943"/>
      <c r="S28" s="1943"/>
      <c r="T28" s="1943"/>
      <c r="U28" s="1944"/>
      <c r="V28" s="1942">
        <f>_xlfn.IFNA(VLOOKUP(V$18,Application!$J$773:$S$776,6,FALSE), 0)</f>
        <v>1</v>
      </c>
      <c r="W28" s="1943"/>
      <c r="X28" s="1943"/>
      <c r="Y28" s="1943"/>
      <c r="Z28" s="1943"/>
      <c r="AA28" s="1944"/>
      <c r="AB28" s="1942">
        <f>_xlfn.IFNA(VLOOKUP(AB$18,Application!$J$773:$S$776,6,FALSE), 0)</f>
        <v>0</v>
      </c>
      <c r="AC28" s="1943"/>
      <c r="AD28" s="1943"/>
      <c r="AE28" s="1943"/>
      <c r="AF28" s="1943"/>
      <c r="AG28" s="1944"/>
      <c r="AH28" s="1942">
        <f>_xlfn.IFNA(VLOOKUP(AH$18,Application!$J$773:$S$776,6,FALSE), 0)</f>
        <v>1</v>
      </c>
      <c r="AI28" s="1943"/>
      <c r="AJ28" s="1943"/>
      <c r="AK28" s="1943"/>
      <c r="AL28" s="1943"/>
      <c r="AM28" s="1944"/>
      <c r="AN28" s="1942">
        <f>_xlfn.IFNA(VLOOKUP(AN$18,Application!$J$773:$S$776,6,FALSE), 0)</f>
        <v>0</v>
      </c>
      <c r="AO28" s="1943"/>
      <c r="AP28" s="1943"/>
      <c r="AQ28" s="1943"/>
      <c r="AR28" s="1943"/>
      <c r="AS28" s="1944"/>
      <c r="AT28" s="1945">
        <f t="shared" si="1"/>
        <v>3.2786885245901641E-2</v>
      </c>
      <c r="AU28" s="1946"/>
      <c r="AV28" s="1946"/>
      <c r="AW28" s="1946"/>
      <c r="AX28" s="1946"/>
      <c r="AY28" s="1947"/>
      <c r="AZ28" s="1192"/>
      <c r="BA28" s="1192"/>
      <c r="BB28" s="1192"/>
      <c r="BC28" s="1192"/>
      <c r="BD28" s="1192"/>
      <c r="BE28" s="1196"/>
    </row>
    <row r="29" spans="1:58" thickBot="1">
      <c r="A29" s="1192"/>
      <c r="B29" s="1976" t="s">
        <v>1586</v>
      </c>
      <c r="C29" s="1949"/>
      <c r="D29" s="1949"/>
      <c r="E29" s="1949"/>
      <c r="F29" s="1949"/>
      <c r="G29" s="1949"/>
      <c r="H29" s="1949"/>
      <c r="I29" s="1950"/>
      <c r="J29" s="1948">
        <f>SUM(J19:O28)</f>
        <v>61</v>
      </c>
      <c r="K29" s="1949"/>
      <c r="L29" s="1949"/>
      <c r="M29" s="1949"/>
      <c r="N29" s="1949"/>
      <c r="O29" s="1950"/>
      <c r="P29" s="1948">
        <f>SUM(P19:U28)</f>
        <v>5</v>
      </c>
      <c r="Q29" s="1949"/>
      <c r="R29" s="1949"/>
      <c r="S29" s="1949"/>
      <c r="T29" s="1949"/>
      <c r="U29" s="1950"/>
      <c r="V29" s="1948">
        <f>SUM(V19:AA28)</f>
        <v>12</v>
      </c>
      <c r="W29" s="1949"/>
      <c r="X29" s="1949"/>
      <c r="Y29" s="1949"/>
      <c r="Z29" s="1949"/>
      <c r="AA29" s="1950"/>
      <c r="AB29" s="1948">
        <f>SUM(AB19:AG28)</f>
        <v>15</v>
      </c>
      <c r="AC29" s="1949"/>
      <c r="AD29" s="1949"/>
      <c r="AE29" s="1949"/>
      <c r="AF29" s="1949"/>
      <c r="AG29" s="1950"/>
      <c r="AH29" s="1948">
        <f>SUM(AH19:AM28)</f>
        <v>29</v>
      </c>
      <c r="AI29" s="1949"/>
      <c r="AJ29" s="1949"/>
      <c r="AK29" s="1949"/>
      <c r="AL29" s="1949"/>
      <c r="AM29" s="1950"/>
      <c r="AN29" s="1948">
        <f>SUM(AN19:AS28)</f>
        <v>0</v>
      </c>
      <c r="AO29" s="1949"/>
      <c r="AP29" s="1949"/>
      <c r="AQ29" s="1949"/>
      <c r="AR29" s="1949"/>
      <c r="AS29" s="1950"/>
      <c r="AT29" s="1951">
        <f t="shared" si="1"/>
        <v>1</v>
      </c>
      <c r="AU29" s="1952"/>
      <c r="AV29" s="1952"/>
      <c r="AW29" s="1952"/>
      <c r="AX29" s="1952"/>
      <c r="AY29" s="1953"/>
      <c r="AZ29" s="1192"/>
      <c r="BA29" s="1192"/>
      <c r="BB29" s="1192"/>
      <c r="BC29" s="1192"/>
      <c r="BD29" s="1192"/>
      <c r="BE29" s="1196"/>
    </row>
    <row r="30" spans="1:58" thickBot="1">
      <c r="A30" s="1191"/>
      <c r="B30" s="1192"/>
      <c r="C30" s="1192"/>
      <c r="D30" s="1192"/>
      <c r="E30" s="1192"/>
      <c r="F30" s="1192"/>
      <c r="G30" s="1192"/>
      <c r="H30" s="1192"/>
      <c r="I30" s="1192"/>
      <c r="J30" s="1192"/>
      <c r="K30" s="1192"/>
      <c r="L30" s="1192"/>
      <c r="M30" s="1192"/>
      <c r="N30" s="1192"/>
      <c r="O30" s="1192"/>
      <c r="P30" s="1192"/>
      <c r="Q30" s="1192"/>
      <c r="R30" s="1192"/>
      <c r="S30" s="1192"/>
      <c r="T30" s="1192"/>
      <c r="U30" s="1192"/>
      <c r="V30" s="1192"/>
      <c r="W30" s="1192"/>
      <c r="X30" s="1192"/>
      <c r="Y30" s="1192"/>
      <c r="Z30" s="1192"/>
      <c r="AA30" s="1192"/>
      <c r="AB30" s="1192"/>
      <c r="AC30" s="1192"/>
      <c r="AD30" s="1192"/>
      <c r="AE30" s="1192"/>
      <c r="AF30" s="1192"/>
      <c r="AG30" s="1192"/>
      <c r="AH30" s="1192"/>
      <c r="AI30" s="1192"/>
      <c r="AJ30" s="1192"/>
      <c r="AK30" s="1192"/>
      <c r="AL30" s="1192"/>
      <c r="AM30" s="1192"/>
      <c r="AN30" s="1192"/>
      <c r="AO30" s="1192"/>
      <c r="AP30" s="1192"/>
      <c r="AQ30" s="1192"/>
      <c r="AR30" s="1192"/>
      <c r="AS30" s="1192"/>
      <c r="AT30" s="1192"/>
      <c r="AU30" s="1192"/>
      <c r="AV30" s="1192"/>
      <c r="AW30" s="1192"/>
      <c r="AX30" s="1192"/>
      <c r="AY30" s="1192"/>
      <c r="AZ30" s="1192"/>
      <c r="BA30" s="1192"/>
      <c r="BB30" s="1192"/>
      <c r="BC30" s="1192"/>
      <c r="BD30" s="1192"/>
      <c r="BE30" s="1196"/>
    </row>
    <row r="31" spans="1:58" thickBot="1">
      <c r="A31" s="1192"/>
      <c r="B31" s="1954" t="s">
        <v>2433</v>
      </c>
      <c r="C31" s="1955"/>
      <c r="D31" s="1955"/>
      <c r="E31" s="1955"/>
      <c r="F31" s="1955"/>
      <c r="G31" s="1955"/>
      <c r="H31" s="1955"/>
      <c r="I31" s="1955"/>
      <c r="J31" s="1955"/>
      <c r="K31" s="1955"/>
      <c r="L31" s="1955"/>
      <c r="M31" s="1955"/>
      <c r="N31" s="1955"/>
      <c r="O31" s="1955"/>
      <c r="P31" s="1955"/>
      <c r="Q31" s="1955"/>
      <c r="R31" s="1955"/>
      <c r="S31" s="1955"/>
      <c r="T31" s="1955"/>
      <c r="U31" s="1955"/>
      <c r="V31" s="1955"/>
      <c r="W31" s="1955"/>
      <c r="X31" s="1955"/>
      <c r="Y31" s="1955"/>
      <c r="Z31" s="1955"/>
      <c r="AA31" s="1955"/>
      <c r="AB31" s="1955"/>
      <c r="AC31" s="1955"/>
      <c r="AD31" s="1955"/>
      <c r="AE31" s="1955"/>
      <c r="AF31" s="1955"/>
      <c r="AG31" s="1955"/>
      <c r="AH31" s="1955"/>
      <c r="AI31" s="1955"/>
      <c r="AJ31" s="1955"/>
      <c r="AK31" s="1955"/>
      <c r="AL31" s="1955"/>
      <c r="AM31" s="1955"/>
      <c r="AN31" s="1955"/>
      <c r="AO31" s="1955"/>
      <c r="AP31" s="1955"/>
      <c r="AQ31" s="1955"/>
      <c r="AR31" s="1955"/>
      <c r="AS31" s="1955"/>
      <c r="AT31" s="1955"/>
      <c r="AU31" s="1955"/>
      <c r="AV31" s="1955"/>
      <c r="AW31" s="1955"/>
      <c r="AX31" s="1955"/>
      <c r="AY31" s="1955"/>
      <c r="AZ31" s="1955"/>
      <c r="BA31" s="1955"/>
      <c r="BB31" s="1955"/>
      <c r="BC31" s="1955"/>
      <c r="BD31" s="1956"/>
      <c r="BE31" s="1196"/>
    </row>
    <row r="32" spans="1:58" thickBot="1">
      <c r="A32" s="1192"/>
      <c r="B32" s="1957" t="s">
        <v>2432</v>
      </c>
      <c r="C32" s="1958"/>
      <c r="D32" s="1958"/>
      <c r="E32" s="1958"/>
      <c r="F32" s="1958"/>
      <c r="G32" s="1958"/>
      <c r="H32" s="1958"/>
      <c r="I32" s="1958"/>
      <c r="J32" s="1961" t="s">
        <v>2431</v>
      </c>
      <c r="K32" s="1962"/>
      <c r="L32" s="1962"/>
      <c r="M32" s="1962"/>
      <c r="N32" s="1961" t="s">
        <v>2430</v>
      </c>
      <c r="O32" s="1962"/>
      <c r="P32" s="1962"/>
      <c r="Q32" s="1964"/>
      <c r="R32" s="1966" t="s">
        <v>2429</v>
      </c>
      <c r="S32" s="1967"/>
      <c r="T32" s="1967"/>
      <c r="U32" s="1967"/>
      <c r="V32" s="1967"/>
      <c r="W32" s="1967"/>
      <c r="X32" s="1967"/>
      <c r="Y32" s="1967"/>
      <c r="Z32" s="1967"/>
      <c r="AA32" s="1967"/>
      <c r="AB32" s="1967"/>
      <c r="AC32" s="1967"/>
      <c r="AD32" s="1967"/>
      <c r="AE32" s="1967"/>
      <c r="AF32" s="1967"/>
      <c r="AG32" s="1967"/>
      <c r="AH32" s="1967"/>
      <c r="AI32" s="1967"/>
      <c r="AJ32" s="1967"/>
      <c r="AK32" s="1967"/>
      <c r="AL32" s="1967"/>
      <c r="AM32" s="1967"/>
      <c r="AN32" s="1967"/>
      <c r="AO32" s="1967"/>
      <c r="AP32" s="1967"/>
      <c r="AQ32" s="1967"/>
      <c r="AR32" s="1967"/>
      <c r="AS32" s="1967"/>
      <c r="AT32" s="1967"/>
      <c r="AU32" s="1967"/>
      <c r="AV32" s="1967"/>
      <c r="AW32" s="1967"/>
      <c r="AX32" s="1967"/>
      <c r="AY32" s="1967"/>
      <c r="AZ32" s="1967"/>
      <c r="BA32" s="1967"/>
      <c r="BB32" s="1967"/>
      <c r="BC32" s="1967"/>
      <c r="BD32" s="1968"/>
      <c r="BE32" s="1196"/>
    </row>
    <row r="33" spans="1:58" ht="15" customHeight="1">
      <c r="A33" s="1192"/>
      <c r="B33" s="1959"/>
      <c r="C33" s="1960"/>
      <c r="D33" s="1960"/>
      <c r="E33" s="1960"/>
      <c r="F33" s="1960"/>
      <c r="G33" s="1960"/>
      <c r="H33" s="1960"/>
      <c r="I33" s="1960"/>
      <c r="J33" s="1963"/>
      <c r="K33" s="1963"/>
      <c r="L33" s="1963"/>
      <c r="M33" s="1963"/>
      <c r="N33" s="1963"/>
      <c r="O33" s="1963"/>
      <c r="P33" s="1963"/>
      <c r="Q33" s="1965"/>
      <c r="R33" s="1969" t="s">
        <v>2428</v>
      </c>
      <c r="S33" s="1970"/>
      <c r="T33" s="1970"/>
      <c r="U33" s="1970"/>
      <c r="V33" s="1970"/>
      <c r="W33" s="1970"/>
      <c r="X33" s="1970"/>
      <c r="Y33" s="1970"/>
      <c r="Z33" s="1970"/>
      <c r="AA33" s="1970"/>
      <c r="AB33" s="1970"/>
      <c r="AC33" s="1970"/>
      <c r="AD33" s="1970"/>
      <c r="AE33" s="1970"/>
      <c r="AF33" s="1970"/>
      <c r="AG33" s="1970"/>
      <c r="AH33" s="1970"/>
      <c r="AI33" s="1970"/>
      <c r="AJ33" s="1970"/>
      <c r="AK33" s="1970"/>
      <c r="AL33" s="1970"/>
      <c r="AM33" s="1970"/>
      <c r="AN33" s="1970"/>
      <c r="AO33" s="1970"/>
      <c r="AP33" s="1970"/>
      <c r="AQ33" s="1970"/>
      <c r="AR33" s="1970"/>
      <c r="AS33" s="1970"/>
      <c r="AT33" s="1970"/>
      <c r="AU33" s="1970"/>
      <c r="AV33" s="1970"/>
      <c r="AW33" s="1970"/>
      <c r="AX33" s="1970"/>
      <c r="AY33" s="1970"/>
      <c r="AZ33" s="1970"/>
      <c r="BA33" s="1970"/>
      <c r="BB33" s="1970"/>
      <c r="BC33" s="1970"/>
      <c r="BD33" s="1971"/>
      <c r="BE33" s="1196"/>
    </row>
    <row r="34" spans="1:58" ht="15.75" customHeight="1" thickBot="1">
      <c r="A34" s="1192"/>
      <c r="B34" s="1959"/>
      <c r="C34" s="1960"/>
      <c r="D34" s="1960"/>
      <c r="E34" s="1960"/>
      <c r="F34" s="1960"/>
      <c r="G34" s="1960"/>
      <c r="H34" s="1960"/>
      <c r="I34" s="1960"/>
      <c r="J34" s="1963"/>
      <c r="K34" s="1963"/>
      <c r="L34" s="1963"/>
      <c r="M34" s="1963"/>
      <c r="N34" s="1963"/>
      <c r="O34" s="1963"/>
      <c r="P34" s="1963"/>
      <c r="Q34" s="1965"/>
      <c r="R34" s="1972"/>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c r="AN34" s="1973"/>
      <c r="AO34" s="1973"/>
      <c r="AP34" s="1973"/>
      <c r="AQ34" s="1973"/>
      <c r="AR34" s="1973"/>
      <c r="AS34" s="1973"/>
      <c r="AT34" s="1973"/>
      <c r="AU34" s="1973"/>
      <c r="AV34" s="1973"/>
      <c r="AW34" s="1973"/>
      <c r="AX34" s="1973"/>
      <c r="AY34" s="1973"/>
      <c r="AZ34" s="1973"/>
      <c r="BA34" s="1973"/>
      <c r="BB34" s="1973"/>
      <c r="BC34" s="1973"/>
      <c r="BD34" s="1974"/>
      <c r="BE34" s="1196"/>
    </row>
    <row r="35" spans="1:58" ht="15.75" customHeight="1">
      <c r="A35" s="1192"/>
      <c r="B35" s="1959"/>
      <c r="C35" s="1960"/>
      <c r="D35" s="1960"/>
      <c r="E35" s="1960"/>
      <c r="F35" s="1960"/>
      <c r="G35" s="1960"/>
      <c r="H35" s="1960"/>
      <c r="I35" s="1960"/>
      <c r="J35" s="1963"/>
      <c r="K35" s="1963"/>
      <c r="L35" s="1963"/>
      <c r="M35" s="1963"/>
      <c r="N35" s="1963"/>
      <c r="O35" s="1963"/>
      <c r="P35" s="1963"/>
      <c r="Q35" s="1963"/>
      <c r="R35" s="1975">
        <v>0.3</v>
      </c>
      <c r="S35" s="1975"/>
      <c r="T35" s="1975"/>
      <c r="U35" s="1975"/>
      <c r="V35" s="1975">
        <v>0.4</v>
      </c>
      <c r="W35" s="1975"/>
      <c r="X35" s="1975"/>
      <c r="Y35" s="1975"/>
      <c r="Z35" s="1975">
        <v>0.5</v>
      </c>
      <c r="AA35" s="1975"/>
      <c r="AB35" s="1975"/>
      <c r="AC35" s="1975"/>
      <c r="AD35" s="1975">
        <v>0.6</v>
      </c>
      <c r="AE35" s="1975"/>
      <c r="AF35" s="1975"/>
      <c r="AG35" s="1975"/>
      <c r="AH35" s="1975">
        <v>0.7</v>
      </c>
      <c r="AI35" s="1975"/>
      <c r="AJ35" s="1975"/>
      <c r="AK35" s="1975"/>
      <c r="AL35" s="1980">
        <v>0.8</v>
      </c>
      <c r="AM35" s="1981"/>
      <c r="AN35" s="1981"/>
      <c r="AO35" s="1982"/>
      <c r="AP35" s="1983">
        <v>1.2</v>
      </c>
      <c r="AQ35" s="1984"/>
      <c r="AR35" s="1985"/>
      <c r="AS35" s="1977" t="s">
        <v>2427</v>
      </c>
      <c r="AT35" s="1978"/>
      <c r="AU35" s="1978"/>
      <c r="AV35" s="1978"/>
      <c r="AW35" s="1978"/>
      <c r="AX35" s="1986"/>
      <c r="AY35" s="1977" t="s">
        <v>2426</v>
      </c>
      <c r="AZ35" s="1978"/>
      <c r="BA35" s="1978"/>
      <c r="BB35" s="1978"/>
      <c r="BC35" s="1978"/>
      <c r="BD35" s="1979"/>
      <c r="BE35" s="1196"/>
    </row>
    <row r="36" spans="1:58" ht="15.75" customHeight="1">
      <c r="A36" s="1192"/>
      <c r="B36" s="1996" t="s">
        <v>2425</v>
      </c>
      <c r="C36" s="1997"/>
      <c r="D36" s="1997"/>
      <c r="E36" s="1997"/>
      <c r="F36" s="1997"/>
      <c r="G36" s="1997"/>
      <c r="H36" s="1997"/>
      <c r="I36" s="1997"/>
      <c r="J36" s="1998" t="s">
        <v>2424</v>
      </c>
      <c r="K36" s="1998"/>
      <c r="L36" s="1998"/>
      <c r="M36" s="1998"/>
      <c r="N36" s="1998">
        <v>55</v>
      </c>
      <c r="O36" s="1998"/>
      <c r="P36" s="1998"/>
      <c r="Q36" s="1998"/>
      <c r="R36" s="1999"/>
      <c r="S36" s="1999"/>
      <c r="T36" s="1999"/>
      <c r="U36" s="1999"/>
      <c r="V36" s="1999"/>
      <c r="W36" s="1999"/>
      <c r="X36" s="1999"/>
      <c r="Y36" s="1999"/>
      <c r="Z36" s="1999"/>
      <c r="AA36" s="1999"/>
      <c r="AB36" s="1999"/>
      <c r="AC36" s="1999"/>
      <c r="AD36" s="1999"/>
      <c r="AE36" s="1999"/>
      <c r="AF36" s="1999"/>
      <c r="AG36" s="1999"/>
      <c r="AH36" s="1999"/>
      <c r="AI36" s="1999"/>
      <c r="AJ36" s="1999"/>
      <c r="AK36" s="1999"/>
      <c r="AL36" s="1987"/>
      <c r="AM36" s="1988"/>
      <c r="AN36" s="1988"/>
      <c r="AO36" s="1989"/>
      <c r="AP36" s="1987"/>
      <c r="AQ36" s="1988"/>
      <c r="AR36" s="1989"/>
      <c r="AS36" s="1990">
        <f t="shared" ref="AS36:AS47" si="2">SUM(R36:AR36)</f>
        <v>0</v>
      </c>
      <c r="AT36" s="1991"/>
      <c r="AU36" s="1991"/>
      <c r="AV36" s="1991"/>
      <c r="AW36" s="1991"/>
      <c r="AX36" s="1992"/>
      <c r="AY36" s="1993">
        <f t="shared" ref="AY36:AY47" si="3">AS36/$J$29</f>
        <v>0</v>
      </c>
      <c r="AZ36" s="1994"/>
      <c r="BA36" s="1994"/>
      <c r="BB36" s="1994"/>
      <c r="BC36" s="1994"/>
      <c r="BD36" s="1995"/>
      <c r="BE36" s="1196"/>
    </row>
    <row r="37" spans="1:58" ht="15.75" customHeight="1">
      <c r="A37" s="1192"/>
      <c r="B37" s="1996" t="s">
        <v>2423</v>
      </c>
      <c r="C37" s="1997"/>
      <c r="D37" s="1997"/>
      <c r="E37" s="1997"/>
      <c r="F37" s="1997"/>
      <c r="G37" s="1997"/>
      <c r="H37" s="1997"/>
      <c r="I37" s="1997"/>
      <c r="J37" s="1998" t="s">
        <v>2422</v>
      </c>
      <c r="K37" s="1998"/>
      <c r="L37" s="1998"/>
      <c r="M37" s="1998"/>
      <c r="N37" s="1998">
        <v>55</v>
      </c>
      <c r="O37" s="1998"/>
      <c r="P37" s="1998"/>
      <c r="Q37" s="1998"/>
      <c r="R37" s="1999"/>
      <c r="S37" s="1999"/>
      <c r="T37" s="1999"/>
      <c r="U37" s="1999"/>
      <c r="V37" s="1999"/>
      <c r="W37" s="1999"/>
      <c r="X37" s="1999"/>
      <c r="Y37" s="1999"/>
      <c r="Z37" s="1999"/>
      <c r="AA37" s="1999"/>
      <c r="AB37" s="1999"/>
      <c r="AC37" s="1999"/>
      <c r="AD37" s="1999"/>
      <c r="AE37" s="1999"/>
      <c r="AF37" s="1999"/>
      <c r="AG37" s="1999"/>
      <c r="AH37" s="1999"/>
      <c r="AI37" s="1999"/>
      <c r="AJ37" s="1999"/>
      <c r="AK37" s="1999"/>
      <c r="AL37" s="1987"/>
      <c r="AM37" s="1988"/>
      <c r="AN37" s="1988"/>
      <c r="AO37" s="1989"/>
      <c r="AP37" s="1987"/>
      <c r="AQ37" s="1988"/>
      <c r="AR37" s="1989"/>
      <c r="AS37" s="1990">
        <f t="shared" si="2"/>
        <v>0</v>
      </c>
      <c r="AT37" s="1991"/>
      <c r="AU37" s="1991"/>
      <c r="AV37" s="1991"/>
      <c r="AW37" s="1991"/>
      <c r="AX37" s="1992"/>
      <c r="AY37" s="1993">
        <f t="shared" si="3"/>
        <v>0</v>
      </c>
      <c r="AZ37" s="1994"/>
      <c r="BA37" s="1994"/>
      <c r="BB37" s="1994"/>
      <c r="BC37" s="1994"/>
      <c r="BD37" s="1995"/>
      <c r="BE37" s="1196"/>
    </row>
    <row r="38" spans="1:58" ht="15.75" customHeight="1">
      <c r="A38" s="1192"/>
      <c r="B38" s="1996" t="s">
        <v>2421</v>
      </c>
      <c r="C38" s="1997"/>
      <c r="D38" s="1997"/>
      <c r="E38" s="1997"/>
      <c r="F38" s="1997"/>
      <c r="G38" s="1997"/>
      <c r="H38" s="1997"/>
      <c r="I38" s="1997"/>
      <c r="J38" s="1998" t="s">
        <v>2420</v>
      </c>
      <c r="K38" s="1998"/>
      <c r="L38" s="1998"/>
      <c r="M38" s="1998"/>
      <c r="N38" s="1998">
        <v>55</v>
      </c>
      <c r="O38" s="1998"/>
      <c r="P38" s="1998"/>
      <c r="Q38" s="1998"/>
      <c r="R38" s="1999"/>
      <c r="S38" s="1999"/>
      <c r="T38" s="1999"/>
      <c r="U38" s="1999"/>
      <c r="V38" s="1999"/>
      <c r="W38" s="1999"/>
      <c r="X38" s="1999"/>
      <c r="Y38" s="1999"/>
      <c r="Z38" s="1999"/>
      <c r="AA38" s="1999"/>
      <c r="AB38" s="1999"/>
      <c r="AC38" s="1999"/>
      <c r="AD38" s="1999"/>
      <c r="AE38" s="1999"/>
      <c r="AF38" s="1999"/>
      <c r="AG38" s="1999"/>
      <c r="AH38" s="1999"/>
      <c r="AI38" s="1999"/>
      <c r="AJ38" s="1999"/>
      <c r="AK38" s="1999"/>
      <c r="AL38" s="1987"/>
      <c r="AM38" s="1988"/>
      <c r="AN38" s="1988"/>
      <c r="AO38" s="1989"/>
      <c r="AP38" s="1987"/>
      <c r="AQ38" s="1988"/>
      <c r="AR38" s="1989"/>
      <c r="AS38" s="1990">
        <f t="shared" si="2"/>
        <v>0</v>
      </c>
      <c r="AT38" s="1991"/>
      <c r="AU38" s="1991"/>
      <c r="AV38" s="1991"/>
      <c r="AW38" s="1991"/>
      <c r="AX38" s="1992"/>
      <c r="AY38" s="1993">
        <f t="shared" si="3"/>
        <v>0</v>
      </c>
      <c r="AZ38" s="1994"/>
      <c r="BA38" s="1994"/>
      <c r="BB38" s="1994"/>
      <c r="BC38" s="1994"/>
      <c r="BD38" s="1995"/>
      <c r="BE38" s="1196"/>
    </row>
    <row r="39" spans="1:58" ht="15.75" customHeight="1">
      <c r="A39" s="1192"/>
      <c r="B39" s="1996" t="s">
        <v>2419</v>
      </c>
      <c r="C39" s="1997"/>
      <c r="D39" s="1997"/>
      <c r="E39" s="1997"/>
      <c r="F39" s="1997"/>
      <c r="G39" s="1997"/>
      <c r="H39" s="1997"/>
      <c r="I39" s="1997"/>
      <c r="J39" s="1998"/>
      <c r="K39" s="1998"/>
      <c r="L39" s="1998"/>
      <c r="M39" s="1998"/>
      <c r="N39" s="1998"/>
      <c r="O39" s="1998"/>
      <c r="P39" s="1998"/>
      <c r="Q39" s="1998"/>
      <c r="R39" s="1999"/>
      <c r="S39" s="1999"/>
      <c r="T39" s="1999"/>
      <c r="U39" s="1999"/>
      <c r="V39" s="1999"/>
      <c r="W39" s="1999"/>
      <c r="X39" s="1999"/>
      <c r="Y39" s="1999"/>
      <c r="Z39" s="1999"/>
      <c r="AA39" s="1999"/>
      <c r="AB39" s="1999"/>
      <c r="AC39" s="1999"/>
      <c r="AD39" s="1999"/>
      <c r="AE39" s="1999"/>
      <c r="AF39" s="1999"/>
      <c r="AG39" s="1999"/>
      <c r="AH39" s="1999"/>
      <c r="AI39" s="1999"/>
      <c r="AJ39" s="1999"/>
      <c r="AK39" s="1999"/>
      <c r="AL39" s="1987"/>
      <c r="AM39" s="1988"/>
      <c r="AN39" s="1988"/>
      <c r="AO39" s="1989"/>
      <c r="AP39" s="1987"/>
      <c r="AQ39" s="1988"/>
      <c r="AR39" s="1989"/>
      <c r="AS39" s="1990">
        <f t="shared" si="2"/>
        <v>0</v>
      </c>
      <c r="AT39" s="1991"/>
      <c r="AU39" s="1991"/>
      <c r="AV39" s="1991"/>
      <c r="AW39" s="1991"/>
      <c r="AX39" s="1992"/>
      <c r="AY39" s="1993">
        <f t="shared" si="3"/>
        <v>0</v>
      </c>
      <c r="AZ39" s="1994"/>
      <c r="BA39" s="1994"/>
      <c r="BB39" s="1994"/>
      <c r="BC39" s="1994"/>
      <c r="BD39" s="1995"/>
      <c r="BE39" s="1196"/>
    </row>
    <row r="40" spans="1:58" ht="15.75" customHeight="1">
      <c r="A40" s="1192"/>
      <c r="B40" s="1996" t="s">
        <v>2419</v>
      </c>
      <c r="C40" s="1997"/>
      <c r="D40" s="1997"/>
      <c r="E40" s="1997"/>
      <c r="F40" s="1997"/>
      <c r="G40" s="1997"/>
      <c r="H40" s="1997"/>
      <c r="I40" s="1997"/>
      <c r="J40" s="1998"/>
      <c r="K40" s="1998"/>
      <c r="L40" s="1998"/>
      <c r="M40" s="1998"/>
      <c r="N40" s="1998"/>
      <c r="O40" s="1998"/>
      <c r="P40" s="1998"/>
      <c r="Q40" s="1998"/>
      <c r="R40" s="1999"/>
      <c r="S40" s="1999"/>
      <c r="T40" s="1999"/>
      <c r="U40" s="1999"/>
      <c r="V40" s="1999"/>
      <c r="W40" s="1999"/>
      <c r="X40" s="1999"/>
      <c r="Y40" s="1999"/>
      <c r="Z40" s="1999"/>
      <c r="AA40" s="1999"/>
      <c r="AB40" s="1999"/>
      <c r="AC40" s="1999"/>
      <c r="AD40" s="1999"/>
      <c r="AE40" s="1999"/>
      <c r="AF40" s="1999"/>
      <c r="AG40" s="1999"/>
      <c r="AH40" s="1999"/>
      <c r="AI40" s="1999"/>
      <c r="AJ40" s="1999"/>
      <c r="AK40" s="1999"/>
      <c r="AL40" s="1987"/>
      <c r="AM40" s="1988"/>
      <c r="AN40" s="1988"/>
      <c r="AO40" s="1989"/>
      <c r="AP40" s="1987"/>
      <c r="AQ40" s="1988"/>
      <c r="AR40" s="1989"/>
      <c r="AS40" s="1990">
        <f t="shared" si="2"/>
        <v>0</v>
      </c>
      <c r="AT40" s="1991"/>
      <c r="AU40" s="1991"/>
      <c r="AV40" s="1991"/>
      <c r="AW40" s="1991"/>
      <c r="AX40" s="1992"/>
      <c r="AY40" s="1993">
        <f t="shared" si="3"/>
        <v>0</v>
      </c>
      <c r="AZ40" s="1994"/>
      <c r="BA40" s="1994"/>
      <c r="BB40" s="1994"/>
      <c r="BC40" s="1994"/>
      <c r="BD40" s="1995"/>
      <c r="BE40" s="1196"/>
    </row>
    <row r="41" spans="1:58" ht="15.75" customHeight="1">
      <c r="A41" s="1192"/>
      <c r="B41" s="1996" t="s">
        <v>2418</v>
      </c>
      <c r="C41" s="1997"/>
      <c r="D41" s="1997"/>
      <c r="E41" s="1997"/>
      <c r="F41" s="1997"/>
      <c r="G41" s="1997"/>
      <c r="H41" s="1997"/>
      <c r="I41" s="1997"/>
      <c r="J41" s="1998"/>
      <c r="K41" s="1998"/>
      <c r="L41" s="1998"/>
      <c r="M41" s="1998"/>
      <c r="N41" s="1998"/>
      <c r="O41" s="1998"/>
      <c r="P41" s="1998"/>
      <c r="Q41" s="1998"/>
      <c r="R41" s="1999"/>
      <c r="S41" s="1999"/>
      <c r="T41" s="1999"/>
      <c r="U41" s="1999"/>
      <c r="V41" s="1999"/>
      <c r="W41" s="1999"/>
      <c r="X41" s="1999"/>
      <c r="Y41" s="1999"/>
      <c r="Z41" s="1999"/>
      <c r="AA41" s="1999"/>
      <c r="AB41" s="1999"/>
      <c r="AC41" s="1999"/>
      <c r="AD41" s="1999"/>
      <c r="AE41" s="1999"/>
      <c r="AF41" s="1999"/>
      <c r="AG41" s="1999"/>
      <c r="AH41" s="1999"/>
      <c r="AI41" s="1999"/>
      <c r="AJ41" s="1999"/>
      <c r="AK41" s="1999"/>
      <c r="AL41" s="1987"/>
      <c r="AM41" s="1988"/>
      <c r="AN41" s="1988"/>
      <c r="AO41" s="1989"/>
      <c r="AP41" s="1987"/>
      <c r="AQ41" s="1988"/>
      <c r="AR41" s="1989"/>
      <c r="AS41" s="1990">
        <f t="shared" si="2"/>
        <v>0</v>
      </c>
      <c r="AT41" s="1991"/>
      <c r="AU41" s="1991"/>
      <c r="AV41" s="1991"/>
      <c r="AW41" s="1991"/>
      <c r="AX41" s="1992"/>
      <c r="AY41" s="1993">
        <f t="shared" si="3"/>
        <v>0</v>
      </c>
      <c r="AZ41" s="1994"/>
      <c r="BA41" s="1994"/>
      <c r="BB41" s="1994"/>
      <c r="BC41" s="1994"/>
      <c r="BD41" s="1995"/>
      <c r="BE41" s="1196"/>
    </row>
    <row r="42" spans="1:58" ht="15.75" customHeight="1">
      <c r="A42" s="1192"/>
      <c r="B42" s="1996" t="s">
        <v>2418</v>
      </c>
      <c r="C42" s="1997"/>
      <c r="D42" s="1997"/>
      <c r="E42" s="1997"/>
      <c r="F42" s="1997"/>
      <c r="G42" s="1997"/>
      <c r="H42" s="1997"/>
      <c r="I42" s="1997"/>
      <c r="J42" s="1998"/>
      <c r="K42" s="1998"/>
      <c r="L42" s="1998"/>
      <c r="M42" s="1998"/>
      <c r="N42" s="1998"/>
      <c r="O42" s="1998"/>
      <c r="P42" s="1998"/>
      <c r="Q42" s="1998"/>
      <c r="R42" s="1999"/>
      <c r="S42" s="1999"/>
      <c r="T42" s="1999"/>
      <c r="U42" s="1999"/>
      <c r="V42" s="1999"/>
      <c r="W42" s="1999"/>
      <c r="X42" s="1999"/>
      <c r="Y42" s="1999"/>
      <c r="Z42" s="1999"/>
      <c r="AA42" s="1999"/>
      <c r="AB42" s="1999"/>
      <c r="AC42" s="1999"/>
      <c r="AD42" s="1999"/>
      <c r="AE42" s="1999"/>
      <c r="AF42" s="1999"/>
      <c r="AG42" s="1999"/>
      <c r="AH42" s="1999"/>
      <c r="AI42" s="1999"/>
      <c r="AJ42" s="1999"/>
      <c r="AK42" s="1999"/>
      <c r="AL42" s="1987"/>
      <c r="AM42" s="1988"/>
      <c r="AN42" s="1988"/>
      <c r="AO42" s="1989"/>
      <c r="AP42" s="1987"/>
      <c r="AQ42" s="1988"/>
      <c r="AR42" s="1989"/>
      <c r="AS42" s="1990">
        <f t="shared" si="2"/>
        <v>0</v>
      </c>
      <c r="AT42" s="1991"/>
      <c r="AU42" s="1991"/>
      <c r="AV42" s="1991"/>
      <c r="AW42" s="1991"/>
      <c r="AX42" s="1992"/>
      <c r="AY42" s="1993">
        <f t="shared" si="3"/>
        <v>0</v>
      </c>
      <c r="AZ42" s="1994"/>
      <c r="BA42" s="1994"/>
      <c r="BB42" s="1994"/>
      <c r="BC42" s="1994"/>
      <c r="BD42" s="1995"/>
      <c r="BE42" s="1196"/>
    </row>
    <row r="43" spans="1:58" ht="15.75" customHeight="1">
      <c r="A43" s="1192"/>
      <c r="B43" s="2000" t="s">
        <v>2417</v>
      </c>
      <c r="C43" s="2001"/>
      <c r="D43" s="2001"/>
      <c r="E43" s="2001"/>
      <c r="F43" s="2001"/>
      <c r="G43" s="2001"/>
      <c r="H43" s="2001"/>
      <c r="I43" s="2001"/>
      <c r="J43" s="1998"/>
      <c r="K43" s="1998"/>
      <c r="L43" s="1998"/>
      <c r="M43" s="1998"/>
      <c r="N43" s="1998"/>
      <c r="O43" s="1998"/>
      <c r="P43" s="1998"/>
      <c r="Q43" s="1998"/>
      <c r="R43" s="1999"/>
      <c r="S43" s="1999"/>
      <c r="T43" s="1999"/>
      <c r="U43" s="1999"/>
      <c r="V43" s="1999"/>
      <c r="W43" s="1999"/>
      <c r="X43" s="1999"/>
      <c r="Y43" s="1999"/>
      <c r="Z43" s="1999"/>
      <c r="AA43" s="1999"/>
      <c r="AB43" s="1999"/>
      <c r="AC43" s="1999"/>
      <c r="AD43" s="1999"/>
      <c r="AE43" s="1999"/>
      <c r="AF43" s="1999"/>
      <c r="AG43" s="1999"/>
      <c r="AH43" s="1999"/>
      <c r="AI43" s="1999"/>
      <c r="AJ43" s="1999"/>
      <c r="AK43" s="1999"/>
      <c r="AL43" s="1987"/>
      <c r="AM43" s="1988"/>
      <c r="AN43" s="1988"/>
      <c r="AO43" s="1989"/>
      <c r="AP43" s="1987"/>
      <c r="AQ43" s="1988"/>
      <c r="AR43" s="1989"/>
      <c r="AS43" s="1990">
        <f t="shared" si="2"/>
        <v>0</v>
      </c>
      <c r="AT43" s="1991"/>
      <c r="AU43" s="1991"/>
      <c r="AV43" s="1991"/>
      <c r="AW43" s="1991"/>
      <c r="AX43" s="1992"/>
      <c r="AY43" s="1993">
        <f t="shared" si="3"/>
        <v>0</v>
      </c>
      <c r="AZ43" s="1994"/>
      <c r="BA43" s="1994"/>
      <c r="BB43" s="1994"/>
      <c r="BC43" s="1994"/>
      <c r="BD43" s="1995"/>
      <c r="BE43" s="1196"/>
    </row>
    <row r="44" spans="1:58" ht="15.75" customHeight="1">
      <c r="A44" s="1192"/>
      <c r="B44" s="2000" t="s">
        <v>2416</v>
      </c>
      <c r="C44" s="2001"/>
      <c r="D44" s="2001"/>
      <c r="E44" s="2001"/>
      <c r="F44" s="2001"/>
      <c r="G44" s="2001"/>
      <c r="H44" s="2001"/>
      <c r="I44" s="2001"/>
      <c r="J44" s="1998"/>
      <c r="K44" s="1998"/>
      <c r="L44" s="1998"/>
      <c r="M44" s="1998"/>
      <c r="N44" s="1998"/>
      <c r="O44" s="1998"/>
      <c r="P44" s="1998"/>
      <c r="Q44" s="1998"/>
      <c r="R44" s="1999"/>
      <c r="S44" s="1999"/>
      <c r="T44" s="1999"/>
      <c r="U44" s="1999"/>
      <c r="V44" s="1999"/>
      <c r="W44" s="1999"/>
      <c r="X44" s="1999"/>
      <c r="Y44" s="1999"/>
      <c r="Z44" s="1999"/>
      <c r="AA44" s="1999"/>
      <c r="AB44" s="1999"/>
      <c r="AC44" s="1999"/>
      <c r="AD44" s="1999"/>
      <c r="AE44" s="1999"/>
      <c r="AF44" s="1999"/>
      <c r="AG44" s="1999"/>
      <c r="AH44" s="1999"/>
      <c r="AI44" s="1999"/>
      <c r="AJ44" s="1999"/>
      <c r="AK44" s="1999"/>
      <c r="AL44" s="1987"/>
      <c r="AM44" s="1988"/>
      <c r="AN44" s="1988"/>
      <c r="AO44" s="1989"/>
      <c r="AP44" s="1987"/>
      <c r="AQ44" s="1988"/>
      <c r="AR44" s="1989"/>
      <c r="AS44" s="1990">
        <f t="shared" si="2"/>
        <v>0</v>
      </c>
      <c r="AT44" s="1991"/>
      <c r="AU44" s="1991"/>
      <c r="AV44" s="1991"/>
      <c r="AW44" s="1991"/>
      <c r="AX44" s="1992"/>
      <c r="AY44" s="1993">
        <f t="shared" si="3"/>
        <v>0</v>
      </c>
      <c r="AZ44" s="1994"/>
      <c r="BA44" s="1994"/>
      <c r="BB44" s="1994"/>
      <c r="BC44" s="1994"/>
      <c r="BD44" s="1995"/>
      <c r="BE44" s="1196"/>
    </row>
    <row r="45" spans="1:58" ht="15.75" customHeight="1">
      <c r="A45" s="1192"/>
      <c r="B45" s="2000" t="s">
        <v>2415</v>
      </c>
      <c r="C45" s="2001"/>
      <c r="D45" s="2001"/>
      <c r="E45" s="2001"/>
      <c r="F45" s="2001"/>
      <c r="G45" s="2001"/>
      <c r="H45" s="2001"/>
      <c r="I45" s="2001"/>
      <c r="J45" s="1998"/>
      <c r="K45" s="1998"/>
      <c r="L45" s="1998"/>
      <c r="M45" s="1998"/>
      <c r="N45" s="1998"/>
      <c r="O45" s="1998"/>
      <c r="P45" s="1998"/>
      <c r="Q45" s="1998"/>
      <c r="R45" s="1999"/>
      <c r="S45" s="1999"/>
      <c r="T45" s="1999"/>
      <c r="U45" s="1999"/>
      <c r="V45" s="1999"/>
      <c r="W45" s="1999"/>
      <c r="X45" s="1999"/>
      <c r="Y45" s="1999"/>
      <c r="Z45" s="1999"/>
      <c r="AA45" s="1999"/>
      <c r="AB45" s="1999"/>
      <c r="AC45" s="1999"/>
      <c r="AD45" s="1999"/>
      <c r="AE45" s="1999"/>
      <c r="AF45" s="1999"/>
      <c r="AG45" s="1999"/>
      <c r="AH45" s="1999"/>
      <c r="AI45" s="1999"/>
      <c r="AJ45" s="1999"/>
      <c r="AK45" s="1999"/>
      <c r="AL45" s="1987"/>
      <c r="AM45" s="1988"/>
      <c r="AN45" s="1988"/>
      <c r="AO45" s="1989"/>
      <c r="AP45" s="1987"/>
      <c r="AQ45" s="1988"/>
      <c r="AR45" s="1989"/>
      <c r="AS45" s="1990">
        <f t="shared" si="2"/>
        <v>0</v>
      </c>
      <c r="AT45" s="1991"/>
      <c r="AU45" s="1991"/>
      <c r="AV45" s="1991"/>
      <c r="AW45" s="1991"/>
      <c r="AX45" s="1992"/>
      <c r="AY45" s="1993">
        <f t="shared" si="3"/>
        <v>0</v>
      </c>
      <c r="AZ45" s="1994"/>
      <c r="BA45" s="1994"/>
      <c r="BB45" s="1994"/>
      <c r="BC45" s="1994"/>
      <c r="BD45" s="1995"/>
      <c r="BE45" s="1196"/>
    </row>
    <row r="46" spans="1:58" ht="15.75" customHeight="1">
      <c r="A46" s="1192"/>
      <c r="B46" s="2000" t="s">
        <v>2339</v>
      </c>
      <c r="C46" s="2001"/>
      <c r="D46" s="2001"/>
      <c r="E46" s="2001"/>
      <c r="F46" s="2001"/>
      <c r="G46" s="2001"/>
      <c r="H46" s="2001"/>
      <c r="I46" s="2001"/>
      <c r="J46" s="1998"/>
      <c r="K46" s="1998"/>
      <c r="L46" s="1998"/>
      <c r="M46" s="1998"/>
      <c r="N46" s="1998">
        <v>99</v>
      </c>
      <c r="O46" s="1998"/>
      <c r="P46" s="1998"/>
      <c r="Q46" s="1998"/>
      <c r="R46" s="1999"/>
      <c r="S46" s="1999"/>
      <c r="T46" s="1999"/>
      <c r="U46" s="1999"/>
      <c r="V46" s="1999"/>
      <c r="W46" s="1999"/>
      <c r="X46" s="1999"/>
      <c r="Y46" s="1999"/>
      <c r="Z46" s="1999"/>
      <c r="AA46" s="1999"/>
      <c r="AB46" s="1999"/>
      <c r="AC46" s="1999"/>
      <c r="AD46" s="1999"/>
      <c r="AE46" s="1999"/>
      <c r="AF46" s="1999"/>
      <c r="AG46" s="1999"/>
      <c r="AH46" s="1999"/>
      <c r="AI46" s="1999"/>
      <c r="AJ46" s="1999"/>
      <c r="AK46" s="1999"/>
      <c r="AL46" s="1987"/>
      <c r="AM46" s="1988"/>
      <c r="AN46" s="1988"/>
      <c r="AO46" s="1989"/>
      <c r="AP46" s="1987"/>
      <c r="AQ46" s="1988"/>
      <c r="AR46" s="1989"/>
      <c r="AS46" s="1990">
        <f t="shared" si="2"/>
        <v>0</v>
      </c>
      <c r="AT46" s="1991"/>
      <c r="AU46" s="1991"/>
      <c r="AV46" s="1991"/>
      <c r="AW46" s="1991"/>
      <c r="AX46" s="1992"/>
      <c r="AY46" s="1993">
        <f t="shared" si="3"/>
        <v>0</v>
      </c>
      <c r="AZ46" s="1994"/>
      <c r="BA46" s="1994"/>
      <c r="BB46" s="1994"/>
      <c r="BC46" s="1994"/>
      <c r="BD46" s="1995"/>
      <c r="BE46" s="1196"/>
    </row>
    <row r="47" spans="1:58" ht="15.75" customHeight="1" thickBot="1">
      <c r="A47" s="1192"/>
      <c r="B47" s="2002" t="s">
        <v>300</v>
      </c>
      <c r="C47" s="2003"/>
      <c r="D47" s="2003"/>
      <c r="E47" s="2003"/>
      <c r="F47" s="2003"/>
      <c r="G47" s="2003"/>
      <c r="H47" s="2003"/>
      <c r="I47" s="2003"/>
      <c r="J47" s="2004"/>
      <c r="K47" s="2004"/>
      <c r="L47" s="2004"/>
      <c r="M47" s="2004"/>
      <c r="N47" s="2004"/>
      <c r="O47" s="2004"/>
      <c r="P47" s="2004"/>
      <c r="Q47" s="2004"/>
      <c r="R47" s="2005"/>
      <c r="S47" s="2005"/>
      <c r="T47" s="2005"/>
      <c r="U47" s="2005"/>
      <c r="V47" s="2005"/>
      <c r="W47" s="2005"/>
      <c r="X47" s="2005"/>
      <c r="Y47" s="2005"/>
      <c r="Z47" s="2005"/>
      <c r="AA47" s="2005"/>
      <c r="AB47" s="2005"/>
      <c r="AC47" s="2005"/>
      <c r="AD47" s="2005"/>
      <c r="AE47" s="2005"/>
      <c r="AF47" s="2005"/>
      <c r="AG47" s="2005"/>
      <c r="AH47" s="2005"/>
      <c r="AI47" s="2005"/>
      <c r="AJ47" s="2005"/>
      <c r="AK47" s="2005"/>
      <c r="AL47" s="2009"/>
      <c r="AM47" s="2010"/>
      <c r="AN47" s="2010"/>
      <c r="AO47" s="2011"/>
      <c r="AP47" s="2009"/>
      <c r="AQ47" s="2010"/>
      <c r="AR47" s="2011"/>
      <c r="AS47" s="1990">
        <f t="shared" si="2"/>
        <v>0</v>
      </c>
      <c r="AT47" s="1991"/>
      <c r="AU47" s="1991"/>
      <c r="AV47" s="1991"/>
      <c r="AW47" s="1991"/>
      <c r="AX47" s="1992"/>
      <c r="AY47" s="2006">
        <f t="shared" si="3"/>
        <v>0</v>
      </c>
      <c r="AZ47" s="2007"/>
      <c r="BA47" s="2007"/>
      <c r="BB47" s="2007"/>
      <c r="BC47" s="2007"/>
      <c r="BD47" s="2008"/>
      <c r="BE47" s="1196"/>
    </row>
    <row r="48" spans="1:58" ht="15.75" customHeight="1">
      <c r="A48" s="1192"/>
      <c r="B48" s="1198" t="s">
        <v>2414</v>
      </c>
      <c r="C48" s="1192"/>
      <c r="D48" s="1192"/>
      <c r="E48" s="1192"/>
      <c r="F48" s="1192"/>
      <c r="G48" s="1192"/>
      <c r="H48" s="1192"/>
      <c r="I48" s="1192"/>
      <c r="J48" s="1192"/>
      <c r="K48" s="1192"/>
      <c r="L48" s="1192"/>
      <c r="M48" s="1192"/>
      <c r="N48" s="1192"/>
      <c r="O48" s="1192"/>
      <c r="P48" s="1192"/>
      <c r="Q48" s="1192"/>
      <c r="R48" s="1192"/>
      <c r="S48" s="1192"/>
      <c r="T48" s="1192"/>
      <c r="U48" s="1192"/>
      <c r="V48" s="1192"/>
      <c r="W48" s="1192"/>
      <c r="X48" s="1192"/>
      <c r="Y48" s="1192"/>
      <c r="Z48" s="1192"/>
      <c r="AA48" s="1192"/>
      <c r="AB48" s="1192"/>
      <c r="AC48" s="1192"/>
      <c r="AD48" s="1192"/>
      <c r="AE48" s="1192"/>
      <c r="AF48" s="1192"/>
      <c r="AG48" s="1192"/>
      <c r="AH48" s="1192"/>
      <c r="AI48" s="1192"/>
      <c r="AJ48" s="1192"/>
      <c r="AK48" s="1192"/>
      <c r="AL48" s="1192"/>
      <c r="AM48" s="1192"/>
      <c r="AN48" s="1192"/>
      <c r="AO48" s="1192"/>
      <c r="AP48" s="1192"/>
      <c r="AQ48" s="1192"/>
      <c r="AR48" s="1192"/>
      <c r="AS48" s="1192"/>
      <c r="AT48" s="1192"/>
      <c r="AU48" s="1192"/>
      <c r="AV48" s="1192"/>
      <c r="AW48" s="1192"/>
      <c r="AX48" s="1192"/>
      <c r="AY48" s="1192"/>
      <c r="AZ48" s="1192"/>
      <c r="BA48" s="1192"/>
      <c r="BB48" s="1192"/>
      <c r="BC48" s="1192"/>
      <c r="BD48" s="1192"/>
      <c r="BE48" s="1196"/>
      <c r="BF48" s="1190"/>
    </row>
    <row r="49" spans="1:58" ht="15.75" customHeight="1" thickBot="1">
      <c r="A49" s="1192"/>
      <c r="B49" s="1198" t="s">
        <v>2413</v>
      </c>
      <c r="C49" s="1192"/>
      <c r="D49" s="1192"/>
      <c r="E49" s="1192"/>
      <c r="F49" s="1192"/>
      <c r="G49" s="1192"/>
      <c r="H49" s="1192"/>
      <c r="I49" s="1192"/>
      <c r="J49" s="1192"/>
      <c r="K49" s="1192"/>
      <c r="L49" s="1192"/>
      <c r="M49" s="1192"/>
      <c r="N49" s="1192"/>
      <c r="O49" s="1192"/>
      <c r="P49" s="1192"/>
      <c r="Q49" s="1192"/>
      <c r="R49" s="1192"/>
      <c r="S49" s="1192"/>
      <c r="T49" s="1192"/>
      <c r="U49" s="1192"/>
      <c r="V49" s="1192"/>
      <c r="W49" s="1192"/>
      <c r="X49" s="1192"/>
      <c r="Y49" s="1192"/>
      <c r="Z49" s="1192"/>
      <c r="AA49" s="1192"/>
      <c r="AB49" s="1192"/>
      <c r="AC49" s="1192"/>
      <c r="AD49" s="1192"/>
      <c r="AE49" s="1192"/>
      <c r="AF49" s="1192"/>
      <c r="AG49" s="1192"/>
      <c r="AH49" s="1192"/>
      <c r="AI49" s="1192"/>
      <c r="AJ49" s="1192"/>
      <c r="AK49" s="1192"/>
      <c r="AL49" s="1192"/>
      <c r="AM49" s="1192"/>
      <c r="AN49" s="1192"/>
      <c r="AO49" s="1192"/>
      <c r="AP49" s="1194"/>
      <c r="AQ49" s="1194"/>
      <c r="AR49" s="1194"/>
      <c r="AS49" s="1194"/>
      <c r="AT49" s="1194"/>
      <c r="AU49" s="1194"/>
      <c r="AV49" s="1194"/>
      <c r="AW49" s="1194"/>
      <c r="AX49" s="1192"/>
      <c r="AY49" s="1192"/>
      <c r="AZ49" s="1192"/>
      <c r="BA49" s="1192"/>
      <c r="BB49" s="1192"/>
      <c r="BC49" s="1192"/>
      <c r="BD49" s="1192"/>
      <c r="BE49" s="1196"/>
      <c r="BF49" s="1190"/>
    </row>
    <row r="50" spans="1:58" ht="15.75" customHeight="1">
      <c r="A50" s="1192"/>
      <c r="B50" s="2012" t="s">
        <v>2412</v>
      </c>
      <c r="C50" s="2013"/>
      <c r="D50" s="2013"/>
      <c r="E50" s="2013"/>
      <c r="F50" s="2013"/>
      <c r="G50" s="2013"/>
      <c r="H50" s="2013"/>
      <c r="I50" s="2013"/>
      <c r="J50" s="2013"/>
      <c r="K50" s="2013"/>
      <c r="L50" s="2013"/>
      <c r="M50" s="2013"/>
      <c r="N50" s="2013"/>
      <c r="O50" s="2013"/>
      <c r="P50" s="2013"/>
      <c r="Q50" s="2013"/>
      <c r="R50" s="2013"/>
      <c r="S50" s="2013"/>
      <c r="T50" s="2013"/>
      <c r="U50" s="2013"/>
      <c r="V50" s="2013"/>
      <c r="W50" s="2013"/>
      <c r="X50" s="2013"/>
      <c r="Y50" s="2013"/>
      <c r="Z50" s="2013"/>
      <c r="AA50" s="2013"/>
      <c r="AB50" s="2013"/>
      <c r="AC50" s="2013"/>
      <c r="AD50" s="2013"/>
      <c r="AE50" s="2013"/>
      <c r="AF50" s="2013"/>
      <c r="AG50" s="2013"/>
      <c r="AH50" s="2013"/>
      <c r="AI50" s="2013"/>
      <c r="AJ50" s="2013"/>
      <c r="AK50" s="2013"/>
      <c r="AL50" s="2013"/>
      <c r="AM50" s="2013"/>
      <c r="AN50" s="2013"/>
      <c r="AO50" s="2014"/>
      <c r="AP50" s="1194"/>
      <c r="AQ50" s="1194"/>
      <c r="AR50" s="1194"/>
      <c r="AS50" s="1194"/>
      <c r="AT50" s="1194"/>
      <c r="AU50" s="1194"/>
      <c r="AV50" s="1194"/>
      <c r="AW50" s="1194"/>
      <c r="AX50" s="1192"/>
      <c r="AY50" s="1192"/>
      <c r="AZ50" s="1192"/>
      <c r="BA50" s="1192"/>
      <c r="BB50" s="1192"/>
      <c r="BC50" s="1192"/>
      <c r="BD50" s="1192"/>
      <c r="BE50" s="1196"/>
    </row>
    <row r="51" spans="1:58" ht="33.75" customHeight="1">
      <c r="A51" s="1192"/>
      <c r="B51" s="2015" t="s">
        <v>2405</v>
      </c>
      <c r="C51" s="2016"/>
      <c r="D51" s="2016"/>
      <c r="E51" s="2016"/>
      <c r="F51" s="2016"/>
      <c r="G51" s="2016"/>
      <c r="H51" s="2016"/>
      <c r="I51" s="2016"/>
      <c r="J51" s="2016" t="s">
        <v>2411</v>
      </c>
      <c r="K51" s="2016"/>
      <c r="L51" s="2016"/>
      <c r="M51" s="2016"/>
      <c r="N51" s="2016"/>
      <c r="O51" s="2016"/>
      <c r="P51" s="2016"/>
      <c r="Q51" s="2016"/>
      <c r="R51" s="2017" t="s">
        <v>2410</v>
      </c>
      <c r="S51" s="2017"/>
      <c r="T51" s="2017"/>
      <c r="U51" s="2017"/>
      <c r="V51" s="2017"/>
      <c r="W51" s="2017"/>
      <c r="X51" s="2017"/>
      <c r="Y51" s="2017"/>
      <c r="Z51" s="2017" t="s">
        <v>2409</v>
      </c>
      <c r="AA51" s="2017"/>
      <c r="AB51" s="2017"/>
      <c r="AC51" s="2017"/>
      <c r="AD51" s="2017"/>
      <c r="AE51" s="2017"/>
      <c r="AF51" s="2017"/>
      <c r="AG51" s="2017"/>
      <c r="AH51" s="2017" t="s">
        <v>2408</v>
      </c>
      <c r="AI51" s="2017"/>
      <c r="AJ51" s="2017"/>
      <c r="AK51" s="2017"/>
      <c r="AL51" s="2017"/>
      <c r="AM51" s="2017"/>
      <c r="AN51" s="2017"/>
      <c r="AO51" s="2018"/>
      <c r="AP51" s="1194"/>
      <c r="AQ51" s="1194"/>
      <c r="AR51" s="1194"/>
      <c r="AS51" s="1194"/>
      <c r="AT51" s="1194"/>
      <c r="AU51" s="1194"/>
      <c r="AV51" s="1194"/>
      <c r="AW51" s="1194"/>
      <c r="AX51" s="1197"/>
      <c r="AY51" s="1192"/>
      <c r="AZ51" s="1192"/>
      <c r="BA51" s="1192"/>
      <c r="BB51" s="1192"/>
      <c r="BC51" s="1192"/>
      <c r="BD51" s="1192"/>
      <c r="BE51" s="1196"/>
    </row>
    <row r="52" spans="1:58" ht="15.75" customHeight="1">
      <c r="A52" s="1192"/>
      <c r="B52" s="2000" t="s">
        <v>2407</v>
      </c>
      <c r="C52" s="2001"/>
      <c r="D52" s="2001"/>
      <c r="E52" s="2001"/>
      <c r="F52" s="2001"/>
      <c r="G52" s="2001"/>
      <c r="H52" s="2001"/>
      <c r="I52" s="2001"/>
      <c r="J52" s="2019">
        <v>0</v>
      </c>
      <c r="K52" s="2019"/>
      <c r="L52" s="2019"/>
      <c r="M52" s="2019"/>
      <c r="N52" s="2019"/>
      <c r="O52" s="2019"/>
      <c r="P52" s="2019"/>
      <c r="Q52" s="2019"/>
      <c r="R52" s="2020">
        <v>0</v>
      </c>
      <c r="S52" s="2020"/>
      <c r="T52" s="2020"/>
      <c r="U52" s="2020"/>
      <c r="V52" s="2020"/>
      <c r="W52" s="2020"/>
      <c r="X52" s="2020"/>
      <c r="Y52" s="2020"/>
      <c r="Z52" s="2021">
        <v>0</v>
      </c>
      <c r="AA52" s="2021"/>
      <c r="AB52" s="2021"/>
      <c r="AC52" s="2021"/>
      <c r="AD52" s="2021"/>
      <c r="AE52" s="2021"/>
      <c r="AF52" s="2021"/>
      <c r="AG52" s="2021"/>
      <c r="AH52" s="2022"/>
      <c r="AI52" s="2022"/>
      <c r="AJ52" s="2022"/>
      <c r="AK52" s="2022"/>
      <c r="AL52" s="2022"/>
      <c r="AM52" s="2022"/>
      <c r="AN52" s="2022"/>
      <c r="AO52" s="2023"/>
      <c r="AP52" s="1194"/>
      <c r="AQ52" s="1194"/>
      <c r="AR52" s="1194"/>
      <c r="AS52" s="1194"/>
      <c r="AT52" s="1194"/>
      <c r="AU52" s="1194"/>
      <c r="AV52" s="1194"/>
      <c r="AW52" s="1194"/>
      <c r="AX52" s="1197"/>
      <c r="AY52" s="1192"/>
      <c r="AZ52" s="1192"/>
      <c r="BA52" s="1192"/>
      <c r="BB52" s="1192"/>
      <c r="BC52" s="1192"/>
      <c r="BD52" s="1192"/>
      <c r="BE52" s="1196"/>
    </row>
    <row r="53" spans="1:58" ht="15.75" customHeight="1">
      <c r="A53" s="1192"/>
      <c r="B53" s="2000" t="s">
        <v>2406</v>
      </c>
      <c r="C53" s="2001"/>
      <c r="D53" s="2001"/>
      <c r="E53" s="2001"/>
      <c r="F53" s="2001"/>
      <c r="G53" s="2001"/>
      <c r="H53" s="2001"/>
      <c r="I53" s="2001"/>
      <c r="J53" s="2019">
        <v>0</v>
      </c>
      <c r="K53" s="2019"/>
      <c r="L53" s="2019"/>
      <c r="M53" s="2019"/>
      <c r="N53" s="2019"/>
      <c r="O53" s="2019"/>
      <c r="P53" s="2019"/>
      <c r="Q53" s="2019"/>
      <c r="R53" s="2020">
        <v>0</v>
      </c>
      <c r="S53" s="2020"/>
      <c r="T53" s="2020"/>
      <c r="U53" s="2020"/>
      <c r="V53" s="2020"/>
      <c r="W53" s="2020"/>
      <c r="X53" s="2020"/>
      <c r="Y53" s="2020"/>
      <c r="Z53" s="2021">
        <v>0</v>
      </c>
      <c r="AA53" s="2021"/>
      <c r="AB53" s="2021"/>
      <c r="AC53" s="2021"/>
      <c r="AD53" s="2021"/>
      <c r="AE53" s="2021"/>
      <c r="AF53" s="2021"/>
      <c r="AG53" s="2021"/>
      <c r="AH53" s="2022"/>
      <c r="AI53" s="2022"/>
      <c r="AJ53" s="2022"/>
      <c r="AK53" s="2022"/>
      <c r="AL53" s="2022"/>
      <c r="AM53" s="2022"/>
      <c r="AN53" s="2022"/>
      <c r="AO53" s="2023"/>
      <c r="AP53" s="1194"/>
      <c r="AQ53" s="1194"/>
      <c r="AR53" s="1194"/>
      <c r="AS53" s="1194"/>
      <c r="AT53" s="1194"/>
      <c r="AU53" s="1194"/>
      <c r="AV53" s="1194"/>
      <c r="AW53" s="1194"/>
      <c r="AX53" s="1192"/>
      <c r="AY53" s="1192"/>
      <c r="AZ53" s="1192"/>
      <c r="BA53" s="1192"/>
      <c r="BB53" s="1192"/>
      <c r="BC53" s="1192"/>
      <c r="BD53" s="1192"/>
      <c r="BE53" s="1196"/>
    </row>
    <row r="54" spans="1:58" ht="15.75" customHeight="1">
      <c r="A54" s="1192"/>
      <c r="B54" s="2000"/>
      <c r="C54" s="2001"/>
      <c r="D54" s="2001"/>
      <c r="E54" s="2001"/>
      <c r="F54" s="2001"/>
      <c r="G54" s="2001"/>
      <c r="H54" s="2001"/>
      <c r="I54" s="2001"/>
      <c r="J54" s="2019"/>
      <c r="K54" s="2019"/>
      <c r="L54" s="2019"/>
      <c r="M54" s="2019"/>
      <c r="N54" s="2019"/>
      <c r="O54" s="2019"/>
      <c r="P54" s="2019"/>
      <c r="Q54" s="2019"/>
      <c r="R54" s="2020"/>
      <c r="S54" s="2020"/>
      <c r="T54" s="2020"/>
      <c r="U54" s="2020"/>
      <c r="V54" s="2020"/>
      <c r="W54" s="2020"/>
      <c r="X54" s="2020"/>
      <c r="Y54" s="2020"/>
      <c r="Z54" s="2021"/>
      <c r="AA54" s="2021"/>
      <c r="AB54" s="2021"/>
      <c r="AC54" s="2021"/>
      <c r="AD54" s="2021"/>
      <c r="AE54" s="2021"/>
      <c r="AF54" s="2021"/>
      <c r="AG54" s="2021"/>
      <c r="AH54" s="2022"/>
      <c r="AI54" s="2022"/>
      <c r="AJ54" s="2022"/>
      <c r="AK54" s="2022"/>
      <c r="AL54" s="2022"/>
      <c r="AM54" s="2022"/>
      <c r="AN54" s="2022"/>
      <c r="AO54" s="2023"/>
      <c r="AP54" s="1194"/>
      <c r="AQ54" s="1194"/>
      <c r="AR54" s="1194"/>
      <c r="AS54" s="1194"/>
      <c r="AT54" s="1194"/>
      <c r="AU54" s="1194"/>
      <c r="AV54" s="1194"/>
      <c r="AW54" s="1194"/>
      <c r="AX54" s="1192"/>
      <c r="AY54" s="1192"/>
      <c r="AZ54" s="1192"/>
      <c r="BA54" s="1192"/>
      <c r="BB54" s="1192"/>
      <c r="BC54" s="1192"/>
      <c r="BD54" s="1192"/>
      <c r="BE54" s="1196"/>
    </row>
    <row r="55" spans="1:58" ht="15.75" customHeight="1">
      <c r="A55" s="1192"/>
      <c r="B55" s="2000"/>
      <c r="C55" s="2001"/>
      <c r="D55" s="2001"/>
      <c r="E55" s="2001"/>
      <c r="F55" s="2001"/>
      <c r="G55" s="2001"/>
      <c r="H55" s="2001"/>
      <c r="I55" s="2001"/>
      <c r="J55" s="2019"/>
      <c r="K55" s="2019"/>
      <c r="L55" s="2019"/>
      <c r="M55" s="2019"/>
      <c r="N55" s="2019"/>
      <c r="O55" s="2019"/>
      <c r="P55" s="2019"/>
      <c r="Q55" s="2019"/>
      <c r="R55" s="2020"/>
      <c r="S55" s="2020"/>
      <c r="T55" s="2020"/>
      <c r="U55" s="2020"/>
      <c r="V55" s="2020"/>
      <c r="W55" s="2020"/>
      <c r="X55" s="2020"/>
      <c r="Y55" s="2020"/>
      <c r="Z55" s="2021"/>
      <c r="AA55" s="2021"/>
      <c r="AB55" s="2021"/>
      <c r="AC55" s="2021"/>
      <c r="AD55" s="2021"/>
      <c r="AE55" s="2021"/>
      <c r="AF55" s="2021"/>
      <c r="AG55" s="2021"/>
      <c r="AH55" s="2022"/>
      <c r="AI55" s="2022"/>
      <c r="AJ55" s="2022"/>
      <c r="AK55" s="2022"/>
      <c r="AL55" s="2022"/>
      <c r="AM55" s="2022"/>
      <c r="AN55" s="2022"/>
      <c r="AO55" s="2023"/>
      <c r="AP55" s="1194"/>
      <c r="AQ55" s="1194"/>
      <c r="AR55" s="1194"/>
      <c r="AS55" s="1194"/>
      <c r="AT55" s="1194" t="s">
        <v>250</v>
      </c>
      <c r="AU55" s="1194"/>
      <c r="AV55" s="1194"/>
      <c r="AW55" s="1194"/>
      <c r="AX55" s="1192"/>
      <c r="AY55" s="1192"/>
      <c r="AZ55" s="1192"/>
      <c r="BA55" s="1192"/>
      <c r="BB55" s="1192"/>
      <c r="BC55" s="1192"/>
      <c r="BD55" s="1192"/>
      <c r="BE55" s="1196"/>
    </row>
    <row r="56" spans="1:58" ht="15.75" customHeight="1">
      <c r="A56" s="1192"/>
      <c r="B56" s="2000"/>
      <c r="C56" s="2001"/>
      <c r="D56" s="2001"/>
      <c r="E56" s="2001"/>
      <c r="F56" s="2001"/>
      <c r="G56" s="2001"/>
      <c r="H56" s="2001"/>
      <c r="I56" s="2001"/>
      <c r="J56" s="2019"/>
      <c r="K56" s="2019"/>
      <c r="L56" s="2019"/>
      <c r="M56" s="2019"/>
      <c r="N56" s="2019"/>
      <c r="O56" s="2019"/>
      <c r="P56" s="2019"/>
      <c r="Q56" s="2019"/>
      <c r="R56" s="2020"/>
      <c r="S56" s="2020"/>
      <c r="T56" s="2020"/>
      <c r="U56" s="2020"/>
      <c r="V56" s="2020"/>
      <c r="W56" s="2020"/>
      <c r="X56" s="2020"/>
      <c r="Y56" s="2020"/>
      <c r="Z56" s="2021"/>
      <c r="AA56" s="2021"/>
      <c r="AB56" s="2021"/>
      <c r="AC56" s="2021"/>
      <c r="AD56" s="2021"/>
      <c r="AE56" s="2021"/>
      <c r="AF56" s="2021"/>
      <c r="AG56" s="2021"/>
      <c r="AH56" s="2022"/>
      <c r="AI56" s="2022"/>
      <c r="AJ56" s="2022"/>
      <c r="AK56" s="2022"/>
      <c r="AL56" s="2022"/>
      <c r="AM56" s="2022"/>
      <c r="AN56" s="2022"/>
      <c r="AO56" s="2023"/>
      <c r="AP56" s="1194"/>
      <c r="AQ56" s="1194"/>
      <c r="AR56" s="1194"/>
      <c r="AS56" s="1194"/>
      <c r="AT56" s="1194"/>
      <c r="AU56" s="1194"/>
      <c r="AV56" s="1194"/>
      <c r="AW56" s="1194"/>
      <c r="AX56" s="1192"/>
      <c r="AY56" s="1192"/>
      <c r="AZ56" s="1192"/>
      <c r="BA56" s="1192"/>
      <c r="BB56" s="1192"/>
      <c r="BC56" s="1192"/>
      <c r="BD56" s="1192"/>
      <c r="BE56" s="1196"/>
    </row>
    <row r="57" spans="1:58" s="1200" customFormat="1" ht="15.75" customHeight="1" thickBot="1">
      <c r="A57" s="1194"/>
      <c r="B57" s="2033" t="s">
        <v>1586</v>
      </c>
      <c r="C57" s="2034"/>
      <c r="D57" s="2034"/>
      <c r="E57" s="2034"/>
      <c r="F57" s="2034"/>
      <c r="G57" s="2034"/>
      <c r="H57" s="2034"/>
      <c r="I57" s="2034"/>
      <c r="J57" s="2034"/>
      <c r="K57" s="2034"/>
      <c r="L57" s="2034"/>
      <c r="M57" s="2034"/>
      <c r="N57" s="2034"/>
      <c r="O57" s="2034"/>
      <c r="P57" s="2034"/>
      <c r="Q57" s="2034"/>
      <c r="R57" s="2035">
        <f>SUM(R52:Y56)</f>
        <v>0</v>
      </c>
      <c r="S57" s="2035"/>
      <c r="T57" s="2035"/>
      <c r="U57" s="2035"/>
      <c r="V57" s="2035"/>
      <c r="W57" s="2035"/>
      <c r="X57" s="2035"/>
      <c r="Y57" s="2035"/>
      <c r="Z57" s="2036">
        <f>SUM(Z52:AG56)</f>
        <v>0</v>
      </c>
      <c r="AA57" s="2036"/>
      <c r="AB57" s="2036"/>
      <c r="AC57" s="2036"/>
      <c r="AD57" s="2036"/>
      <c r="AE57" s="2036"/>
      <c r="AF57" s="2036"/>
      <c r="AG57" s="2036"/>
      <c r="AH57" s="2037"/>
      <c r="AI57" s="2037"/>
      <c r="AJ57" s="2037"/>
      <c r="AK57" s="2037"/>
      <c r="AL57" s="2037"/>
      <c r="AM57" s="2037"/>
      <c r="AN57" s="2037"/>
      <c r="AO57" s="2038"/>
      <c r="AP57" s="1194"/>
      <c r="AQ57" s="1194"/>
      <c r="AR57" s="1194"/>
      <c r="AS57" s="1194"/>
      <c r="AT57" s="1194"/>
      <c r="AU57" s="1194"/>
      <c r="AV57" s="1194"/>
      <c r="AW57" s="1194"/>
      <c r="AX57" s="1194"/>
      <c r="AY57" s="1194"/>
      <c r="AZ57" s="1194"/>
      <c r="BA57" s="1194"/>
      <c r="BB57" s="1194"/>
      <c r="BC57" s="1194"/>
      <c r="BD57" s="1194"/>
      <c r="BE57" s="1199"/>
    </row>
    <row r="58" spans="1:58" ht="15.75" customHeight="1" thickBot="1">
      <c r="A58" s="1192"/>
      <c r="B58" s="1192"/>
      <c r="C58" s="1192"/>
      <c r="D58" s="1192"/>
      <c r="E58" s="1192"/>
      <c r="F58" s="1192"/>
      <c r="G58" s="1192"/>
      <c r="H58" s="1192"/>
      <c r="I58" s="1192"/>
      <c r="J58" s="1192"/>
      <c r="K58" s="1192"/>
      <c r="L58" s="1192"/>
      <c r="M58" s="1192"/>
      <c r="N58" s="1192"/>
      <c r="O58" s="1192"/>
      <c r="P58" s="1192"/>
      <c r="Q58" s="1192"/>
      <c r="R58" s="1192"/>
      <c r="S58" s="1192"/>
      <c r="T58" s="1192"/>
      <c r="U58" s="1192"/>
      <c r="V58" s="1192"/>
      <c r="W58" s="1192"/>
      <c r="X58" s="1192"/>
      <c r="Y58" s="1192"/>
      <c r="Z58" s="1192"/>
      <c r="AA58" s="1192"/>
      <c r="AB58" s="1192"/>
      <c r="AC58" s="1192"/>
      <c r="AD58" s="1192"/>
      <c r="AE58" s="1192"/>
      <c r="AF58" s="1192"/>
      <c r="AG58" s="1192"/>
      <c r="AH58" s="1192"/>
      <c r="AI58" s="1192"/>
      <c r="AJ58" s="1192"/>
      <c r="AK58" s="1192"/>
      <c r="AL58" s="1192"/>
      <c r="AM58" s="1192"/>
      <c r="AN58" s="1192"/>
      <c r="AO58" s="1192"/>
      <c r="AP58" s="1192"/>
      <c r="AQ58" s="1192"/>
      <c r="AR58" s="1192"/>
      <c r="AS58" s="1192"/>
      <c r="AT58" s="1192"/>
      <c r="AU58" s="1192"/>
      <c r="AV58" s="1192"/>
      <c r="AW58" s="1192"/>
      <c r="AX58" s="1192"/>
      <c r="AY58" s="1192"/>
      <c r="AZ58" s="1192"/>
      <c r="BA58" s="1192"/>
      <c r="BB58" s="1192"/>
      <c r="BC58" s="1192"/>
      <c r="BD58" s="1192"/>
      <c r="BE58" s="1196"/>
    </row>
    <row r="59" spans="1:58" ht="15.75" customHeight="1">
      <c r="A59" s="1192"/>
      <c r="B59" s="2024" t="s">
        <v>2405</v>
      </c>
      <c r="C59" s="2025"/>
      <c r="D59" s="2025"/>
      <c r="E59" s="2025"/>
      <c r="F59" s="2025"/>
      <c r="G59" s="2025"/>
      <c r="H59" s="2025"/>
      <c r="I59" s="2026"/>
      <c r="J59" s="1918" t="s">
        <v>2404</v>
      </c>
      <c r="K59" s="1918"/>
      <c r="L59" s="1918"/>
      <c r="M59" s="1918"/>
      <c r="N59" s="1918"/>
      <c r="O59" s="1918"/>
      <c r="P59" s="1918"/>
      <c r="Q59" s="1918"/>
      <c r="R59" s="1918"/>
      <c r="S59" s="1918"/>
      <c r="T59" s="1918"/>
      <c r="U59" s="1918"/>
      <c r="V59" s="1918"/>
      <c r="W59" s="1918"/>
      <c r="X59" s="1918"/>
      <c r="Y59" s="1918"/>
      <c r="Z59" s="1918"/>
      <c r="AA59" s="1918"/>
      <c r="AB59" s="1918"/>
      <c r="AC59" s="1918"/>
      <c r="AD59" s="1918"/>
      <c r="AE59" s="1918"/>
      <c r="AF59" s="1918"/>
      <c r="AG59" s="1918"/>
      <c r="AH59" s="1918"/>
      <c r="AI59" s="1918"/>
      <c r="AJ59" s="1918"/>
      <c r="AK59" s="1918"/>
      <c r="AL59" s="1918"/>
      <c r="AM59" s="1918"/>
      <c r="AN59" s="1918"/>
      <c r="AO59" s="1918"/>
      <c r="AP59" s="1918"/>
      <c r="AQ59" s="1918"/>
      <c r="AR59" s="1918"/>
      <c r="AS59" s="1918"/>
      <c r="AT59" s="1918"/>
      <c r="AU59" s="1918"/>
      <c r="AV59" s="1918"/>
      <c r="AW59" s="1919"/>
      <c r="AX59" s="1192"/>
      <c r="AY59" s="1192"/>
      <c r="AZ59" s="1192"/>
      <c r="BA59" s="1192"/>
      <c r="BB59" s="1192"/>
      <c r="BC59" s="1192"/>
      <c r="BD59" s="1192"/>
      <c r="BE59" s="1196"/>
    </row>
    <row r="60" spans="1:58" ht="15.75" customHeight="1">
      <c r="A60" s="1192"/>
      <c r="B60" s="2027" t="str">
        <f>IF(B52="", "", B52)</f>
        <v>Services Company 1</v>
      </c>
      <c r="C60" s="2028"/>
      <c r="D60" s="2028"/>
      <c r="E60" s="2028"/>
      <c r="F60" s="2028"/>
      <c r="G60" s="2028"/>
      <c r="H60" s="2028"/>
      <c r="I60" s="2029"/>
      <c r="J60" s="2030"/>
      <c r="K60" s="2031"/>
      <c r="L60" s="2031"/>
      <c r="M60" s="2031"/>
      <c r="N60" s="2031"/>
      <c r="O60" s="2031"/>
      <c r="P60" s="2031"/>
      <c r="Q60" s="2031"/>
      <c r="R60" s="2031"/>
      <c r="S60" s="2031"/>
      <c r="T60" s="2031"/>
      <c r="U60" s="2031"/>
      <c r="V60" s="2031"/>
      <c r="W60" s="2031"/>
      <c r="X60" s="2031"/>
      <c r="Y60" s="2031"/>
      <c r="Z60" s="2031"/>
      <c r="AA60" s="2031"/>
      <c r="AB60" s="2031"/>
      <c r="AC60" s="2031"/>
      <c r="AD60" s="2031"/>
      <c r="AE60" s="2031"/>
      <c r="AF60" s="2031"/>
      <c r="AG60" s="2031"/>
      <c r="AH60" s="2031"/>
      <c r="AI60" s="2031"/>
      <c r="AJ60" s="2031"/>
      <c r="AK60" s="2031"/>
      <c r="AL60" s="2031"/>
      <c r="AM60" s="2031"/>
      <c r="AN60" s="2031"/>
      <c r="AO60" s="2031"/>
      <c r="AP60" s="2031"/>
      <c r="AQ60" s="2031"/>
      <c r="AR60" s="2031"/>
      <c r="AS60" s="2031"/>
      <c r="AT60" s="2031"/>
      <c r="AU60" s="2031"/>
      <c r="AV60" s="2031"/>
      <c r="AW60" s="2032"/>
      <c r="AX60" s="1192"/>
      <c r="AY60" s="1192"/>
      <c r="AZ60" s="1192"/>
      <c r="BA60" s="1192"/>
      <c r="BB60" s="1192"/>
      <c r="BC60" s="1192"/>
      <c r="BD60" s="1192"/>
      <c r="BE60" s="1196"/>
    </row>
    <row r="61" spans="1:58" ht="15.75" customHeight="1">
      <c r="A61" s="1192"/>
      <c r="B61" s="2027" t="str">
        <f>IF(B53="", "", B53)</f>
        <v>Services Company 2</v>
      </c>
      <c r="C61" s="2028"/>
      <c r="D61" s="2028"/>
      <c r="E61" s="2028"/>
      <c r="F61" s="2028"/>
      <c r="G61" s="2028"/>
      <c r="H61" s="2028"/>
      <c r="I61" s="2029"/>
      <c r="J61" s="2030"/>
      <c r="K61" s="2031"/>
      <c r="L61" s="2031"/>
      <c r="M61" s="2031"/>
      <c r="N61" s="2031"/>
      <c r="O61" s="2031"/>
      <c r="P61" s="2031"/>
      <c r="Q61" s="2031"/>
      <c r="R61" s="2031"/>
      <c r="S61" s="2031"/>
      <c r="T61" s="2031"/>
      <c r="U61" s="2031"/>
      <c r="V61" s="2031"/>
      <c r="W61" s="2031"/>
      <c r="X61" s="2031"/>
      <c r="Y61" s="2031"/>
      <c r="Z61" s="2031"/>
      <c r="AA61" s="2031"/>
      <c r="AB61" s="2031"/>
      <c r="AC61" s="2031"/>
      <c r="AD61" s="2031"/>
      <c r="AE61" s="2031"/>
      <c r="AF61" s="2031"/>
      <c r="AG61" s="2031"/>
      <c r="AH61" s="2031"/>
      <c r="AI61" s="2031"/>
      <c r="AJ61" s="2031"/>
      <c r="AK61" s="2031"/>
      <c r="AL61" s="2031"/>
      <c r="AM61" s="2031"/>
      <c r="AN61" s="2031"/>
      <c r="AO61" s="2031"/>
      <c r="AP61" s="2031"/>
      <c r="AQ61" s="2031"/>
      <c r="AR61" s="2031"/>
      <c r="AS61" s="2031"/>
      <c r="AT61" s="2031"/>
      <c r="AU61" s="2031"/>
      <c r="AV61" s="2031"/>
      <c r="AW61" s="2032"/>
      <c r="AX61" s="1192"/>
      <c r="AY61" s="1192"/>
      <c r="AZ61" s="1192"/>
      <c r="BA61" s="1192"/>
      <c r="BB61" s="1192"/>
      <c r="BC61" s="1192"/>
      <c r="BD61" s="1192"/>
      <c r="BE61" s="1196"/>
    </row>
    <row r="62" spans="1:58" ht="15.75" customHeight="1">
      <c r="A62" s="1192"/>
      <c r="B62" s="2027" t="str">
        <f>IF(B54="", "", B54)</f>
        <v/>
      </c>
      <c r="C62" s="2028"/>
      <c r="D62" s="2028"/>
      <c r="E62" s="2028"/>
      <c r="F62" s="2028"/>
      <c r="G62" s="2028"/>
      <c r="H62" s="2028"/>
      <c r="I62" s="2029"/>
      <c r="J62" s="2030"/>
      <c r="K62" s="2031"/>
      <c r="L62" s="2031"/>
      <c r="M62" s="2031"/>
      <c r="N62" s="2031"/>
      <c r="O62" s="2031"/>
      <c r="P62" s="2031"/>
      <c r="Q62" s="2031"/>
      <c r="R62" s="2031"/>
      <c r="S62" s="2031"/>
      <c r="T62" s="2031"/>
      <c r="U62" s="2031"/>
      <c r="V62" s="2031"/>
      <c r="W62" s="2031"/>
      <c r="X62" s="2031"/>
      <c r="Y62" s="2031"/>
      <c r="Z62" s="2031"/>
      <c r="AA62" s="2031"/>
      <c r="AB62" s="2031"/>
      <c r="AC62" s="2031"/>
      <c r="AD62" s="2031"/>
      <c r="AE62" s="2031"/>
      <c r="AF62" s="2031"/>
      <c r="AG62" s="2031"/>
      <c r="AH62" s="2031"/>
      <c r="AI62" s="2031"/>
      <c r="AJ62" s="2031"/>
      <c r="AK62" s="2031"/>
      <c r="AL62" s="2031"/>
      <c r="AM62" s="2031"/>
      <c r="AN62" s="2031"/>
      <c r="AO62" s="2031"/>
      <c r="AP62" s="2031"/>
      <c r="AQ62" s="2031"/>
      <c r="AR62" s="2031"/>
      <c r="AS62" s="2031"/>
      <c r="AT62" s="2031"/>
      <c r="AU62" s="2031"/>
      <c r="AV62" s="2031"/>
      <c r="AW62" s="2032"/>
      <c r="AX62" s="1192"/>
      <c r="AY62" s="1192"/>
      <c r="AZ62" s="1192"/>
      <c r="BA62" s="1192"/>
      <c r="BB62" s="1192"/>
      <c r="BC62" s="1192"/>
      <c r="BD62" s="1192"/>
      <c r="BE62" s="1196"/>
    </row>
    <row r="63" spans="1:58" ht="15.75" customHeight="1">
      <c r="A63" s="1192"/>
      <c r="B63" s="2027" t="str">
        <f>IF(B55="", "", B55)</f>
        <v/>
      </c>
      <c r="C63" s="2028"/>
      <c r="D63" s="2028"/>
      <c r="E63" s="2028"/>
      <c r="F63" s="2028"/>
      <c r="G63" s="2028"/>
      <c r="H63" s="2028"/>
      <c r="I63" s="2029"/>
      <c r="J63" s="2030"/>
      <c r="K63" s="2031"/>
      <c r="L63" s="2031"/>
      <c r="M63" s="2031"/>
      <c r="N63" s="2031"/>
      <c r="O63" s="2031"/>
      <c r="P63" s="2031"/>
      <c r="Q63" s="2031"/>
      <c r="R63" s="2031"/>
      <c r="S63" s="2031"/>
      <c r="T63" s="2031"/>
      <c r="U63" s="2031"/>
      <c r="V63" s="2031"/>
      <c r="W63" s="2031"/>
      <c r="X63" s="2031"/>
      <c r="Y63" s="2031"/>
      <c r="Z63" s="2031"/>
      <c r="AA63" s="2031"/>
      <c r="AB63" s="2031"/>
      <c r="AC63" s="2031"/>
      <c r="AD63" s="2031"/>
      <c r="AE63" s="2031"/>
      <c r="AF63" s="2031"/>
      <c r="AG63" s="2031"/>
      <c r="AH63" s="2031"/>
      <c r="AI63" s="2031"/>
      <c r="AJ63" s="2031"/>
      <c r="AK63" s="2031"/>
      <c r="AL63" s="2031"/>
      <c r="AM63" s="2031"/>
      <c r="AN63" s="2031"/>
      <c r="AO63" s="2031"/>
      <c r="AP63" s="2031"/>
      <c r="AQ63" s="2031"/>
      <c r="AR63" s="2031"/>
      <c r="AS63" s="2031"/>
      <c r="AT63" s="2031"/>
      <c r="AU63" s="2031"/>
      <c r="AV63" s="2031"/>
      <c r="AW63" s="2032"/>
      <c r="AX63" s="1192"/>
      <c r="AY63" s="1192"/>
      <c r="AZ63" s="1192"/>
      <c r="BA63" s="1192"/>
      <c r="BB63" s="1192"/>
      <c r="BC63" s="1192"/>
      <c r="BD63" s="1192"/>
      <c r="BE63" s="1196"/>
    </row>
    <row r="64" spans="1:58" ht="15.75" customHeight="1" thickBot="1">
      <c r="A64" s="1192"/>
      <c r="B64" s="2049" t="str">
        <f>IF(B56="", "", B56)</f>
        <v/>
      </c>
      <c r="C64" s="2050"/>
      <c r="D64" s="2050"/>
      <c r="E64" s="2050"/>
      <c r="F64" s="2050"/>
      <c r="G64" s="2050"/>
      <c r="H64" s="2050"/>
      <c r="I64" s="2051"/>
      <c r="J64" s="2052"/>
      <c r="K64" s="2053"/>
      <c r="L64" s="2053"/>
      <c r="M64" s="2053"/>
      <c r="N64" s="2053"/>
      <c r="O64" s="2053"/>
      <c r="P64" s="2053"/>
      <c r="Q64" s="2053"/>
      <c r="R64" s="2053"/>
      <c r="S64" s="2053"/>
      <c r="T64" s="2053"/>
      <c r="U64" s="2053"/>
      <c r="V64" s="2053"/>
      <c r="W64" s="2053"/>
      <c r="X64" s="2053"/>
      <c r="Y64" s="2053"/>
      <c r="Z64" s="2053"/>
      <c r="AA64" s="2053"/>
      <c r="AB64" s="2053"/>
      <c r="AC64" s="2053"/>
      <c r="AD64" s="2053"/>
      <c r="AE64" s="2053"/>
      <c r="AF64" s="2053"/>
      <c r="AG64" s="2053"/>
      <c r="AH64" s="2053"/>
      <c r="AI64" s="2053"/>
      <c r="AJ64" s="2053"/>
      <c r="AK64" s="2053"/>
      <c r="AL64" s="2053"/>
      <c r="AM64" s="2053"/>
      <c r="AN64" s="2053"/>
      <c r="AO64" s="2053"/>
      <c r="AP64" s="2053"/>
      <c r="AQ64" s="2053"/>
      <c r="AR64" s="2053"/>
      <c r="AS64" s="2053"/>
      <c r="AT64" s="2053"/>
      <c r="AU64" s="2053"/>
      <c r="AV64" s="2053"/>
      <c r="AW64" s="2054"/>
      <c r="AX64" s="1192"/>
      <c r="AY64" s="1192"/>
      <c r="AZ64" s="1192"/>
      <c r="BA64" s="1192"/>
      <c r="BB64" s="1192"/>
      <c r="BC64" s="1192"/>
      <c r="BD64" s="1192"/>
      <c r="BE64" s="1196"/>
    </row>
    <row r="65" spans="1:94" ht="15.75" customHeight="1">
      <c r="A65" s="1192"/>
      <c r="B65" s="1192"/>
      <c r="C65" s="1192"/>
      <c r="D65" s="1192"/>
      <c r="E65" s="1192"/>
      <c r="F65" s="1192"/>
      <c r="G65" s="1192"/>
      <c r="H65" s="1192"/>
      <c r="I65" s="1192"/>
      <c r="J65" s="1192"/>
      <c r="K65" s="1192"/>
      <c r="L65" s="1192"/>
      <c r="M65" s="1192"/>
      <c r="N65" s="1192"/>
      <c r="O65" s="1192"/>
      <c r="P65" s="1192"/>
      <c r="Q65" s="1192"/>
      <c r="R65" s="1192"/>
      <c r="S65" s="1192"/>
      <c r="T65" s="1192"/>
      <c r="U65" s="1192"/>
      <c r="V65" s="1192"/>
      <c r="W65" s="1192"/>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192"/>
      <c r="AS65" s="1192"/>
      <c r="AT65" s="1192"/>
      <c r="AU65" s="1192"/>
      <c r="AV65" s="1192"/>
      <c r="AW65" s="1192"/>
      <c r="AX65" s="1192"/>
      <c r="AY65" s="1192"/>
      <c r="AZ65" s="1192"/>
      <c r="BA65" s="1192"/>
      <c r="BB65" s="1192"/>
      <c r="BC65" s="1192"/>
      <c r="BD65" s="1192"/>
      <c r="BE65" s="1196"/>
    </row>
    <row r="66" spans="1:94" ht="15.75" customHeight="1">
      <c r="A66" s="1192"/>
      <c r="B66" s="1200" t="s">
        <v>2403</v>
      </c>
      <c r="C66" s="1200"/>
      <c r="D66" s="1200"/>
      <c r="E66" s="1200"/>
      <c r="F66" s="1200"/>
      <c r="G66" s="1200"/>
      <c r="H66" s="1200"/>
      <c r="I66" s="1200"/>
      <c r="J66" s="1200"/>
      <c r="K66" s="1200"/>
      <c r="L66" s="1192"/>
      <c r="M66" s="1192"/>
      <c r="N66" s="1192"/>
      <c r="O66" s="1192"/>
      <c r="P66" s="1192"/>
      <c r="Q66" s="1192"/>
      <c r="R66" s="1192"/>
      <c r="S66" s="1192"/>
      <c r="T66" s="1192"/>
      <c r="U66" s="1192"/>
      <c r="V66" s="1192"/>
      <c r="W66" s="1192"/>
      <c r="X66" s="1192"/>
      <c r="Y66" s="1192"/>
      <c r="Z66" s="1192"/>
      <c r="AA66" s="1192"/>
      <c r="AB66" s="1192"/>
      <c r="AC66" s="1192"/>
      <c r="AD66" s="1192"/>
      <c r="AE66" s="1192"/>
      <c r="AF66" s="1192"/>
      <c r="AG66" s="1192"/>
      <c r="AH66" s="1192"/>
      <c r="AI66" s="1192"/>
      <c r="AJ66" s="1192"/>
      <c r="AK66" s="1192"/>
      <c r="AL66" s="1192"/>
      <c r="AM66" s="1192"/>
      <c r="AN66" s="1192"/>
      <c r="AO66" s="1192"/>
      <c r="AP66" s="1192"/>
      <c r="AQ66" s="1192"/>
      <c r="AR66" s="1192"/>
      <c r="AS66" s="1192"/>
      <c r="AT66" s="1192"/>
      <c r="AU66" s="1192"/>
      <c r="AV66" s="1192"/>
      <c r="AW66" s="1192"/>
      <c r="AX66" s="1192"/>
      <c r="AY66" s="1192"/>
      <c r="AZ66" s="1192"/>
      <c r="BA66" s="1192"/>
      <c r="BB66" s="1192"/>
      <c r="BC66" s="1192"/>
      <c r="BD66" s="1192"/>
      <c r="BE66" s="1196"/>
    </row>
    <row r="67" spans="1:94" ht="15.75" customHeight="1" thickBot="1">
      <c r="A67" s="1192"/>
      <c r="B67" s="1192"/>
      <c r="C67" s="1192"/>
      <c r="D67" s="1192"/>
      <c r="E67" s="1192"/>
      <c r="F67" s="1192"/>
      <c r="G67" s="1192"/>
      <c r="H67" s="1192"/>
      <c r="I67" s="1192"/>
      <c r="J67" s="1192"/>
      <c r="K67" s="1192"/>
      <c r="L67" s="1192"/>
      <c r="M67" s="1192"/>
      <c r="N67" s="1192"/>
      <c r="O67" s="1192"/>
      <c r="P67" s="1192"/>
      <c r="Q67" s="1192"/>
      <c r="R67" s="1192"/>
      <c r="S67" s="1192"/>
      <c r="T67" s="1192"/>
      <c r="U67" s="1192"/>
      <c r="V67" s="1192"/>
      <c r="W67" s="1192"/>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192"/>
      <c r="AS67" s="1192"/>
      <c r="AT67" s="1192"/>
      <c r="AU67" s="1192"/>
      <c r="AV67" s="1192"/>
      <c r="AW67" s="1192"/>
      <c r="AX67" s="1192"/>
      <c r="AY67" s="1192"/>
      <c r="AZ67" s="1192"/>
      <c r="BA67" s="1192"/>
      <c r="BB67" s="1192"/>
      <c r="BC67" s="1192"/>
      <c r="BD67" s="1192"/>
      <c r="BE67" s="1196"/>
    </row>
    <row r="68" spans="1:94" ht="15.75" customHeight="1" thickBot="1">
      <c r="A68" s="1192"/>
      <c r="B68" s="1917" t="s">
        <v>2402</v>
      </c>
      <c r="C68" s="1918"/>
      <c r="D68" s="1918"/>
      <c r="E68" s="1918"/>
      <c r="F68" s="1918"/>
      <c r="G68" s="1918"/>
      <c r="H68" s="1918"/>
      <c r="I68" s="1918"/>
      <c r="J68" s="1918"/>
      <c r="K68" s="1918"/>
      <c r="L68" s="1918"/>
      <c r="M68" s="1918"/>
      <c r="N68" s="1918"/>
      <c r="O68" s="1918"/>
      <c r="P68" s="1918"/>
      <c r="Q68" s="1918"/>
      <c r="R68" s="1918"/>
      <c r="S68" s="1918"/>
      <c r="T68" s="1918"/>
      <c r="U68" s="1918"/>
      <c r="V68" s="1918"/>
      <c r="W68" s="1918"/>
      <c r="X68" s="1918"/>
      <c r="Y68" s="1918"/>
      <c r="Z68" s="1918"/>
      <c r="AA68" s="1919"/>
      <c r="AB68" s="1192"/>
      <c r="AC68" s="2061" t="s">
        <v>2401</v>
      </c>
      <c r="AD68" s="2062"/>
      <c r="AE68" s="2062"/>
      <c r="AF68" s="2062"/>
      <c r="AG68" s="2062"/>
      <c r="AH68" s="2062"/>
      <c r="AI68" s="2062"/>
      <c r="AJ68" s="2062"/>
      <c r="AK68" s="2062"/>
      <c r="AL68" s="2062"/>
      <c r="AM68" s="2062"/>
      <c r="AN68" s="2062"/>
      <c r="AO68" s="2062"/>
      <c r="AP68" s="2062"/>
      <c r="AQ68" s="2062"/>
      <c r="AR68" s="2062"/>
      <c r="AS68" s="2062"/>
      <c r="AT68" s="2062"/>
      <c r="AU68" s="2062"/>
      <c r="AV68" s="2039" t="s">
        <v>669</v>
      </c>
      <c r="AW68" s="2040"/>
      <c r="AX68" s="2040"/>
      <c r="AY68" s="2040"/>
      <c r="AZ68" s="2040"/>
      <c r="BA68" s="2040"/>
      <c r="BB68" s="2040"/>
      <c r="BC68" s="2041"/>
      <c r="BD68" s="1192"/>
      <c r="BE68" s="1196"/>
      <c r="BM68" s="1201" t="s">
        <v>2400</v>
      </c>
    </row>
    <row r="69" spans="1:94" ht="15.75" customHeight="1" thickTop="1" thickBot="1">
      <c r="A69" s="1192"/>
      <c r="B69" s="2042" t="s">
        <v>2399</v>
      </c>
      <c r="C69" s="2043"/>
      <c r="D69" s="2043"/>
      <c r="E69" s="2043"/>
      <c r="F69" s="2043"/>
      <c r="G69" s="2043"/>
      <c r="H69" s="2043"/>
      <c r="I69" s="2043"/>
      <c r="J69" s="2043"/>
      <c r="K69" s="2043"/>
      <c r="L69" s="2043"/>
      <c r="M69" s="2043"/>
      <c r="N69" s="2043"/>
      <c r="O69" s="2044" t="s">
        <v>2398</v>
      </c>
      <c r="P69" s="2045"/>
      <c r="Q69" s="2045"/>
      <c r="R69" s="2045"/>
      <c r="S69" s="2045"/>
      <c r="T69" s="2045"/>
      <c r="U69" s="2045"/>
      <c r="V69" s="2045"/>
      <c r="W69" s="2045"/>
      <c r="X69" s="2045"/>
      <c r="Y69" s="2045"/>
      <c r="Z69" s="2045"/>
      <c r="AA69" s="2046"/>
      <c r="AB69" s="1192"/>
      <c r="AC69" s="2047" t="s">
        <v>2397</v>
      </c>
      <c r="AD69" s="2048"/>
      <c r="AE69" s="2048"/>
      <c r="AF69" s="2048"/>
      <c r="AG69" s="2048"/>
      <c r="AH69" s="2048"/>
      <c r="AI69" s="2048"/>
      <c r="AJ69" s="2048"/>
      <c r="AK69" s="2048"/>
      <c r="AL69" s="2048"/>
      <c r="AM69" s="2048"/>
      <c r="AN69" s="2048"/>
      <c r="AO69" s="2048"/>
      <c r="AP69" s="2048"/>
      <c r="AQ69" s="2048"/>
      <c r="AR69" s="2048"/>
      <c r="AS69" s="2048"/>
      <c r="AT69" s="2048"/>
      <c r="AU69" s="2048"/>
      <c r="AV69" s="2039" t="s">
        <v>669</v>
      </c>
      <c r="AW69" s="2040"/>
      <c r="AX69" s="2040"/>
      <c r="AY69" s="2040"/>
      <c r="AZ69" s="2040"/>
      <c r="BA69" s="2040"/>
      <c r="BB69" s="2040"/>
      <c r="BC69" s="2041"/>
      <c r="BD69" s="1192"/>
      <c r="BE69" s="1196"/>
      <c r="BM69" s="1202" t="s">
        <v>545</v>
      </c>
    </row>
    <row r="70" spans="1:94" ht="15.75" customHeight="1">
      <c r="A70" s="1192"/>
      <c r="B70" s="1996" t="s">
        <v>2396</v>
      </c>
      <c r="C70" s="1997"/>
      <c r="D70" s="1997"/>
      <c r="E70" s="1997"/>
      <c r="F70" s="1997"/>
      <c r="G70" s="1997"/>
      <c r="H70" s="1997"/>
      <c r="I70" s="1997"/>
      <c r="J70" s="1997"/>
      <c r="K70" s="1997"/>
      <c r="L70" s="1997"/>
      <c r="M70" s="1997"/>
      <c r="N70" s="1997"/>
      <c r="O70" s="2055">
        <v>0</v>
      </c>
      <c r="P70" s="2055"/>
      <c r="Q70" s="2055"/>
      <c r="R70" s="2055"/>
      <c r="S70" s="2055"/>
      <c r="T70" s="2055"/>
      <c r="U70" s="2055"/>
      <c r="V70" s="2055"/>
      <c r="W70" s="2055"/>
      <c r="X70" s="2055"/>
      <c r="Y70" s="2055"/>
      <c r="Z70" s="2055"/>
      <c r="AA70" s="2056"/>
      <c r="AB70" s="1192"/>
      <c r="AC70" s="2012" t="s">
        <v>2395</v>
      </c>
      <c r="AD70" s="2013"/>
      <c r="AE70" s="2013"/>
      <c r="AF70" s="2057"/>
      <c r="AG70" s="2057"/>
      <c r="AH70" s="2057"/>
      <c r="AI70" s="2057"/>
      <c r="AJ70" s="2057"/>
      <c r="AK70" s="2057"/>
      <c r="AL70" s="2057"/>
      <c r="AM70" s="2057"/>
      <c r="AN70" s="2057"/>
      <c r="AO70" s="2057"/>
      <c r="AP70" s="2057"/>
      <c r="AQ70" s="2057"/>
      <c r="AR70" s="2057"/>
      <c r="AS70" s="2057"/>
      <c r="AT70" s="2057"/>
      <c r="AU70" s="2058"/>
      <c r="AV70" s="1192"/>
      <c r="AW70" s="1192"/>
      <c r="AX70" s="1192"/>
      <c r="AY70" s="1192"/>
      <c r="AZ70" s="1192"/>
      <c r="BA70" s="1192"/>
      <c r="BB70" s="1192"/>
      <c r="BC70" s="1192"/>
      <c r="BD70" s="1192"/>
      <c r="BE70" s="1196"/>
      <c r="BM70" s="1203" t="s">
        <v>669</v>
      </c>
    </row>
    <row r="71" spans="1:94" ht="15.75" customHeight="1" thickBot="1">
      <c r="A71" s="1192"/>
      <c r="B71" s="1996" t="s">
        <v>2394</v>
      </c>
      <c r="C71" s="1997"/>
      <c r="D71" s="1997"/>
      <c r="E71" s="1997"/>
      <c r="F71" s="1997"/>
      <c r="G71" s="1997"/>
      <c r="H71" s="1997"/>
      <c r="I71" s="1997"/>
      <c r="J71" s="1997"/>
      <c r="K71" s="1997"/>
      <c r="L71" s="1997"/>
      <c r="M71" s="1997"/>
      <c r="N71" s="1997"/>
      <c r="O71" s="2055">
        <v>0</v>
      </c>
      <c r="P71" s="2055"/>
      <c r="Q71" s="2055"/>
      <c r="R71" s="2055"/>
      <c r="S71" s="2055"/>
      <c r="T71" s="2055"/>
      <c r="U71" s="2055"/>
      <c r="V71" s="2055"/>
      <c r="W71" s="2055"/>
      <c r="X71" s="2055"/>
      <c r="Y71" s="2055"/>
      <c r="Z71" s="2055"/>
      <c r="AA71" s="2056"/>
      <c r="AB71" s="1192"/>
      <c r="AC71" s="2059" t="s">
        <v>2393</v>
      </c>
      <c r="AD71" s="2060"/>
      <c r="AE71" s="2060"/>
      <c r="AF71" s="2053"/>
      <c r="AG71" s="2053"/>
      <c r="AH71" s="2053"/>
      <c r="AI71" s="2053"/>
      <c r="AJ71" s="2053"/>
      <c r="AK71" s="2053"/>
      <c r="AL71" s="2053"/>
      <c r="AM71" s="2053"/>
      <c r="AN71" s="2053"/>
      <c r="AO71" s="2053"/>
      <c r="AP71" s="2053"/>
      <c r="AQ71" s="2053"/>
      <c r="AR71" s="2053"/>
      <c r="AS71" s="2053"/>
      <c r="AT71" s="2053"/>
      <c r="AU71" s="2054"/>
      <c r="AV71" s="1192"/>
      <c r="AW71" s="1192"/>
      <c r="AX71" s="1192"/>
      <c r="AY71" s="1192"/>
      <c r="AZ71" s="1192"/>
      <c r="BA71" s="1192"/>
      <c r="BB71" s="1192"/>
      <c r="BC71" s="1192"/>
      <c r="BD71" s="1192"/>
      <c r="BE71" s="1196"/>
      <c r="BM71" s="1189" t="s">
        <v>2392</v>
      </c>
    </row>
    <row r="72" spans="1:94" ht="15.75" customHeight="1">
      <c r="A72" s="1192"/>
      <c r="B72" s="1996" t="s">
        <v>2391</v>
      </c>
      <c r="C72" s="1997"/>
      <c r="D72" s="1997"/>
      <c r="E72" s="1997"/>
      <c r="F72" s="1997"/>
      <c r="G72" s="1997"/>
      <c r="H72" s="1997"/>
      <c r="I72" s="1997"/>
      <c r="J72" s="1997"/>
      <c r="K72" s="1997"/>
      <c r="L72" s="1997"/>
      <c r="M72" s="1997"/>
      <c r="N72" s="1997"/>
      <c r="O72" s="2055">
        <v>0</v>
      </c>
      <c r="P72" s="2055"/>
      <c r="Q72" s="2055"/>
      <c r="R72" s="2055"/>
      <c r="S72" s="2055"/>
      <c r="T72" s="2055"/>
      <c r="U72" s="2055"/>
      <c r="V72" s="2055"/>
      <c r="W72" s="2055"/>
      <c r="X72" s="2055"/>
      <c r="Y72" s="2055"/>
      <c r="Z72" s="2055"/>
      <c r="AA72" s="2056"/>
      <c r="AB72" s="1192"/>
      <c r="AC72" s="2079" t="s">
        <v>2390</v>
      </c>
      <c r="AD72" s="2080"/>
      <c r="AE72" s="2080"/>
      <c r="AF72" s="2080"/>
      <c r="AG72" s="2080"/>
      <c r="AH72" s="2080"/>
      <c r="AI72" s="2080"/>
      <c r="AJ72" s="2080"/>
      <c r="AK72" s="2080"/>
      <c r="AL72" s="2080"/>
      <c r="AM72" s="2080"/>
      <c r="AN72" s="2080"/>
      <c r="AO72" s="2080"/>
      <c r="AP72" s="2080"/>
      <c r="AQ72" s="2080"/>
      <c r="AR72" s="2080"/>
      <c r="AS72" s="2080"/>
      <c r="AT72" s="2080"/>
      <c r="AU72" s="2080"/>
      <c r="AV72" s="2013"/>
      <c r="AW72" s="2013"/>
      <c r="AX72" s="2013"/>
      <c r="AY72" s="2013"/>
      <c r="AZ72" s="2013"/>
      <c r="BA72" s="2013"/>
      <c r="BB72" s="2013"/>
      <c r="BC72" s="2014"/>
      <c r="BD72" s="1192"/>
      <c r="BE72" s="1196"/>
    </row>
    <row r="73" spans="1:94" ht="15.75" customHeight="1">
      <c r="A73" s="1192"/>
      <c r="B73" s="2000" t="s">
        <v>2389</v>
      </c>
      <c r="C73" s="2001"/>
      <c r="D73" s="2001"/>
      <c r="E73" s="2001"/>
      <c r="F73" s="2001"/>
      <c r="G73" s="2001"/>
      <c r="H73" s="2001"/>
      <c r="I73" s="2001"/>
      <c r="J73" s="2001"/>
      <c r="K73" s="2001"/>
      <c r="L73" s="2001"/>
      <c r="M73" s="2001"/>
      <c r="N73" s="2001"/>
      <c r="O73" s="2055">
        <v>0</v>
      </c>
      <c r="P73" s="2055"/>
      <c r="Q73" s="2055"/>
      <c r="R73" s="2055"/>
      <c r="S73" s="2055"/>
      <c r="T73" s="2055"/>
      <c r="U73" s="2055"/>
      <c r="V73" s="2055"/>
      <c r="W73" s="2055"/>
      <c r="X73" s="2055"/>
      <c r="Y73" s="2055"/>
      <c r="Z73" s="2055"/>
      <c r="AA73" s="2056"/>
      <c r="AB73" s="1192"/>
      <c r="AC73" s="2081" t="s">
        <v>2334</v>
      </c>
      <c r="AD73" s="2082"/>
      <c r="AE73" s="2082"/>
      <c r="AF73" s="2082"/>
      <c r="AG73" s="2082"/>
      <c r="AH73" s="2082"/>
      <c r="AI73" s="2082"/>
      <c r="AJ73" s="2082"/>
      <c r="AK73" s="2082"/>
      <c r="AL73" s="2082"/>
      <c r="AM73" s="2082"/>
      <c r="AN73" s="2082"/>
      <c r="AO73" s="2082"/>
      <c r="AP73" s="2082"/>
      <c r="AQ73" s="2082"/>
      <c r="AR73" s="2082"/>
      <c r="AS73" s="2082"/>
      <c r="AT73" s="2082"/>
      <c r="AU73" s="2082"/>
      <c r="AV73" s="2082"/>
      <c r="AW73" s="2082"/>
      <c r="AX73" s="2082"/>
      <c r="AY73" s="2082"/>
      <c r="AZ73" s="2082"/>
      <c r="BA73" s="2082"/>
      <c r="BB73" s="2082"/>
      <c r="BC73" s="2083"/>
      <c r="BD73" s="1192"/>
      <c r="BE73" s="1196"/>
      <c r="CK73" s="1190"/>
      <c r="CL73" s="1190"/>
      <c r="CM73" s="1190"/>
      <c r="CN73" s="1190"/>
      <c r="CO73" s="1190"/>
      <c r="CP73" s="1190"/>
    </row>
    <row r="74" spans="1:94" ht="15.75" customHeight="1">
      <c r="A74" s="1192"/>
      <c r="B74" s="2087"/>
      <c r="C74" s="2019"/>
      <c r="D74" s="2019"/>
      <c r="E74" s="2019"/>
      <c r="F74" s="2019"/>
      <c r="G74" s="2019"/>
      <c r="H74" s="2019"/>
      <c r="I74" s="2019"/>
      <c r="J74" s="2019"/>
      <c r="K74" s="2019"/>
      <c r="L74" s="2019"/>
      <c r="M74" s="2019"/>
      <c r="N74" s="2019"/>
      <c r="O74" s="2055"/>
      <c r="P74" s="2055"/>
      <c r="Q74" s="2055"/>
      <c r="R74" s="2055"/>
      <c r="S74" s="2055"/>
      <c r="T74" s="2055"/>
      <c r="U74" s="2055"/>
      <c r="V74" s="2055"/>
      <c r="W74" s="2055"/>
      <c r="X74" s="2055"/>
      <c r="Y74" s="2055"/>
      <c r="Z74" s="2055"/>
      <c r="AA74" s="2056"/>
      <c r="AB74" s="1192"/>
      <c r="AC74" s="2081"/>
      <c r="AD74" s="2082"/>
      <c r="AE74" s="2082"/>
      <c r="AF74" s="2082"/>
      <c r="AG74" s="2082"/>
      <c r="AH74" s="2082"/>
      <c r="AI74" s="2082"/>
      <c r="AJ74" s="2082"/>
      <c r="AK74" s="2082"/>
      <c r="AL74" s="2082"/>
      <c r="AM74" s="2082"/>
      <c r="AN74" s="2082"/>
      <c r="AO74" s="2082"/>
      <c r="AP74" s="2082"/>
      <c r="AQ74" s="2082"/>
      <c r="AR74" s="2082"/>
      <c r="AS74" s="2082"/>
      <c r="AT74" s="2082"/>
      <c r="AU74" s="2082"/>
      <c r="AV74" s="2082"/>
      <c r="AW74" s="2082"/>
      <c r="AX74" s="2082"/>
      <c r="AY74" s="2082"/>
      <c r="AZ74" s="2082"/>
      <c r="BA74" s="2082"/>
      <c r="BB74" s="2082"/>
      <c r="BC74" s="2083"/>
      <c r="BD74" s="1192"/>
      <c r="BE74" s="1196"/>
      <c r="CK74" s="1190"/>
      <c r="CL74" s="1190"/>
      <c r="CM74" s="1190"/>
      <c r="CN74" s="1190"/>
      <c r="CO74" s="1190"/>
      <c r="CP74" s="1190"/>
    </row>
    <row r="75" spans="1:94" ht="15.75" customHeight="1" thickBot="1">
      <c r="A75" s="1192"/>
      <c r="B75" s="2088" t="s">
        <v>124</v>
      </c>
      <c r="C75" s="2089"/>
      <c r="D75" s="2089"/>
      <c r="E75" s="2089"/>
      <c r="F75" s="2089"/>
      <c r="G75" s="2089"/>
      <c r="H75" s="2089"/>
      <c r="I75" s="2089"/>
      <c r="J75" s="2089"/>
      <c r="K75" s="2089"/>
      <c r="L75" s="2089"/>
      <c r="M75" s="2089"/>
      <c r="N75" s="2089"/>
      <c r="O75" s="2090">
        <f>SUM(O70:AA74)</f>
        <v>0</v>
      </c>
      <c r="P75" s="2090"/>
      <c r="Q75" s="2090"/>
      <c r="R75" s="2090"/>
      <c r="S75" s="2090"/>
      <c r="T75" s="2090"/>
      <c r="U75" s="2090"/>
      <c r="V75" s="2090"/>
      <c r="W75" s="2090"/>
      <c r="X75" s="2090"/>
      <c r="Y75" s="2090"/>
      <c r="Z75" s="2090"/>
      <c r="AA75" s="2091"/>
      <c r="AB75" s="1192"/>
      <c r="AC75" s="2081"/>
      <c r="AD75" s="2082"/>
      <c r="AE75" s="2082"/>
      <c r="AF75" s="2082"/>
      <c r="AG75" s="2082"/>
      <c r="AH75" s="2082"/>
      <c r="AI75" s="2082"/>
      <c r="AJ75" s="2082"/>
      <c r="AK75" s="2082"/>
      <c r="AL75" s="2082"/>
      <c r="AM75" s="2082"/>
      <c r="AN75" s="2082"/>
      <c r="AO75" s="2082"/>
      <c r="AP75" s="2082"/>
      <c r="AQ75" s="2082"/>
      <c r="AR75" s="2082"/>
      <c r="AS75" s="2082"/>
      <c r="AT75" s="2082"/>
      <c r="AU75" s="2082"/>
      <c r="AV75" s="2082"/>
      <c r="AW75" s="2082"/>
      <c r="AX75" s="2082"/>
      <c r="AY75" s="2082"/>
      <c r="AZ75" s="2082"/>
      <c r="BA75" s="2082"/>
      <c r="BB75" s="2082"/>
      <c r="BC75" s="2083"/>
      <c r="BD75" s="1192"/>
      <c r="BE75" s="1196"/>
      <c r="CK75" s="1190"/>
      <c r="CL75" s="1190"/>
      <c r="CM75" s="1190"/>
      <c r="CN75" s="1190"/>
      <c r="CO75" s="1190"/>
      <c r="CP75" s="1190"/>
    </row>
    <row r="76" spans="1:94" ht="15.75" customHeight="1">
      <c r="A76" s="1192"/>
      <c r="B76" s="1192"/>
      <c r="C76" s="1192"/>
      <c r="D76" s="1192"/>
      <c r="E76" s="1192"/>
      <c r="F76" s="1192"/>
      <c r="G76" s="1192"/>
      <c r="H76" s="1192"/>
      <c r="I76" s="1192"/>
      <c r="J76" s="1192"/>
      <c r="K76" s="1192"/>
      <c r="L76" s="1192"/>
      <c r="M76" s="1192"/>
      <c r="N76" s="1192"/>
      <c r="O76" s="1192"/>
      <c r="P76" s="1192"/>
      <c r="Q76" s="1192"/>
      <c r="R76" s="1192"/>
      <c r="S76" s="1192"/>
      <c r="T76" s="1192"/>
      <c r="U76" s="1192"/>
      <c r="V76" s="1192"/>
      <c r="W76" s="1192"/>
      <c r="X76" s="1192"/>
      <c r="Y76" s="1192"/>
      <c r="Z76" s="1192"/>
      <c r="AA76" s="1192"/>
      <c r="AB76" s="1192"/>
      <c r="AC76" s="2081"/>
      <c r="AD76" s="2082"/>
      <c r="AE76" s="2082"/>
      <c r="AF76" s="2082"/>
      <c r="AG76" s="2082"/>
      <c r="AH76" s="2082"/>
      <c r="AI76" s="2082"/>
      <c r="AJ76" s="2082"/>
      <c r="AK76" s="2082"/>
      <c r="AL76" s="2082"/>
      <c r="AM76" s="2082"/>
      <c r="AN76" s="2082"/>
      <c r="AO76" s="2082"/>
      <c r="AP76" s="2082"/>
      <c r="AQ76" s="2082"/>
      <c r="AR76" s="2082"/>
      <c r="AS76" s="2082"/>
      <c r="AT76" s="2082"/>
      <c r="AU76" s="2082"/>
      <c r="AV76" s="2082"/>
      <c r="AW76" s="2082"/>
      <c r="AX76" s="2082"/>
      <c r="AY76" s="2082"/>
      <c r="AZ76" s="2082"/>
      <c r="BA76" s="2082"/>
      <c r="BB76" s="2082"/>
      <c r="BC76" s="2083"/>
      <c r="BD76" s="1192"/>
      <c r="BE76" s="1196"/>
      <c r="CK76" s="1190"/>
      <c r="CL76" s="1190"/>
      <c r="CM76" s="1190"/>
      <c r="CN76" s="1190"/>
      <c r="CO76" s="1190"/>
      <c r="CP76" s="1190"/>
    </row>
    <row r="77" spans="1:94" ht="15.75" customHeight="1" thickBot="1">
      <c r="A77" s="1192"/>
      <c r="B77" s="1192"/>
      <c r="C77" s="1192"/>
      <c r="D77" s="1192"/>
      <c r="E77" s="1192"/>
      <c r="F77" s="1192"/>
      <c r="G77" s="1192"/>
      <c r="H77" s="1192"/>
      <c r="I77" s="1192"/>
      <c r="J77" s="1192"/>
      <c r="K77" s="1192"/>
      <c r="L77" s="1192"/>
      <c r="M77" s="1192"/>
      <c r="N77" s="1192"/>
      <c r="O77" s="1192"/>
      <c r="P77" s="1192"/>
      <c r="Q77" s="1192"/>
      <c r="R77" s="1192"/>
      <c r="S77" s="1192"/>
      <c r="T77" s="1192"/>
      <c r="U77" s="1192"/>
      <c r="V77" s="1192"/>
      <c r="W77" s="1192"/>
      <c r="X77" s="1192"/>
      <c r="Y77" s="1192"/>
      <c r="Z77" s="1192"/>
      <c r="AA77" s="1192"/>
      <c r="AB77" s="1192"/>
      <c r="AC77" s="2084"/>
      <c r="AD77" s="2085"/>
      <c r="AE77" s="2085"/>
      <c r="AF77" s="2085"/>
      <c r="AG77" s="2085"/>
      <c r="AH77" s="2085"/>
      <c r="AI77" s="2085"/>
      <c r="AJ77" s="2085"/>
      <c r="AK77" s="2085"/>
      <c r="AL77" s="2085"/>
      <c r="AM77" s="2085"/>
      <c r="AN77" s="2085"/>
      <c r="AO77" s="2085"/>
      <c r="AP77" s="2085"/>
      <c r="AQ77" s="2085"/>
      <c r="AR77" s="2085"/>
      <c r="AS77" s="2085"/>
      <c r="AT77" s="2085"/>
      <c r="AU77" s="2085"/>
      <c r="AV77" s="2085"/>
      <c r="AW77" s="2085"/>
      <c r="AX77" s="2085"/>
      <c r="AY77" s="2085"/>
      <c r="AZ77" s="2085"/>
      <c r="BA77" s="2085"/>
      <c r="BB77" s="2085"/>
      <c r="BC77" s="2086"/>
      <c r="BD77" s="1192"/>
      <c r="BE77" s="1196"/>
      <c r="CK77" s="1190"/>
      <c r="CL77" s="1190"/>
      <c r="CM77" s="1190"/>
      <c r="CN77" s="1190"/>
      <c r="CO77" s="1190"/>
      <c r="CP77" s="1190"/>
    </row>
    <row r="78" spans="1:94" ht="15.75" customHeight="1" thickBot="1">
      <c r="A78" s="1192"/>
      <c r="B78" s="1204" t="s">
        <v>2388</v>
      </c>
      <c r="C78" s="1205"/>
      <c r="D78" s="1206"/>
      <c r="E78" s="1206"/>
      <c r="F78" s="1206"/>
      <c r="G78" s="1206"/>
      <c r="H78" s="1206"/>
      <c r="I78" s="1206"/>
      <c r="J78" s="1206"/>
      <c r="K78" s="1206"/>
      <c r="L78" s="1206"/>
      <c r="M78" s="1206"/>
      <c r="N78" s="1206"/>
      <c r="O78" s="1206"/>
      <c r="P78" s="1206"/>
      <c r="Q78" s="1206"/>
      <c r="R78" s="1206"/>
      <c r="S78" s="1206"/>
      <c r="T78" s="1207"/>
      <c r="U78" s="1192"/>
      <c r="V78" s="1192"/>
      <c r="W78" s="1192"/>
      <c r="X78" s="1192"/>
      <c r="Y78" s="1192"/>
      <c r="Z78" s="1192"/>
      <c r="AA78" s="1192"/>
      <c r="AB78" s="1192"/>
      <c r="AC78" s="1192"/>
      <c r="AD78" s="1192"/>
      <c r="AE78" s="1192"/>
      <c r="AF78" s="1192"/>
      <c r="AG78" s="1192"/>
      <c r="AH78" s="1192"/>
      <c r="AI78" s="1192"/>
      <c r="AJ78" s="1192"/>
      <c r="AK78" s="1192"/>
      <c r="AL78" s="1192"/>
      <c r="AM78" s="1192"/>
      <c r="AN78" s="1192"/>
      <c r="AO78" s="1192"/>
      <c r="AP78" s="1192"/>
      <c r="AQ78" s="1192"/>
      <c r="AR78" s="1192"/>
      <c r="AS78" s="1192"/>
      <c r="AT78" s="1192"/>
      <c r="AU78" s="1192"/>
      <c r="AV78" s="1192"/>
      <c r="AW78" s="1192"/>
      <c r="AX78" s="1192"/>
      <c r="AY78" s="1192"/>
      <c r="AZ78" s="1192"/>
      <c r="BA78" s="1192"/>
      <c r="BB78" s="1192"/>
      <c r="BC78" s="1192"/>
      <c r="BD78" s="1192"/>
      <c r="BE78" s="1196"/>
      <c r="CK78" s="1190"/>
      <c r="CL78" s="1190"/>
      <c r="CM78" s="1190"/>
      <c r="CN78" s="1190"/>
      <c r="CO78" s="1190"/>
      <c r="CP78" s="1190"/>
    </row>
    <row r="79" spans="1:94" ht="15.75" customHeight="1">
      <c r="A79" s="1192"/>
      <c r="B79" s="1204" t="s">
        <v>2287</v>
      </c>
      <c r="C79" s="1208"/>
      <c r="D79" s="1208"/>
      <c r="E79" s="1209"/>
      <c r="F79" s="2063"/>
      <c r="G79" s="2064"/>
      <c r="H79" s="2064"/>
      <c r="I79" s="2064"/>
      <c r="J79" s="2064"/>
      <c r="K79" s="2064"/>
      <c r="L79" s="2064"/>
      <c r="M79" s="2064"/>
      <c r="N79" s="2064"/>
      <c r="O79" s="2064"/>
      <c r="P79" s="2064"/>
      <c r="Q79" s="2064"/>
      <c r="R79" s="2064"/>
      <c r="S79" s="2064"/>
      <c r="T79" s="2065"/>
      <c r="U79" s="1192"/>
      <c r="V79" s="1192"/>
      <c r="W79" s="1192"/>
      <c r="X79" s="1192"/>
      <c r="Y79" s="1192"/>
      <c r="Z79" s="1192"/>
      <c r="AA79" s="1192"/>
      <c r="AB79" s="1192"/>
      <c r="AC79" s="1192"/>
      <c r="AD79" s="1192"/>
      <c r="AE79" s="1192"/>
      <c r="AF79" s="1192"/>
      <c r="AG79" s="1192"/>
      <c r="AH79" s="1192"/>
      <c r="AI79" s="1192"/>
      <c r="AJ79" s="1192"/>
      <c r="AK79" s="1192"/>
      <c r="AL79" s="1192"/>
      <c r="AM79" s="1192"/>
      <c r="AN79" s="1192"/>
      <c r="AO79" s="1192"/>
      <c r="AP79" s="1192"/>
      <c r="AQ79" s="1192"/>
      <c r="AR79" s="1192"/>
      <c r="AS79" s="1192"/>
      <c r="AT79" s="1192"/>
      <c r="AU79" s="1192"/>
      <c r="AV79" s="1192"/>
      <c r="AW79" s="1192"/>
      <c r="AX79" s="1192"/>
      <c r="AY79" s="1192"/>
      <c r="AZ79" s="1192"/>
      <c r="BA79" s="1192"/>
      <c r="BB79" s="1192"/>
      <c r="BC79" s="1192"/>
      <c r="BD79" s="1192"/>
      <c r="BE79" s="1196"/>
      <c r="CK79" s="1190"/>
      <c r="CL79" s="1190"/>
      <c r="CM79" s="1190"/>
      <c r="CN79" s="1190"/>
      <c r="CO79" s="1190"/>
      <c r="CP79" s="1190"/>
    </row>
    <row r="80" spans="1:94" ht="15.75" customHeight="1" thickBot="1">
      <c r="A80" s="1192"/>
      <c r="B80" s="2066" t="s">
        <v>2387</v>
      </c>
      <c r="C80" s="2067"/>
      <c r="D80" s="2067"/>
      <c r="E80" s="2067"/>
      <c r="F80" s="2067"/>
      <c r="G80" s="2067"/>
      <c r="H80" s="2067"/>
      <c r="I80" s="2067"/>
      <c r="J80" s="2067"/>
      <c r="K80" s="2067"/>
      <c r="L80" s="2067"/>
      <c r="M80" s="2067"/>
      <c r="N80" s="2067"/>
      <c r="O80" s="2067"/>
      <c r="P80" s="2067"/>
      <c r="Q80" s="2067"/>
      <c r="R80" s="2068" t="str">
        <f>IFERROR(INDEX(BR96:BR98,MATCH(F79,$BQ$96:$BQ$98,0))/SUM($BR$96:$BR$98),"")</f>
        <v/>
      </c>
      <c r="S80" s="2069"/>
      <c r="T80" s="2070"/>
      <c r="U80" s="1192"/>
      <c r="V80" s="1192"/>
      <c r="W80" s="1192"/>
      <c r="X80" s="1192"/>
      <c r="Y80" s="1192"/>
      <c r="Z80" s="1192"/>
      <c r="AA80" s="1192"/>
      <c r="AB80" s="1192"/>
      <c r="AC80" s="1192"/>
      <c r="AD80" s="1192"/>
      <c r="AE80" s="1192"/>
      <c r="AF80" s="1192"/>
      <c r="AG80" s="1192"/>
      <c r="AH80" s="1192"/>
      <c r="AI80" s="1192"/>
      <c r="AJ80" s="1192"/>
      <c r="AK80" s="1192"/>
      <c r="AL80" s="1192"/>
      <c r="AM80" s="1192"/>
      <c r="AN80" s="1192"/>
      <c r="AO80" s="1192"/>
      <c r="AP80" s="1192"/>
      <c r="AQ80" s="1192"/>
      <c r="AR80" s="1192"/>
      <c r="AS80" s="1192"/>
      <c r="AT80" s="1192"/>
      <c r="AU80" s="1192"/>
      <c r="AV80" s="1192"/>
      <c r="AW80" s="1192"/>
      <c r="AX80" s="1192"/>
      <c r="AY80" s="1192"/>
      <c r="AZ80" s="1192"/>
      <c r="BA80" s="1192"/>
      <c r="BB80" s="1192"/>
      <c r="BC80" s="1192"/>
      <c r="BD80" s="1192"/>
      <c r="BE80" s="1196"/>
      <c r="CK80" s="1190"/>
      <c r="CL80" s="1190"/>
      <c r="CM80" s="1190"/>
      <c r="CN80" s="1190"/>
      <c r="CO80" s="1190"/>
      <c r="CP80" s="1190"/>
    </row>
    <row r="81" spans="1:94" ht="15.75" customHeight="1" thickBot="1">
      <c r="A81" s="1192"/>
      <c r="B81" s="2071" t="s">
        <v>2386</v>
      </c>
      <c r="C81" s="2072"/>
      <c r="D81" s="2072"/>
      <c r="E81" s="2072"/>
      <c r="F81" s="2072"/>
      <c r="G81" s="2072"/>
      <c r="H81" s="2072"/>
      <c r="I81" s="2072"/>
      <c r="J81" s="2072"/>
      <c r="K81" s="2072"/>
      <c r="L81" s="2072"/>
      <c r="M81" s="2072"/>
      <c r="N81" s="2072"/>
      <c r="O81" s="2072"/>
      <c r="P81" s="2072"/>
      <c r="Q81" s="2072"/>
      <c r="R81" s="2073" t="s">
        <v>2190</v>
      </c>
      <c r="S81" s="2074"/>
      <c r="T81" s="2075"/>
      <c r="U81" s="1192"/>
      <c r="V81" s="1192"/>
      <c r="W81" s="1192"/>
      <c r="X81" s="1192"/>
      <c r="Y81" s="1192"/>
      <c r="Z81" s="1192"/>
      <c r="AA81" s="1192"/>
      <c r="AB81" s="1192"/>
      <c r="AC81" s="1192"/>
      <c r="AD81" s="1192"/>
      <c r="AE81" s="1192"/>
      <c r="AF81" s="1192"/>
      <c r="AG81" s="1192"/>
      <c r="AH81" s="1192"/>
      <c r="AI81" s="1192"/>
      <c r="AJ81" s="1192"/>
      <c r="AK81" s="1192"/>
      <c r="AL81" s="1192"/>
      <c r="AM81" s="1192"/>
      <c r="AN81" s="1192"/>
      <c r="AO81" s="1192"/>
      <c r="AP81" s="1192"/>
      <c r="AQ81" s="1192"/>
      <c r="AR81" s="1192"/>
      <c r="AS81" s="1192"/>
      <c r="AT81" s="1192"/>
      <c r="AU81" s="1192"/>
      <c r="AV81" s="1192"/>
      <c r="AW81" s="1192"/>
      <c r="AX81" s="1192"/>
      <c r="AY81" s="1192"/>
      <c r="AZ81" s="1192"/>
      <c r="BA81" s="1192"/>
      <c r="BB81" s="1192"/>
      <c r="BC81" s="1192"/>
      <c r="BD81" s="1192"/>
      <c r="BE81" s="1196"/>
      <c r="CK81" s="1190"/>
      <c r="CL81" s="1190"/>
      <c r="CM81" s="1190"/>
      <c r="CN81" s="1190"/>
      <c r="CO81" s="1190"/>
      <c r="CP81" s="1190"/>
    </row>
    <row r="82" spans="1:94" ht="15.75" customHeight="1" thickBot="1">
      <c r="A82" s="1192"/>
      <c r="B82" s="1192"/>
      <c r="C82" s="1192"/>
      <c r="D82" s="1192"/>
      <c r="E82" s="1192"/>
      <c r="F82" s="1192"/>
      <c r="G82" s="1192"/>
      <c r="H82" s="1192"/>
      <c r="I82" s="1192"/>
      <c r="J82" s="1192"/>
      <c r="K82" s="1192"/>
      <c r="L82" s="1192"/>
      <c r="M82" s="1192"/>
      <c r="N82" s="1192"/>
      <c r="O82" s="1192"/>
      <c r="P82" s="1192"/>
      <c r="Q82" s="1192"/>
      <c r="R82" s="1192"/>
      <c r="S82" s="1192"/>
      <c r="T82" s="1192"/>
      <c r="U82" s="1192"/>
      <c r="V82" s="1192"/>
      <c r="W82" s="1192"/>
      <c r="X82" s="1192"/>
      <c r="Y82" s="1192"/>
      <c r="Z82" s="1192"/>
      <c r="AA82" s="1192"/>
      <c r="AB82" s="1192"/>
      <c r="AC82" s="1192"/>
      <c r="AD82" s="1192"/>
      <c r="AE82" s="1192"/>
      <c r="AF82" s="1192"/>
      <c r="AG82" s="1192"/>
      <c r="AH82" s="1192"/>
      <c r="AI82" s="1192"/>
      <c r="AJ82" s="1192"/>
      <c r="AK82" s="1192"/>
      <c r="AL82" s="1192"/>
      <c r="AM82" s="1192"/>
      <c r="AN82" s="1192"/>
      <c r="AO82" s="1192"/>
      <c r="AP82" s="1192"/>
      <c r="AQ82" s="1192"/>
      <c r="AR82" s="1192"/>
      <c r="AS82" s="1192"/>
      <c r="AT82" s="1192"/>
      <c r="AU82" s="1192"/>
      <c r="AV82" s="1192"/>
      <c r="AW82" s="1192"/>
      <c r="AX82" s="1192"/>
      <c r="AY82" s="1192"/>
      <c r="AZ82" s="1192"/>
      <c r="BA82" s="1192"/>
      <c r="BB82" s="1192"/>
      <c r="BC82" s="1192"/>
      <c r="BD82" s="1192"/>
      <c r="BE82" s="1196"/>
      <c r="CK82" s="1190"/>
      <c r="CL82" s="1190"/>
      <c r="CM82" s="1190"/>
      <c r="CN82" s="1190"/>
      <c r="CO82" s="1190"/>
      <c r="CP82" s="1190"/>
    </row>
    <row r="83" spans="1:94" ht="15.75" customHeight="1">
      <c r="A83" s="1192"/>
      <c r="B83" s="2076" t="s">
        <v>2385</v>
      </c>
      <c r="C83" s="2077"/>
      <c r="D83" s="2077"/>
      <c r="E83" s="2077"/>
      <c r="F83" s="2077"/>
      <c r="G83" s="2077"/>
      <c r="H83" s="2077"/>
      <c r="I83" s="2077"/>
      <c r="J83" s="2077"/>
      <c r="K83" s="2077"/>
      <c r="L83" s="2077"/>
      <c r="M83" s="2077"/>
      <c r="N83" s="2077"/>
      <c r="O83" s="2077"/>
      <c r="P83" s="2077"/>
      <c r="Q83" s="2077"/>
      <c r="R83" s="2077"/>
      <c r="S83" s="2077"/>
      <c r="T83" s="2077"/>
      <c r="U83" s="2077"/>
      <c r="V83" s="2077"/>
      <c r="W83" s="2077"/>
      <c r="X83" s="2077"/>
      <c r="Y83" s="2077"/>
      <c r="Z83" s="2077"/>
      <c r="AA83" s="2077"/>
      <c r="AB83" s="2077"/>
      <c r="AC83" s="2077"/>
      <c r="AD83" s="2077"/>
      <c r="AE83" s="2077"/>
      <c r="AF83" s="2077"/>
      <c r="AG83" s="2077"/>
      <c r="AH83" s="2078"/>
      <c r="AI83" s="1192"/>
      <c r="AJ83" s="2094" t="s">
        <v>2384</v>
      </c>
      <c r="AK83" s="2095"/>
      <c r="AL83" s="2095"/>
      <c r="AM83" s="2095"/>
      <c r="AN83" s="2095"/>
      <c r="AO83" s="2095"/>
      <c r="AP83" s="2095"/>
      <c r="AQ83" s="2095"/>
      <c r="AR83" s="2095"/>
      <c r="AS83" s="2095"/>
      <c r="AT83" s="2095"/>
      <c r="AU83" s="2095"/>
      <c r="AV83" s="2095"/>
      <c r="AW83" s="2095"/>
      <c r="AX83" s="2095"/>
      <c r="AY83" s="2098" t="s">
        <v>545</v>
      </c>
      <c r="AZ83" s="2098"/>
      <c r="BA83" s="2098"/>
      <c r="BB83" s="2099"/>
      <c r="BC83" s="1192"/>
      <c r="BD83" s="1192"/>
      <c r="BE83" s="1196"/>
      <c r="CK83" s="1190"/>
      <c r="CL83" s="1190"/>
      <c r="CM83" s="1190"/>
      <c r="CN83" s="1190"/>
      <c r="CO83" s="1190"/>
      <c r="CP83" s="1190"/>
    </row>
    <row r="84" spans="1:94" ht="15.75" customHeight="1">
      <c r="A84" s="1192"/>
      <c r="B84" s="2015"/>
      <c r="C84" s="2016"/>
      <c r="D84" s="2016"/>
      <c r="E84" s="2016"/>
      <c r="F84" s="2016"/>
      <c r="G84" s="2016"/>
      <c r="H84" s="2016"/>
      <c r="I84" s="2016" t="s">
        <v>2374</v>
      </c>
      <c r="J84" s="2016"/>
      <c r="K84" s="2016"/>
      <c r="L84" s="2016"/>
      <c r="M84" s="2016"/>
      <c r="N84" s="2016"/>
      <c r="O84" s="2016" t="s">
        <v>2350</v>
      </c>
      <c r="P84" s="2016"/>
      <c r="Q84" s="2016"/>
      <c r="R84" s="2016"/>
      <c r="S84" s="2016"/>
      <c r="T84" s="2016"/>
      <c r="U84" s="2016"/>
      <c r="V84" s="2102" t="s">
        <v>2349</v>
      </c>
      <c r="W84" s="2102"/>
      <c r="X84" s="2102"/>
      <c r="Y84" s="2102"/>
      <c r="Z84" s="2102"/>
      <c r="AA84" s="2102"/>
      <c r="AB84" s="2103" t="s">
        <v>2373</v>
      </c>
      <c r="AC84" s="2103"/>
      <c r="AD84" s="2103"/>
      <c r="AE84" s="2103"/>
      <c r="AF84" s="2103"/>
      <c r="AG84" s="2103"/>
      <c r="AH84" s="2104"/>
      <c r="AI84" s="1192"/>
      <c r="AJ84" s="2096"/>
      <c r="AK84" s="2097"/>
      <c r="AL84" s="2097"/>
      <c r="AM84" s="2097"/>
      <c r="AN84" s="2097"/>
      <c r="AO84" s="2097"/>
      <c r="AP84" s="2097"/>
      <c r="AQ84" s="2097"/>
      <c r="AR84" s="2097"/>
      <c r="AS84" s="2097"/>
      <c r="AT84" s="2097"/>
      <c r="AU84" s="2097"/>
      <c r="AV84" s="2097"/>
      <c r="AW84" s="2097"/>
      <c r="AX84" s="2097"/>
      <c r="AY84" s="2100"/>
      <c r="AZ84" s="2100"/>
      <c r="BA84" s="2100"/>
      <c r="BB84" s="2101"/>
      <c r="BC84" s="1192"/>
      <c r="BD84" s="1192"/>
      <c r="BE84" s="1196"/>
      <c r="CK84" s="1190"/>
      <c r="CL84" s="1190"/>
      <c r="CM84" s="1190"/>
      <c r="CN84" s="1190"/>
      <c r="CO84" s="1190"/>
      <c r="CP84" s="1190"/>
    </row>
    <row r="85" spans="1:94" ht="15.75" customHeight="1">
      <c r="A85" s="1192"/>
      <c r="B85" s="2015"/>
      <c r="C85" s="2016"/>
      <c r="D85" s="2016"/>
      <c r="E85" s="2016"/>
      <c r="F85" s="2016"/>
      <c r="G85" s="2016"/>
      <c r="H85" s="2016"/>
      <c r="I85" s="2016"/>
      <c r="J85" s="2016"/>
      <c r="K85" s="2016"/>
      <c r="L85" s="2016"/>
      <c r="M85" s="2016"/>
      <c r="N85" s="2016"/>
      <c r="O85" s="2016"/>
      <c r="P85" s="2016"/>
      <c r="Q85" s="2016"/>
      <c r="R85" s="2016"/>
      <c r="S85" s="2016"/>
      <c r="T85" s="2016"/>
      <c r="U85" s="2016"/>
      <c r="V85" s="2102"/>
      <c r="W85" s="2102"/>
      <c r="X85" s="2102"/>
      <c r="Y85" s="2102"/>
      <c r="Z85" s="2102"/>
      <c r="AA85" s="2102"/>
      <c r="AB85" s="2103"/>
      <c r="AC85" s="2103"/>
      <c r="AD85" s="2103"/>
      <c r="AE85" s="2103"/>
      <c r="AF85" s="2103"/>
      <c r="AG85" s="2103"/>
      <c r="AH85" s="2104"/>
      <c r="AI85" s="1192"/>
      <c r="AJ85" s="2096"/>
      <c r="AK85" s="2097"/>
      <c r="AL85" s="2097"/>
      <c r="AM85" s="2097"/>
      <c r="AN85" s="2097"/>
      <c r="AO85" s="2097"/>
      <c r="AP85" s="2097"/>
      <c r="AQ85" s="2097"/>
      <c r="AR85" s="2097"/>
      <c r="AS85" s="2097"/>
      <c r="AT85" s="2097"/>
      <c r="AU85" s="2097"/>
      <c r="AV85" s="2097"/>
      <c r="AW85" s="2097"/>
      <c r="AX85" s="2097"/>
      <c r="AY85" s="2100"/>
      <c r="AZ85" s="2100"/>
      <c r="BA85" s="2100"/>
      <c r="BB85" s="2101"/>
      <c r="BC85" s="1192"/>
      <c r="BD85" s="1192"/>
      <c r="BE85" s="1196"/>
      <c r="CK85" s="1190"/>
      <c r="CL85" s="1190"/>
      <c r="CM85" s="1190"/>
      <c r="CN85" s="1190"/>
      <c r="CO85" s="1190"/>
      <c r="CP85" s="1190"/>
    </row>
    <row r="86" spans="1:94" ht="15.75" customHeight="1">
      <c r="A86" s="1192"/>
      <c r="B86" s="2015" t="s">
        <v>2372</v>
      </c>
      <c r="C86" s="2016"/>
      <c r="D86" s="2016"/>
      <c r="E86" s="2016"/>
      <c r="F86" s="2016"/>
      <c r="G86" s="2016"/>
      <c r="H86" s="2016"/>
      <c r="I86" s="2092">
        <v>0</v>
      </c>
      <c r="J86" s="2092"/>
      <c r="K86" s="2092"/>
      <c r="L86" s="2092"/>
      <c r="M86" s="2092"/>
      <c r="N86" s="2092"/>
      <c r="O86" s="2092">
        <v>0</v>
      </c>
      <c r="P86" s="2092"/>
      <c r="Q86" s="2092"/>
      <c r="R86" s="2092"/>
      <c r="S86" s="2092"/>
      <c r="T86" s="2092"/>
      <c r="U86" s="2092"/>
      <c r="V86" s="2092">
        <v>0</v>
      </c>
      <c r="W86" s="2092"/>
      <c r="X86" s="2092"/>
      <c r="Y86" s="2092"/>
      <c r="Z86" s="2092"/>
      <c r="AA86" s="2092"/>
      <c r="AB86" s="2092">
        <v>0</v>
      </c>
      <c r="AC86" s="2092"/>
      <c r="AD86" s="2092"/>
      <c r="AE86" s="2092"/>
      <c r="AF86" s="2092"/>
      <c r="AG86" s="2092"/>
      <c r="AH86" s="2093"/>
      <c r="AI86" s="1192"/>
      <c r="AJ86" s="2096"/>
      <c r="AK86" s="2097"/>
      <c r="AL86" s="2097"/>
      <c r="AM86" s="2097"/>
      <c r="AN86" s="2097"/>
      <c r="AO86" s="2097"/>
      <c r="AP86" s="2097"/>
      <c r="AQ86" s="2097"/>
      <c r="AR86" s="2097"/>
      <c r="AS86" s="2097"/>
      <c r="AT86" s="2097"/>
      <c r="AU86" s="2097"/>
      <c r="AV86" s="2097"/>
      <c r="AW86" s="2097"/>
      <c r="AX86" s="2097"/>
      <c r="AY86" s="2100"/>
      <c r="AZ86" s="2100"/>
      <c r="BA86" s="2100"/>
      <c r="BB86" s="2101"/>
      <c r="BC86" s="1192"/>
      <c r="BD86" s="1192"/>
      <c r="BE86" s="1196"/>
      <c r="CK86" s="1190"/>
      <c r="CL86" s="1190"/>
      <c r="CM86" s="1190"/>
      <c r="CN86" s="1190"/>
      <c r="CO86" s="1190"/>
      <c r="CP86" s="1190"/>
    </row>
    <row r="87" spans="1:94" ht="15.75" customHeight="1">
      <c r="A87" s="1192"/>
      <c r="B87" s="2015" t="s">
        <v>2371</v>
      </c>
      <c r="C87" s="2016"/>
      <c r="D87" s="2016"/>
      <c r="E87" s="2016"/>
      <c r="F87" s="2016"/>
      <c r="G87" s="2016"/>
      <c r="H87" s="2016"/>
      <c r="I87" s="2092">
        <v>0</v>
      </c>
      <c r="J87" s="2092"/>
      <c r="K87" s="2092"/>
      <c r="L87" s="2092"/>
      <c r="M87" s="2092"/>
      <c r="N87" s="2092"/>
      <c r="O87" s="2092">
        <v>0</v>
      </c>
      <c r="P87" s="2092"/>
      <c r="Q87" s="2092"/>
      <c r="R87" s="2092"/>
      <c r="S87" s="2092"/>
      <c r="T87" s="2092"/>
      <c r="U87" s="2092"/>
      <c r="V87" s="2092">
        <v>0</v>
      </c>
      <c r="W87" s="2092"/>
      <c r="X87" s="2092"/>
      <c r="Y87" s="2092"/>
      <c r="Z87" s="2092"/>
      <c r="AA87" s="2092"/>
      <c r="AB87" s="2092">
        <v>0</v>
      </c>
      <c r="AC87" s="2092"/>
      <c r="AD87" s="2092"/>
      <c r="AE87" s="2092"/>
      <c r="AF87" s="2092"/>
      <c r="AG87" s="2092"/>
      <c r="AH87" s="2093"/>
      <c r="AI87" s="1192"/>
      <c r="AJ87" s="2081" t="s">
        <v>2378</v>
      </c>
      <c r="AK87" s="2082"/>
      <c r="AL87" s="2082"/>
      <c r="AM87" s="2082"/>
      <c r="AN87" s="2082"/>
      <c r="AO87" s="2082"/>
      <c r="AP87" s="2082"/>
      <c r="AQ87" s="2082"/>
      <c r="AR87" s="2082"/>
      <c r="AS87" s="2082"/>
      <c r="AT87" s="2082"/>
      <c r="AU87" s="2082"/>
      <c r="AV87" s="2082"/>
      <c r="AW87" s="2082"/>
      <c r="AX87" s="2082"/>
      <c r="AY87" s="2082"/>
      <c r="AZ87" s="2082"/>
      <c r="BA87" s="2082"/>
      <c r="BB87" s="2083"/>
      <c r="BC87" s="1192"/>
      <c r="BD87" s="1192"/>
      <c r="BE87" s="1196"/>
      <c r="CK87" s="1190"/>
      <c r="CL87" s="1190"/>
      <c r="CM87" s="1190"/>
      <c r="CN87" s="1190"/>
      <c r="CO87" s="1190"/>
      <c r="CP87" s="1190"/>
    </row>
    <row r="88" spans="1:94" ht="15.75" customHeight="1" thickBot="1">
      <c r="A88" s="1192"/>
      <c r="B88" s="2033" t="s">
        <v>2370</v>
      </c>
      <c r="C88" s="2034"/>
      <c r="D88" s="2034"/>
      <c r="E88" s="2034"/>
      <c r="F88" s="2034"/>
      <c r="G88" s="2034"/>
      <c r="H88" s="2034"/>
      <c r="I88" s="2107">
        <v>0</v>
      </c>
      <c r="J88" s="2107"/>
      <c r="K88" s="2107"/>
      <c r="L88" s="2107"/>
      <c r="M88" s="2107"/>
      <c r="N88" s="2107"/>
      <c r="O88" s="2107">
        <v>0</v>
      </c>
      <c r="P88" s="2107"/>
      <c r="Q88" s="2107"/>
      <c r="R88" s="2107"/>
      <c r="S88" s="2107"/>
      <c r="T88" s="2107"/>
      <c r="U88" s="2107"/>
      <c r="V88" s="2107">
        <v>0</v>
      </c>
      <c r="W88" s="2107"/>
      <c r="X88" s="2107"/>
      <c r="Y88" s="2107"/>
      <c r="Z88" s="2107"/>
      <c r="AA88" s="2107"/>
      <c r="AB88" s="2107">
        <v>0</v>
      </c>
      <c r="AC88" s="2107"/>
      <c r="AD88" s="2107"/>
      <c r="AE88" s="2107"/>
      <c r="AF88" s="2107"/>
      <c r="AG88" s="2107"/>
      <c r="AH88" s="2108"/>
      <c r="AI88" s="1192"/>
      <c r="AJ88" s="2084"/>
      <c r="AK88" s="2085"/>
      <c r="AL88" s="2085"/>
      <c r="AM88" s="2085"/>
      <c r="AN88" s="2085"/>
      <c r="AO88" s="2085"/>
      <c r="AP88" s="2085"/>
      <c r="AQ88" s="2085"/>
      <c r="AR88" s="2085"/>
      <c r="AS88" s="2085"/>
      <c r="AT88" s="2085"/>
      <c r="AU88" s="2085"/>
      <c r="AV88" s="2085"/>
      <c r="AW88" s="2085"/>
      <c r="AX88" s="2085"/>
      <c r="AY88" s="2085"/>
      <c r="AZ88" s="2085"/>
      <c r="BA88" s="2085"/>
      <c r="BB88" s="2086"/>
      <c r="BC88" s="1192"/>
      <c r="BD88" s="1192"/>
      <c r="BE88" s="1196"/>
      <c r="CK88" s="1190"/>
      <c r="CL88" s="1190"/>
      <c r="CM88" s="1190"/>
      <c r="CN88" s="1190"/>
      <c r="CO88" s="1190"/>
      <c r="CP88" s="1190"/>
    </row>
    <row r="89" spans="1:94" ht="15.75" customHeight="1">
      <c r="A89" s="1192"/>
      <c r="B89" s="1192"/>
      <c r="C89" s="1192"/>
      <c r="D89" s="1192"/>
      <c r="E89" s="1192"/>
      <c r="F89" s="1192"/>
      <c r="G89" s="1192"/>
      <c r="H89" s="1192"/>
      <c r="I89" s="1192"/>
      <c r="J89" s="1192"/>
      <c r="K89" s="1192"/>
      <c r="L89" s="1192"/>
      <c r="M89" s="1192"/>
      <c r="N89" s="1192"/>
      <c r="O89" s="1192"/>
      <c r="P89" s="1192"/>
      <c r="Q89" s="1192"/>
      <c r="R89" s="1192"/>
      <c r="S89" s="1192"/>
      <c r="T89" s="1192"/>
      <c r="U89" s="1192"/>
      <c r="V89" s="1192"/>
      <c r="W89" s="1192"/>
      <c r="X89" s="1192"/>
      <c r="Y89" s="1192"/>
      <c r="Z89" s="1192"/>
      <c r="AA89" s="1192"/>
      <c r="AB89" s="1192"/>
      <c r="AC89" s="1192"/>
      <c r="AD89" s="1192"/>
      <c r="AE89" s="1192"/>
      <c r="AF89" s="1192"/>
      <c r="AG89" s="1192"/>
      <c r="AH89" s="1192"/>
      <c r="AI89" s="1192"/>
      <c r="AJ89" s="1192"/>
      <c r="AK89" s="1192"/>
      <c r="AL89" s="1192"/>
      <c r="AM89" s="1192"/>
      <c r="AN89" s="1192"/>
      <c r="AO89" s="1192"/>
      <c r="AP89" s="1192"/>
      <c r="AQ89" s="1192"/>
      <c r="AR89" s="1192"/>
      <c r="AS89" s="1192"/>
      <c r="AT89" s="1192"/>
      <c r="AU89" s="1192"/>
      <c r="AV89" s="1192"/>
      <c r="AW89" s="1192"/>
      <c r="AX89" s="1192"/>
      <c r="AY89" s="1192"/>
      <c r="AZ89" s="1192"/>
      <c r="BA89" s="1192"/>
      <c r="BB89" s="1192"/>
      <c r="BC89" s="1192"/>
      <c r="BD89" s="1192"/>
      <c r="BE89" s="1196"/>
      <c r="CM89" s="1190"/>
      <c r="CN89" s="1190"/>
      <c r="CO89" s="1190"/>
      <c r="CP89" s="1190"/>
    </row>
    <row r="90" spans="1:94" ht="15.75" customHeight="1" thickBot="1">
      <c r="A90" s="1192"/>
      <c r="B90" s="1192"/>
      <c r="C90" s="1192"/>
      <c r="D90" s="1192"/>
      <c r="E90" s="1192"/>
      <c r="F90" s="1192"/>
      <c r="G90" s="1192"/>
      <c r="H90" s="1192"/>
      <c r="I90" s="1192"/>
      <c r="J90" s="1192"/>
      <c r="K90" s="1192"/>
      <c r="L90" s="1192"/>
      <c r="M90" s="1192"/>
      <c r="N90" s="1192"/>
      <c r="O90" s="1192"/>
      <c r="P90" s="1192"/>
      <c r="Q90" s="1192"/>
      <c r="R90" s="1192"/>
      <c r="S90" s="1192"/>
      <c r="T90" s="1192"/>
      <c r="U90" s="1192"/>
      <c r="V90" s="1192"/>
      <c r="W90" s="1192"/>
      <c r="X90" s="1192"/>
      <c r="Y90" s="1192"/>
      <c r="Z90" s="1192"/>
      <c r="AA90" s="1192"/>
      <c r="AB90" s="1192"/>
      <c r="AC90" s="1192"/>
      <c r="AD90" s="1192"/>
      <c r="AE90" s="1192"/>
      <c r="AF90" s="1192"/>
      <c r="AG90" s="1192"/>
      <c r="AH90" s="1192"/>
      <c r="AI90" s="1192"/>
      <c r="AJ90" s="1192"/>
      <c r="AK90" s="1192"/>
      <c r="AL90" s="1192"/>
      <c r="AM90" s="1192"/>
      <c r="AN90" s="1192"/>
      <c r="AO90" s="1192"/>
      <c r="AP90" s="1192"/>
      <c r="AQ90" s="1192"/>
      <c r="AR90" s="1192"/>
      <c r="AS90" s="1192"/>
      <c r="AT90" s="1192"/>
      <c r="AU90" s="1192"/>
      <c r="AV90" s="1192"/>
      <c r="AW90" s="1192"/>
      <c r="AX90" s="1192"/>
      <c r="AY90" s="1192"/>
      <c r="AZ90" s="1192"/>
      <c r="BA90" s="1192"/>
      <c r="BB90" s="1192"/>
      <c r="BC90" s="1192"/>
      <c r="BD90" s="1192"/>
      <c r="BE90" s="1196"/>
      <c r="CM90" s="1190"/>
      <c r="CN90" s="1190"/>
      <c r="CO90" s="1190"/>
      <c r="CP90" s="1190"/>
    </row>
    <row r="91" spans="1:94" ht="15.75" customHeight="1" thickBot="1">
      <c r="A91" s="1192"/>
      <c r="B91" s="1204" t="s">
        <v>2383</v>
      </c>
      <c r="C91" s="1210"/>
      <c r="D91" s="1211"/>
      <c r="E91" s="1212"/>
      <c r="F91" s="1212"/>
      <c r="G91" s="1212"/>
      <c r="H91" s="1212"/>
      <c r="I91" s="1212"/>
      <c r="J91" s="1212"/>
      <c r="K91" s="1212"/>
      <c r="L91" s="1212"/>
      <c r="M91" s="1212"/>
      <c r="N91" s="1212"/>
      <c r="O91" s="1212"/>
      <c r="P91" s="1212"/>
      <c r="Q91" s="1212"/>
      <c r="R91" s="1212"/>
      <c r="S91" s="1212"/>
      <c r="T91" s="1213"/>
      <c r="U91" s="1192"/>
      <c r="V91" s="1192"/>
      <c r="W91" s="1192"/>
      <c r="X91" s="1192"/>
      <c r="Y91" s="1192"/>
      <c r="Z91" s="1192"/>
      <c r="AA91" s="1192"/>
      <c r="AB91" s="1192"/>
      <c r="AC91" s="1192"/>
      <c r="AD91" s="1192"/>
      <c r="AE91" s="1192"/>
      <c r="AF91" s="1192"/>
      <c r="AG91" s="1192"/>
      <c r="AH91" s="1192"/>
      <c r="AI91" s="1192"/>
      <c r="AJ91" s="1192"/>
      <c r="AK91" s="1192"/>
      <c r="AL91" s="1192"/>
      <c r="AM91" s="1192"/>
      <c r="AN91" s="1192"/>
      <c r="AO91" s="1192"/>
      <c r="AP91" s="1192"/>
      <c r="AQ91" s="1192"/>
      <c r="AR91" s="1192"/>
      <c r="AS91" s="1192"/>
      <c r="AT91" s="1192"/>
      <c r="AU91" s="1192"/>
      <c r="AV91" s="1192"/>
      <c r="AW91" s="1192"/>
      <c r="AX91" s="1192"/>
      <c r="AY91" s="1192"/>
      <c r="AZ91" s="1192"/>
      <c r="BA91" s="1192"/>
      <c r="BB91" s="1192"/>
      <c r="BC91" s="1192"/>
      <c r="BD91" s="1192"/>
      <c r="BE91" s="1196"/>
      <c r="BQ91" s="1214"/>
      <c r="CM91" s="1190"/>
      <c r="CN91" s="1190"/>
      <c r="CO91" s="1190"/>
      <c r="CP91" s="1190"/>
    </row>
    <row r="92" spans="1:94" ht="15.75" customHeight="1">
      <c r="A92" s="1192"/>
      <c r="B92" s="1215" t="s">
        <v>2287</v>
      </c>
      <c r="C92" s="1215"/>
      <c r="D92" s="1216"/>
      <c r="E92" s="1217"/>
      <c r="F92" s="2063"/>
      <c r="G92" s="2064"/>
      <c r="H92" s="2064"/>
      <c r="I92" s="2064"/>
      <c r="J92" s="2064"/>
      <c r="K92" s="2064"/>
      <c r="L92" s="2064"/>
      <c r="M92" s="2064"/>
      <c r="N92" s="2064"/>
      <c r="O92" s="2064"/>
      <c r="P92" s="2064"/>
      <c r="Q92" s="2064"/>
      <c r="R92" s="2064"/>
      <c r="S92" s="2064"/>
      <c r="T92" s="2065"/>
      <c r="U92" s="1192"/>
      <c r="V92" s="1192"/>
      <c r="W92" s="1192"/>
      <c r="X92" s="1192"/>
      <c r="Y92" s="1192"/>
      <c r="Z92" s="1192"/>
      <c r="AA92" s="1192"/>
      <c r="AB92" s="1192"/>
      <c r="AC92" s="1192"/>
      <c r="AD92" s="1192"/>
      <c r="AE92" s="1192"/>
      <c r="AF92" s="1192"/>
      <c r="AG92" s="1192"/>
      <c r="AH92" s="1192"/>
      <c r="AI92" s="1192"/>
      <c r="AJ92" s="1192"/>
      <c r="AK92" s="1192"/>
      <c r="AL92" s="1192"/>
      <c r="AM92" s="1192"/>
      <c r="AN92" s="1192"/>
      <c r="AO92" s="1192"/>
      <c r="AP92" s="1192"/>
      <c r="AQ92" s="1192"/>
      <c r="AR92" s="1192"/>
      <c r="AS92" s="1192"/>
      <c r="AT92" s="1192"/>
      <c r="AU92" s="1192"/>
      <c r="AV92" s="1192"/>
      <c r="AW92" s="1192"/>
      <c r="AX92" s="1192"/>
      <c r="AY92" s="1192"/>
      <c r="AZ92" s="1192"/>
      <c r="BA92" s="1192"/>
      <c r="BB92" s="1192"/>
      <c r="BC92" s="1192"/>
      <c r="BD92" s="1192"/>
      <c r="BE92" s="1196"/>
      <c r="CM92" s="1190"/>
      <c r="CN92" s="1190"/>
      <c r="CO92" s="1190"/>
      <c r="CP92" s="1190"/>
    </row>
    <row r="93" spans="1:94" ht="15.75" customHeight="1" thickBot="1">
      <c r="A93" s="1192"/>
      <c r="B93" s="2066" t="s">
        <v>2382</v>
      </c>
      <c r="C93" s="2067"/>
      <c r="D93" s="2067"/>
      <c r="E93" s="2067"/>
      <c r="F93" s="2067"/>
      <c r="G93" s="2067"/>
      <c r="H93" s="2067"/>
      <c r="I93" s="2067"/>
      <c r="J93" s="2067"/>
      <c r="K93" s="2067"/>
      <c r="L93" s="2067"/>
      <c r="M93" s="2067"/>
      <c r="N93" s="2067"/>
      <c r="O93" s="2067"/>
      <c r="P93" s="2067"/>
      <c r="Q93" s="2105"/>
      <c r="R93" s="2068" t="str">
        <f>IFERROR(INDEX(BR96:BR98,MATCH(F92,$BQ$96:$BQ$98,0))/SUM($BR$96:$BR$98),"")</f>
        <v/>
      </c>
      <c r="S93" s="2069"/>
      <c r="T93" s="2070"/>
      <c r="U93" s="1192"/>
      <c r="V93" s="1192"/>
      <c r="W93" s="1192"/>
      <c r="X93" s="1192"/>
      <c r="Y93" s="1192"/>
      <c r="Z93" s="1192"/>
      <c r="AA93" s="1192"/>
      <c r="AB93" s="1192"/>
      <c r="AC93" s="1192"/>
      <c r="AD93" s="1192"/>
      <c r="AE93" s="1192"/>
      <c r="AF93" s="1192"/>
      <c r="AG93" s="1192"/>
      <c r="AH93" s="1192"/>
      <c r="AI93" s="1192"/>
      <c r="AJ93" s="1192"/>
      <c r="AK93" s="1192"/>
      <c r="AL93" s="1192"/>
      <c r="AM93" s="1192"/>
      <c r="AN93" s="1192"/>
      <c r="AO93" s="1192"/>
      <c r="AP93" s="1192"/>
      <c r="AQ93" s="1192"/>
      <c r="AR93" s="1192"/>
      <c r="AS93" s="1192"/>
      <c r="AT93" s="1192"/>
      <c r="AU93" s="1192"/>
      <c r="AV93" s="1192"/>
      <c r="AW93" s="1192"/>
      <c r="AX93" s="1192"/>
      <c r="AY93" s="1192"/>
      <c r="AZ93" s="1192"/>
      <c r="BA93" s="1192"/>
      <c r="BB93" s="1192"/>
      <c r="BC93" s="1192"/>
      <c r="BD93" s="1192"/>
      <c r="BE93" s="1196"/>
      <c r="CM93" s="1190"/>
      <c r="CN93" s="1190"/>
      <c r="CO93" s="1190"/>
      <c r="CP93" s="1190"/>
    </row>
    <row r="94" spans="1:94" ht="15.75" customHeight="1" thickBot="1">
      <c r="A94" s="1192"/>
      <c r="B94" s="2071" t="s">
        <v>2381</v>
      </c>
      <c r="C94" s="2072"/>
      <c r="D94" s="2072"/>
      <c r="E94" s="2072"/>
      <c r="F94" s="2072"/>
      <c r="G94" s="2072"/>
      <c r="H94" s="2072"/>
      <c r="I94" s="2072"/>
      <c r="J94" s="2072"/>
      <c r="K94" s="2072"/>
      <c r="L94" s="2072"/>
      <c r="M94" s="2072"/>
      <c r="N94" s="2072"/>
      <c r="O94" s="2072"/>
      <c r="P94" s="2072"/>
      <c r="Q94" s="2106"/>
      <c r="R94" s="2073" t="s">
        <v>2190</v>
      </c>
      <c r="S94" s="2074"/>
      <c r="T94" s="2075"/>
      <c r="U94" s="1192"/>
      <c r="V94" s="1192"/>
      <c r="W94" s="1192"/>
      <c r="X94" s="1192"/>
      <c r="Y94" s="1192"/>
      <c r="Z94" s="1192"/>
      <c r="AA94" s="1192"/>
      <c r="AB94" s="1192"/>
      <c r="AC94" s="1192"/>
      <c r="AD94" s="1192"/>
      <c r="AE94" s="1192"/>
      <c r="AF94" s="1192"/>
      <c r="AG94" s="1192"/>
      <c r="AH94" s="1192"/>
      <c r="AI94" s="1192"/>
      <c r="AJ94" s="1192"/>
      <c r="AK94" s="1192"/>
      <c r="AL94" s="1192"/>
      <c r="AM94" s="1192"/>
      <c r="AN94" s="1192"/>
      <c r="AO94" s="1192"/>
      <c r="AP94" s="1192"/>
      <c r="AQ94" s="1192"/>
      <c r="AR94" s="1192"/>
      <c r="AS94" s="1192"/>
      <c r="AT94" s="1192"/>
      <c r="AU94" s="1192"/>
      <c r="AV94" s="1192"/>
      <c r="AW94" s="1192"/>
      <c r="AX94" s="1192"/>
      <c r="AY94" s="1192"/>
      <c r="AZ94" s="1192"/>
      <c r="BA94" s="1192"/>
      <c r="BB94" s="1192"/>
      <c r="BC94" s="1192"/>
      <c r="BD94" s="1192"/>
      <c r="BE94" s="1196"/>
      <c r="CM94" s="1190"/>
      <c r="CN94" s="1190"/>
      <c r="CO94" s="1190"/>
      <c r="CP94" s="1190"/>
    </row>
    <row r="95" spans="1:94" ht="15.75" customHeight="1" thickBot="1">
      <c r="A95" s="1192"/>
      <c r="B95" s="1192"/>
      <c r="C95" s="1192"/>
      <c r="D95" s="1192"/>
      <c r="E95" s="1192"/>
      <c r="F95" s="1192"/>
      <c r="G95" s="1192"/>
      <c r="H95" s="1192"/>
      <c r="I95" s="1192"/>
      <c r="J95" s="1192"/>
      <c r="K95" s="1192"/>
      <c r="L95" s="1192"/>
      <c r="M95" s="1192"/>
      <c r="N95" s="1192"/>
      <c r="O95" s="1192"/>
      <c r="P95" s="1192"/>
      <c r="Q95" s="1192"/>
      <c r="R95" s="1192"/>
      <c r="S95" s="1192"/>
      <c r="T95" s="1192"/>
      <c r="U95" s="1192"/>
      <c r="V95" s="1192"/>
      <c r="W95" s="1192"/>
      <c r="X95" s="1192"/>
      <c r="Y95" s="1192"/>
      <c r="Z95" s="1192"/>
      <c r="AA95" s="1192"/>
      <c r="AB95" s="1192"/>
      <c r="AC95" s="1192"/>
      <c r="AD95" s="1192"/>
      <c r="AE95" s="1192"/>
      <c r="AF95" s="1192"/>
      <c r="AG95" s="1192"/>
      <c r="AH95" s="1192"/>
      <c r="AI95" s="1192"/>
      <c r="AJ95" s="1192"/>
      <c r="AK95" s="1192"/>
      <c r="AL95" s="1192"/>
      <c r="AM95" s="1192"/>
      <c r="AN95" s="1192"/>
      <c r="AO95" s="1192"/>
      <c r="AP95" s="1192"/>
      <c r="AQ95" s="1192"/>
      <c r="AR95" s="1192"/>
      <c r="AS95" s="1192"/>
      <c r="AT95" s="1192"/>
      <c r="AU95" s="1192"/>
      <c r="AV95" s="1192"/>
      <c r="AW95" s="1192"/>
      <c r="AX95" s="1192"/>
      <c r="AY95" s="1192"/>
      <c r="AZ95" s="1192"/>
      <c r="BA95" s="1192"/>
      <c r="BB95" s="1192"/>
      <c r="BC95" s="1192"/>
      <c r="BD95" s="1192"/>
      <c r="BE95" s="1196"/>
      <c r="CM95" s="1190"/>
      <c r="CN95" s="1190"/>
      <c r="CO95" s="1190"/>
      <c r="CP95" s="1190"/>
    </row>
    <row r="96" spans="1:94" ht="15.75" customHeight="1">
      <c r="A96" s="1192"/>
      <c r="B96" s="2076" t="s">
        <v>2380</v>
      </c>
      <c r="C96" s="2077"/>
      <c r="D96" s="2077"/>
      <c r="E96" s="2077"/>
      <c r="F96" s="2077"/>
      <c r="G96" s="2077"/>
      <c r="H96" s="2077"/>
      <c r="I96" s="2077"/>
      <c r="J96" s="2077"/>
      <c r="K96" s="2077"/>
      <c r="L96" s="2077"/>
      <c r="M96" s="2077"/>
      <c r="N96" s="2077"/>
      <c r="O96" s="2077"/>
      <c r="P96" s="2077"/>
      <c r="Q96" s="2077"/>
      <c r="R96" s="2077"/>
      <c r="S96" s="2077"/>
      <c r="T96" s="2077"/>
      <c r="U96" s="2077"/>
      <c r="V96" s="2077"/>
      <c r="W96" s="2077"/>
      <c r="X96" s="2077"/>
      <c r="Y96" s="2077"/>
      <c r="Z96" s="2077"/>
      <c r="AA96" s="2077"/>
      <c r="AB96" s="2077"/>
      <c r="AC96" s="2077"/>
      <c r="AD96" s="2077"/>
      <c r="AE96" s="2077"/>
      <c r="AF96" s="2077"/>
      <c r="AG96" s="2077"/>
      <c r="AH96" s="2078"/>
      <c r="AI96" s="1192"/>
      <c r="AJ96" s="2094" t="s">
        <v>2379</v>
      </c>
      <c r="AK96" s="2095"/>
      <c r="AL96" s="2095"/>
      <c r="AM96" s="2095"/>
      <c r="AN96" s="2095"/>
      <c r="AO96" s="2095"/>
      <c r="AP96" s="2095"/>
      <c r="AQ96" s="2095"/>
      <c r="AR96" s="2095"/>
      <c r="AS96" s="2095"/>
      <c r="AT96" s="2095"/>
      <c r="AU96" s="2095"/>
      <c r="AV96" s="2095"/>
      <c r="AW96" s="2095"/>
      <c r="AX96" s="2095"/>
      <c r="AY96" s="2098" t="s">
        <v>545</v>
      </c>
      <c r="AZ96" s="2098"/>
      <c r="BA96" s="2098"/>
      <c r="BB96" s="2099"/>
      <c r="BC96" s="1192"/>
      <c r="BD96" s="1192"/>
      <c r="BE96" s="1196"/>
      <c r="BQ96" s="1189" t="str">
        <f>Application!M243&amp;IF(TRIM(Application!AA249)&lt;&gt;""," ("&amp;Application!AA249&amp;")","")</f>
        <v>AHG Fairways, LLC (Affirmed Housing Group)</v>
      </c>
      <c r="BR96" s="1218">
        <f>Application!AH246</f>
        <v>0.01</v>
      </c>
      <c r="CM96" s="1190"/>
      <c r="CN96" s="1190"/>
      <c r="CO96" s="1190"/>
      <c r="CP96" s="1190"/>
    </row>
    <row r="97" spans="1:94" ht="15.75" customHeight="1">
      <c r="A97" s="1192"/>
      <c r="B97" s="2015"/>
      <c r="C97" s="2016"/>
      <c r="D97" s="2016"/>
      <c r="E97" s="2016"/>
      <c r="F97" s="2016"/>
      <c r="G97" s="2016"/>
      <c r="H97" s="2016"/>
      <c r="I97" s="2016" t="s">
        <v>2374</v>
      </c>
      <c r="J97" s="2016"/>
      <c r="K97" s="2016"/>
      <c r="L97" s="2016"/>
      <c r="M97" s="2016"/>
      <c r="N97" s="2016"/>
      <c r="O97" s="2016" t="s">
        <v>2350</v>
      </c>
      <c r="P97" s="2016"/>
      <c r="Q97" s="2016"/>
      <c r="R97" s="2016"/>
      <c r="S97" s="2016"/>
      <c r="T97" s="2016"/>
      <c r="U97" s="2016"/>
      <c r="V97" s="2102" t="s">
        <v>2349</v>
      </c>
      <c r="W97" s="2102"/>
      <c r="X97" s="2102"/>
      <c r="Y97" s="2102"/>
      <c r="Z97" s="2102"/>
      <c r="AA97" s="2102"/>
      <c r="AB97" s="2103" t="s">
        <v>2373</v>
      </c>
      <c r="AC97" s="2103"/>
      <c r="AD97" s="2103"/>
      <c r="AE97" s="2103"/>
      <c r="AF97" s="2103"/>
      <c r="AG97" s="2103"/>
      <c r="AH97" s="2104"/>
      <c r="AI97" s="1192"/>
      <c r="AJ97" s="2096"/>
      <c r="AK97" s="2097"/>
      <c r="AL97" s="2097"/>
      <c r="AM97" s="2097"/>
      <c r="AN97" s="2097"/>
      <c r="AO97" s="2097"/>
      <c r="AP97" s="2097"/>
      <c r="AQ97" s="2097"/>
      <c r="AR97" s="2097"/>
      <c r="AS97" s="2097"/>
      <c r="AT97" s="2097"/>
      <c r="AU97" s="2097"/>
      <c r="AV97" s="2097"/>
      <c r="AW97" s="2097"/>
      <c r="AX97" s="2097"/>
      <c r="AY97" s="2100"/>
      <c r="AZ97" s="2100"/>
      <c r="BA97" s="2100"/>
      <c r="BB97" s="2101"/>
      <c r="BC97" s="1192"/>
      <c r="BD97" s="1192"/>
      <c r="BE97" s="1196"/>
      <c r="BQ97" s="1189" t="str">
        <f>Application!M251&amp;IF(TRIM(Application!AA257)&lt;&gt;""," ("&amp;Application!AA257&amp;")","")</f>
        <v>CFAH Housing, LLC (Compass for Affordable Housing)</v>
      </c>
      <c r="BR97" s="1218">
        <f>Application!AH254</f>
        <v>0.99</v>
      </c>
      <c r="CM97" s="1190"/>
      <c r="CN97" s="1190"/>
      <c r="CO97" s="1190"/>
      <c r="CP97" s="1190"/>
    </row>
    <row r="98" spans="1:94" ht="15.75" customHeight="1">
      <c r="A98" s="1192"/>
      <c r="B98" s="2015"/>
      <c r="C98" s="2016"/>
      <c r="D98" s="2016"/>
      <c r="E98" s="2016"/>
      <c r="F98" s="2016"/>
      <c r="G98" s="2016"/>
      <c r="H98" s="2016"/>
      <c r="I98" s="2016"/>
      <c r="J98" s="2016"/>
      <c r="K98" s="2016"/>
      <c r="L98" s="2016"/>
      <c r="M98" s="2016"/>
      <c r="N98" s="2016"/>
      <c r="O98" s="2016"/>
      <c r="P98" s="2016"/>
      <c r="Q98" s="2016"/>
      <c r="R98" s="2016"/>
      <c r="S98" s="2016"/>
      <c r="T98" s="2016"/>
      <c r="U98" s="2016"/>
      <c r="V98" s="2102"/>
      <c r="W98" s="2102"/>
      <c r="X98" s="2102"/>
      <c r="Y98" s="2102"/>
      <c r="Z98" s="2102"/>
      <c r="AA98" s="2102"/>
      <c r="AB98" s="2103"/>
      <c r="AC98" s="2103"/>
      <c r="AD98" s="2103"/>
      <c r="AE98" s="2103"/>
      <c r="AF98" s="2103"/>
      <c r="AG98" s="2103"/>
      <c r="AH98" s="2104"/>
      <c r="AI98" s="1192"/>
      <c r="AJ98" s="2096"/>
      <c r="AK98" s="2097"/>
      <c r="AL98" s="2097"/>
      <c r="AM98" s="2097"/>
      <c r="AN98" s="2097"/>
      <c r="AO98" s="2097"/>
      <c r="AP98" s="2097"/>
      <c r="AQ98" s="2097"/>
      <c r="AR98" s="2097"/>
      <c r="AS98" s="2097"/>
      <c r="AT98" s="2097"/>
      <c r="AU98" s="2097"/>
      <c r="AV98" s="2097"/>
      <c r="AW98" s="2097"/>
      <c r="AX98" s="2097"/>
      <c r="AY98" s="2100"/>
      <c r="AZ98" s="2100"/>
      <c r="BA98" s="2100"/>
      <c r="BB98" s="2101"/>
      <c r="BC98" s="1192"/>
      <c r="BD98" s="1192"/>
      <c r="BE98" s="1196"/>
      <c r="BQ98" s="1189" t="str">
        <f>Application!M259&amp;IF(TRIM(Application!AA265)&lt;&gt;""," ("&amp;Application!AA265&amp;")","")</f>
        <v/>
      </c>
      <c r="BR98" s="1218">
        <f>Application!AH262</f>
        <v>0</v>
      </c>
      <c r="CM98" s="1190"/>
      <c r="CN98" s="1190"/>
      <c r="CO98" s="1190"/>
      <c r="CP98" s="1190"/>
    </row>
    <row r="99" spans="1:94" ht="15.75" customHeight="1">
      <c r="A99" s="1192"/>
      <c r="B99" s="2015" t="s">
        <v>2372</v>
      </c>
      <c r="C99" s="2016"/>
      <c r="D99" s="2016"/>
      <c r="E99" s="2016"/>
      <c r="F99" s="2016"/>
      <c r="G99" s="2016"/>
      <c r="H99" s="2016"/>
      <c r="I99" s="2092">
        <v>0</v>
      </c>
      <c r="J99" s="2092"/>
      <c r="K99" s="2092"/>
      <c r="L99" s="2092"/>
      <c r="M99" s="2092"/>
      <c r="N99" s="2092"/>
      <c r="O99" s="2092">
        <v>0</v>
      </c>
      <c r="P99" s="2092"/>
      <c r="Q99" s="2092"/>
      <c r="R99" s="2092"/>
      <c r="S99" s="2092"/>
      <c r="T99" s="2092"/>
      <c r="U99" s="2092"/>
      <c r="V99" s="2092">
        <v>0</v>
      </c>
      <c r="W99" s="2092"/>
      <c r="X99" s="2092"/>
      <c r="Y99" s="2092"/>
      <c r="Z99" s="2092"/>
      <c r="AA99" s="2092"/>
      <c r="AB99" s="2092">
        <v>0</v>
      </c>
      <c r="AC99" s="2092"/>
      <c r="AD99" s="2092"/>
      <c r="AE99" s="2092"/>
      <c r="AF99" s="2092"/>
      <c r="AG99" s="2092"/>
      <c r="AH99" s="2093"/>
      <c r="AI99" s="1192"/>
      <c r="AJ99" s="2096"/>
      <c r="AK99" s="2097"/>
      <c r="AL99" s="2097"/>
      <c r="AM99" s="2097"/>
      <c r="AN99" s="2097"/>
      <c r="AO99" s="2097"/>
      <c r="AP99" s="2097"/>
      <c r="AQ99" s="2097"/>
      <c r="AR99" s="2097"/>
      <c r="AS99" s="2097"/>
      <c r="AT99" s="2097"/>
      <c r="AU99" s="2097"/>
      <c r="AV99" s="2097"/>
      <c r="AW99" s="2097"/>
      <c r="AX99" s="2097"/>
      <c r="AY99" s="2100"/>
      <c r="AZ99" s="2100"/>
      <c r="BA99" s="2100"/>
      <c r="BB99" s="2101"/>
      <c r="BC99" s="1192"/>
      <c r="BD99" s="1192"/>
      <c r="BE99" s="1196"/>
      <c r="CM99" s="1190"/>
      <c r="CN99" s="1190"/>
      <c r="CO99" s="1190"/>
      <c r="CP99" s="1190"/>
    </row>
    <row r="100" spans="1:94" ht="15.75" customHeight="1">
      <c r="A100" s="1192"/>
      <c r="B100" s="2015" t="s">
        <v>2371</v>
      </c>
      <c r="C100" s="2016"/>
      <c r="D100" s="2016"/>
      <c r="E100" s="2016"/>
      <c r="F100" s="2016"/>
      <c r="G100" s="2016"/>
      <c r="H100" s="2016"/>
      <c r="I100" s="2092">
        <v>0</v>
      </c>
      <c r="J100" s="2092"/>
      <c r="K100" s="2092"/>
      <c r="L100" s="2092"/>
      <c r="M100" s="2092"/>
      <c r="N100" s="2092"/>
      <c r="O100" s="2092">
        <v>0</v>
      </c>
      <c r="P100" s="2092"/>
      <c r="Q100" s="2092"/>
      <c r="R100" s="2092"/>
      <c r="S100" s="2092"/>
      <c r="T100" s="2092"/>
      <c r="U100" s="2092"/>
      <c r="V100" s="2092">
        <v>0</v>
      </c>
      <c r="W100" s="2092"/>
      <c r="X100" s="2092"/>
      <c r="Y100" s="2092"/>
      <c r="Z100" s="2092"/>
      <c r="AA100" s="2092"/>
      <c r="AB100" s="2092">
        <v>0</v>
      </c>
      <c r="AC100" s="2092"/>
      <c r="AD100" s="2092"/>
      <c r="AE100" s="2092"/>
      <c r="AF100" s="2092"/>
      <c r="AG100" s="2092"/>
      <c r="AH100" s="2093"/>
      <c r="AI100" s="1192"/>
      <c r="AJ100" s="2081" t="s">
        <v>2378</v>
      </c>
      <c r="AK100" s="2082"/>
      <c r="AL100" s="2082"/>
      <c r="AM100" s="2082"/>
      <c r="AN100" s="2082"/>
      <c r="AO100" s="2082"/>
      <c r="AP100" s="2082"/>
      <c r="AQ100" s="2082"/>
      <c r="AR100" s="2082"/>
      <c r="AS100" s="2082"/>
      <c r="AT100" s="2082"/>
      <c r="AU100" s="2082"/>
      <c r="AV100" s="2082"/>
      <c r="AW100" s="2082"/>
      <c r="AX100" s="2082"/>
      <c r="AY100" s="2082"/>
      <c r="AZ100" s="2082"/>
      <c r="BA100" s="2082"/>
      <c r="BB100" s="2083"/>
      <c r="BC100" s="1192"/>
      <c r="BD100" s="1192"/>
      <c r="BE100" s="1196"/>
      <c r="CM100" s="1190"/>
      <c r="CN100" s="1190"/>
      <c r="CO100" s="1190"/>
      <c r="CP100" s="1190"/>
    </row>
    <row r="101" spans="1:94" ht="15.75" customHeight="1" thickBot="1">
      <c r="A101" s="1192"/>
      <c r="B101" s="2033" t="s">
        <v>2370</v>
      </c>
      <c r="C101" s="2034"/>
      <c r="D101" s="2034"/>
      <c r="E101" s="2034"/>
      <c r="F101" s="2034"/>
      <c r="G101" s="2034"/>
      <c r="H101" s="2034"/>
      <c r="I101" s="2107">
        <v>0</v>
      </c>
      <c r="J101" s="2107"/>
      <c r="K101" s="2107"/>
      <c r="L101" s="2107"/>
      <c r="M101" s="2107"/>
      <c r="N101" s="2107"/>
      <c r="O101" s="2107">
        <v>0</v>
      </c>
      <c r="P101" s="2107"/>
      <c r="Q101" s="2107"/>
      <c r="R101" s="2107"/>
      <c r="S101" s="2107"/>
      <c r="T101" s="2107"/>
      <c r="U101" s="2107"/>
      <c r="V101" s="2107">
        <v>0</v>
      </c>
      <c r="W101" s="2107"/>
      <c r="X101" s="2107"/>
      <c r="Y101" s="2107"/>
      <c r="Z101" s="2107"/>
      <c r="AA101" s="2107"/>
      <c r="AB101" s="2107">
        <v>0</v>
      </c>
      <c r="AC101" s="2107"/>
      <c r="AD101" s="2107"/>
      <c r="AE101" s="2107"/>
      <c r="AF101" s="2107"/>
      <c r="AG101" s="2107"/>
      <c r="AH101" s="2108"/>
      <c r="AI101" s="1192"/>
      <c r="AJ101" s="2084"/>
      <c r="AK101" s="2085"/>
      <c r="AL101" s="2085"/>
      <c r="AM101" s="2085"/>
      <c r="AN101" s="2085"/>
      <c r="AO101" s="2085"/>
      <c r="AP101" s="2085"/>
      <c r="AQ101" s="2085"/>
      <c r="AR101" s="2085"/>
      <c r="AS101" s="2085"/>
      <c r="AT101" s="2085"/>
      <c r="AU101" s="2085"/>
      <c r="AV101" s="2085"/>
      <c r="AW101" s="2085"/>
      <c r="AX101" s="2085"/>
      <c r="AY101" s="2085"/>
      <c r="AZ101" s="2085"/>
      <c r="BA101" s="2085"/>
      <c r="BB101" s="2086"/>
      <c r="BC101" s="1192"/>
      <c r="BD101" s="1192"/>
      <c r="BE101" s="1196"/>
      <c r="CM101" s="1190"/>
      <c r="CN101" s="1190"/>
      <c r="CO101" s="1190"/>
      <c r="CP101" s="1190"/>
    </row>
    <row r="102" spans="1:94" ht="15.75" customHeight="1" thickBot="1">
      <c r="A102" s="1192"/>
      <c r="B102" s="1192"/>
      <c r="C102" s="1192"/>
      <c r="D102" s="1192"/>
      <c r="E102" s="1192"/>
      <c r="F102" s="1192"/>
      <c r="G102" s="1192"/>
      <c r="H102" s="1192"/>
      <c r="I102" s="1192"/>
      <c r="J102" s="1192"/>
      <c r="K102" s="1192"/>
      <c r="L102" s="1192"/>
      <c r="M102" s="1192"/>
      <c r="N102" s="1192"/>
      <c r="O102" s="1192"/>
      <c r="P102" s="1192"/>
      <c r="Q102" s="1192"/>
      <c r="R102" s="1192"/>
      <c r="S102" s="1192"/>
      <c r="T102" s="1192"/>
      <c r="U102" s="1192"/>
      <c r="V102" s="1192"/>
      <c r="W102" s="1192"/>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192"/>
      <c r="AS102" s="1192"/>
      <c r="AT102" s="1192"/>
      <c r="AU102" s="1192"/>
      <c r="AV102" s="1192"/>
      <c r="AW102" s="1192"/>
      <c r="AX102" s="1192"/>
      <c r="AY102" s="1192"/>
      <c r="AZ102" s="1192"/>
      <c r="BA102" s="1192"/>
      <c r="BB102" s="1192"/>
      <c r="BC102" s="1192"/>
      <c r="BD102" s="1192"/>
      <c r="BE102" s="1196"/>
      <c r="CM102" s="1190"/>
      <c r="CN102" s="1190"/>
      <c r="CO102" s="1190"/>
      <c r="CP102" s="1190"/>
    </row>
    <row r="103" spans="1:94" ht="15.75" customHeight="1" thickBot="1">
      <c r="A103" s="1192"/>
      <c r="B103" s="1211" t="s">
        <v>2377</v>
      </c>
      <c r="C103" s="1205"/>
      <c r="D103" s="1206"/>
      <c r="E103" s="1206"/>
      <c r="F103" s="1219"/>
      <c r="G103" s="1219"/>
      <c r="H103" s="1219"/>
      <c r="I103" s="1219"/>
      <c r="J103" s="1219"/>
      <c r="K103" s="1219"/>
      <c r="L103" s="1219"/>
      <c r="M103" s="1219"/>
      <c r="N103" s="1219"/>
      <c r="O103" s="1220"/>
      <c r="P103" s="1219"/>
      <c r="Q103" s="1219"/>
      <c r="R103" s="1220"/>
      <c r="S103" s="1192" t="s">
        <v>250</v>
      </c>
      <c r="T103" s="1192"/>
      <c r="U103" s="1192"/>
      <c r="V103" s="1192"/>
      <c r="W103" s="1192"/>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192"/>
      <c r="AS103" s="1192"/>
      <c r="AT103" s="1192"/>
      <c r="AU103" s="1192"/>
      <c r="AV103" s="1192"/>
      <c r="AW103" s="1192"/>
      <c r="AX103" s="1192"/>
      <c r="AY103" s="1192"/>
      <c r="AZ103" s="1192"/>
      <c r="BA103" s="1192"/>
      <c r="BB103" s="1192"/>
      <c r="BC103" s="1192"/>
      <c r="BD103" s="1192"/>
      <c r="BE103" s="1196"/>
      <c r="CM103" s="1190"/>
      <c r="CN103" s="1190"/>
      <c r="CO103" s="1190"/>
      <c r="CP103" s="1190"/>
    </row>
    <row r="104" spans="1:94" ht="15.75" customHeight="1">
      <c r="A104" s="1192"/>
      <c r="B104" s="1215" t="s">
        <v>2287</v>
      </c>
      <c r="C104" s="1215"/>
      <c r="D104" s="1221"/>
      <c r="E104" s="1222"/>
      <c r="F104" s="2109"/>
      <c r="G104" s="2110"/>
      <c r="H104" s="2110"/>
      <c r="I104" s="2110"/>
      <c r="J104" s="2110"/>
      <c r="K104" s="2110"/>
      <c r="L104" s="2110"/>
      <c r="M104" s="2110"/>
      <c r="N104" s="2110"/>
      <c r="O104" s="2110"/>
      <c r="P104" s="2110"/>
      <c r="Q104" s="2110"/>
      <c r="R104" s="2111"/>
      <c r="S104" s="1192"/>
      <c r="T104" s="1192"/>
      <c r="U104" s="1192"/>
      <c r="V104" s="1192"/>
      <c r="W104" s="1192"/>
      <c r="X104" s="1192"/>
      <c r="Y104" s="1192"/>
      <c r="Z104" s="1192"/>
      <c r="AA104" s="1192"/>
      <c r="AB104" s="1192"/>
      <c r="AC104" s="1192"/>
      <c r="AD104" s="1192"/>
      <c r="AE104" s="1192"/>
      <c r="AF104" s="1192"/>
      <c r="AG104" s="1192"/>
      <c r="AH104" s="1192"/>
      <c r="AI104" s="1192"/>
      <c r="AJ104" s="1192"/>
      <c r="AK104" s="1192"/>
      <c r="AL104" s="1192"/>
      <c r="AM104" s="1192"/>
      <c r="AN104" s="1192"/>
      <c r="AO104" s="1192"/>
      <c r="AP104" s="1192"/>
      <c r="AQ104" s="1192"/>
      <c r="AR104" s="1192"/>
      <c r="AS104" s="1192"/>
      <c r="AT104" s="1192"/>
      <c r="AU104" s="1192"/>
      <c r="AV104" s="1192"/>
      <c r="AW104" s="1192"/>
      <c r="AX104" s="1192"/>
      <c r="AY104" s="1192"/>
      <c r="AZ104" s="1192"/>
      <c r="BA104" s="1192"/>
      <c r="BB104" s="1192"/>
      <c r="BC104" s="1192"/>
      <c r="BD104" s="1192"/>
      <c r="BE104" s="1196"/>
      <c r="CM104" s="1190"/>
      <c r="CN104" s="1190"/>
      <c r="CO104" s="1190"/>
      <c r="CP104" s="1190"/>
    </row>
    <row r="105" spans="1:94" ht="15.75" customHeight="1" thickBot="1">
      <c r="A105" s="1192"/>
      <c r="B105" s="1223" t="s">
        <v>2376</v>
      </c>
      <c r="C105" s="1224"/>
      <c r="D105" s="1225"/>
      <c r="E105" s="1225"/>
      <c r="F105" s="1225"/>
      <c r="G105" s="1225"/>
      <c r="H105" s="1225"/>
      <c r="I105" s="1225"/>
      <c r="J105" s="1225"/>
      <c r="K105" s="1225"/>
      <c r="L105" s="1226"/>
      <c r="M105" s="1225"/>
      <c r="N105" s="1226"/>
      <c r="O105" s="2073" t="str">
        <f>IFERROR(INDEX(BR96:BR98,MATCH(F104,$BQ$96:$BQ$98,0))/SUM($BR$96:$BR$98),"")</f>
        <v/>
      </c>
      <c r="P105" s="2074"/>
      <c r="Q105" s="2074"/>
      <c r="R105" s="2075"/>
      <c r="S105" s="1192"/>
      <c r="T105" s="1192"/>
      <c r="U105" s="1192"/>
      <c r="V105" s="1192"/>
      <c r="W105" s="1192"/>
      <c r="X105" s="1192"/>
      <c r="Y105" s="1192"/>
      <c r="Z105" s="1192"/>
      <c r="AA105" s="1192"/>
      <c r="AB105" s="1192"/>
      <c r="AC105" s="1192"/>
      <c r="AD105" s="1192"/>
      <c r="AE105" s="1192"/>
      <c r="AF105" s="1192"/>
      <c r="AG105" s="1192"/>
      <c r="AH105" s="1192"/>
      <c r="AI105" s="1192"/>
      <c r="AJ105" s="1192"/>
      <c r="AK105" s="1192"/>
      <c r="AL105" s="1192"/>
      <c r="AM105" s="1192"/>
      <c r="AN105" s="1192"/>
      <c r="AO105" s="1192"/>
      <c r="AP105" s="1192"/>
      <c r="AQ105" s="1192"/>
      <c r="AR105" s="1192"/>
      <c r="AS105" s="1192"/>
      <c r="AT105" s="1192"/>
      <c r="AU105" s="1192"/>
      <c r="AV105" s="1192"/>
      <c r="AW105" s="1192"/>
      <c r="AX105" s="1192"/>
      <c r="AY105" s="1192"/>
      <c r="AZ105" s="1192"/>
      <c r="BA105" s="1192"/>
      <c r="BB105" s="1192"/>
      <c r="BC105" s="1192"/>
      <c r="BD105" s="1192"/>
      <c r="BE105" s="1196"/>
      <c r="CM105" s="1190"/>
      <c r="CN105" s="1190"/>
      <c r="CO105" s="1190"/>
      <c r="CP105" s="1190"/>
    </row>
    <row r="106" spans="1:94" ht="15.75" customHeight="1" thickBot="1">
      <c r="A106" s="1192"/>
      <c r="B106" s="1192"/>
      <c r="C106" s="1192"/>
      <c r="D106" s="1192"/>
      <c r="E106" s="1192"/>
      <c r="F106" s="1192"/>
      <c r="G106" s="1192"/>
      <c r="H106" s="1192"/>
      <c r="I106" s="1192"/>
      <c r="J106" s="1192"/>
      <c r="K106" s="1192"/>
      <c r="L106" s="1192"/>
      <c r="M106" s="1192"/>
      <c r="N106" s="1192"/>
      <c r="O106" s="1192"/>
      <c r="P106" s="1227"/>
      <c r="Q106" s="1192"/>
      <c r="R106" s="1192"/>
      <c r="S106" s="1192"/>
      <c r="T106" s="1192"/>
      <c r="U106" s="1192"/>
      <c r="V106" s="1192"/>
      <c r="W106" s="1192"/>
      <c r="X106" s="1192"/>
      <c r="Y106" s="1192"/>
      <c r="Z106" s="1192"/>
      <c r="AA106" s="1192"/>
      <c r="AB106" s="1192"/>
      <c r="AC106" s="1192"/>
      <c r="AD106" s="1192"/>
      <c r="AE106" s="1192"/>
      <c r="AF106" s="1192"/>
      <c r="AG106" s="1192"/>
      <c r="AH106" s="1192"/>
      <c r="AI106" s="1192"/>
      <c r="AJ106" s="1192"/>
      <c r="AK106" s="1192"/>
      <c r="AL106" s="1192"/>
      <c r="AM106" s="1192"/>
      <c r="AN106" s="1192"/>
      <c r="AO106" s="1192"/>
      <c r="AP106" s="1192"/>
      <c r="AQ106" s="1192"/>
      <c r="AR106" s="1192"/>
      <c r="AS106" s="1192"/>
      <c r="AT106" s="1192"/>
      <c r="AU106" s="1192"/>
      <c r="AV106" s="1192"/>
      <c r="AW106" s="1192"/>
      <c r="AX106" s="1192"/>
      <c r="AY106" s="1192"/>
      <c r="AZ106" s="1192"/>
      <c r="BA106" s="1192"/>
      <c r="BB106" s="1192"/>
      <c r="BC106" s="1192"/>
      <c r="BD106" s="1192"/>
      <c r="BE106" s="1196"/>
      <c r="CM106" s="1190"/>
      <c r="CN106" s="1190"/>
      <c r="CO106" s="1190"/>
      <c r="CP106" s="1190"/>
    </row>
    <row r="107" spans="1:94" ht="15.75" customHeight="1">
      <c r="A107" s="1192"/>
      <c r="B107" s="2061" t="s">
        <v>2375</v>
      </c>
      <c r="C107" s="2062"/>
      <c r="D107" s="2062"/>
      <c r="E107" s="2062"/>
      <c r="F107" s="2062"/>
      <c r="G107" s="2062"/>
      <c r="H107" s="2062"/>
      <c r="I107" s="2062"/>
      <c r="J107" s="2062"/>
      <c r="K107" s="2062"/>
      <c r="L107" s="2062"/>
      <c r="M107" s="2062"/>
      <c r="N107" s="2062"/>
      <c r="O107" s="2062"/>
      <c r="P107" s="2062"/>
      <c r="Q107" s="2062"/>
      <c r="R107" s="2062"/>
      <c r="S107" s="2062"/>
      <c r="T107" s="2062"/>
      <c r="U107" s="2062"/>
      <c r="V107" s="2062"/>
      <c r="W107" s="2062"/>
      <c r="X107" s="2062"/>
      <c r="Y107" s="2062"/>
      <c r="Z107" s="2062"/>
      <c r="AA107" s="2062"/>
      <c r="AB107" s="2062"/>
      <c r="AC107" s="2062"/>
      <c r="AD107" s="2062"/>
      <c r="AE107" s="2062"/>
      <c r="AF107" s="2062"/>
      <c r="AG107" s="2062"/>
      <c r="AH107" s="2112"/>
      <c r="AI107" s="1192"/>
      <c r="AJ107" s="1192"/>
      <c r="AK107" s="1192"/>
      <c r="AL107" s="1192"/>
      <c r="AM107" s="1192"/>
      <c r="AN107" s="1192"/>
      <c r="AO107" s="1192"/>
      <c r="AP107" s="1192"/>
      <c r="AQ107" s="1192"/>
      <c r="AR107" s="1192"/>
      <c r="AS107" s="1192"/>
      <c r="AT107" s="1192"/>
      <c r="AU107" s="1192"/>
      <c r="AV107" s="1192"/>
      <c r="AW107" s="1192"/>
      <c r="AX107" s="1192"/>
      <c r="AY107" s="1192"/>
      <c r="AZ107" s="1192"/>
      <c r="BA107" s="1192"/>
      <c r="BB107" s="1192"/>
      <c r="BC107" s="1192"/>
      <c r="BD107" s="1192"/>
      <c r="BE107" s="1196"/>
      <c r="CM107" s="1190"/>
      <c r="CN107" s="1190"/>
      <c r="CO107" s="1190"/>
      <c r="CP107" s="1190"/>
    </row>
    <row r="108" spans="1:94" ht="16.5" customHeight="1">
      <c r="A108" s="1192"/>
      <c r="B108" s="2015"/>
      <c r="C108" s="2016"/>
      <c r="D108" s="2016"/>
      <c r="E108" s="2016"/>
      <c r="F108" s="2016"/>
      <c r="G108" s="2016"/>
      <c r="H108" s="2016"/>
      <c r="I108" s="2016" t="s">
        <v>2374</v>
      </c>
      <c r="J108" s="2016"/>
      <c r="K108" s="2016"/>
      <c r="L108" s="2016"/>
      <c r="M108" s="2016"/>
      <c r="N108" s="2016"/>
      <c r="O108" s="2016" t="s">
        <v>2350</v>
      </c>
      <c r="P108" s="2016"/>
      <c r="Q108" s="2016"/>
      <c r="R108" s="2016"/>
      <c r="S108" s="2016"/>
      <c r="T108" s="2016"/>
      <c r="U108" s="2016"/>
      <c r="V108" s="2102" t="s">
        <v>2349</v>
      </c>
      <c r="W108" s="2102"/>
      <c r="X108" s="2102"/>
      <c r="Y108" s="2102"/>
      <c r="Z108" s="2102"/>
      <c r="AA108" s="2102"/>
      <c r="AB108" s="2103" t="s">
        <v>2373</v>
      </c>
      <c r="AC108" s="2103"/>
      <c r="AD108" s="2103"/>
      <c r="AE108" s="2103"/>
      <c r="AF108" s="2103"/>
      <c r="AG108" s="2103"/>
      <c r="AH108" s="2104"/>
      <c r="AI108" s="1192"/>
      <c r="AJ108" s="1192"/>
      <c r="AK108" s="1192"/>
      <c r="AL108" s="1192"/>
      <c r="AM108" s="1192"/>
      <c r="AN108" s="1192"/>
      <c r="AO108" s="1192"/>
      <c r="AP108" s="1192"/>
      <c r="AQ108" s="1192"/>
      <c r="AR108" s="1192"/>
      <c r="AS108" s="1192"/>
      <c r="AT108" s="1192"/>
      <c r="AU108" s="1192"/>
      <c r="AV108" s="1192"/>
      <c r="AW108" s="1192"/>
      <c r="AX108" s="1192"/>
      <c r="AY108" s="1192"/>
      <c r="AZ108" s="1192"/>
      <c r="BA108" s="1192"/>
      <c r="BB108" s="1192"/>
      <c r="BC108" s="1192"/>
      <c r="BD108" s="1192"/>
      <c r="BE108" s="1196"/>
      <c r="CM108" s="1190"/>
      <c r="CN108" s="1190"/>
      <c r="CO108" s="1190"/>
      <c r="CP108" s="1190"/>
    </row>
    <row r="109" spans="1:94" ht="16.5" customHeight="1">
      <c r="A109" s="1192"/>
      <c r="B109" s="2015"/>
      <c r="C109" s="2016"/>
      <c r="D109" s="2016"/>
      <c r="E109" s="2016"/>
      <c r="F109" s="2016"/>
      <c r="G109" s="2016"/>
      <c r="H109" s="2016"/>
      <c r="I109" s="2016"/>
      <c r="J109" s="2016"/>
      <c r="K109" s="2016"/>
      <c r="L109" s="2016"/>
      <c r="M109" s="2016"/>
      <c r="N109" s="2016"/>
      <c r="O109" s="2016"/>
      <c r="P109" s="2016"/>
      <c r="Q109" s="2016"/>
      <c r="R109" s="2016"/>
      <c r="S109" s="2016"/>
      <c r="T109" s="2016"/>
      <c r="U109" s="2016"/>
      <c r="V109" s="2102"/>
      <c r="W109" s="2102"/>
      <c r="X109" s="2102"/>
      <c r="Y109" s="2102"/>
      <c r="Z109" s="2102"/>
      <c r="AA109" s="2102"/>
      <c r="AB109" s="2103"/>
      <c r="AC109" s="2103"/>
      <c r="AD109" s="2103"/>
      <c r="AE109" s="2103"/>
      <c r="AF109" s="2103"/>
      <c r="AG109" s="2103"/>
      <c r="AH109" s="2104"/>
      <c r="AI109" s="1192"/>
      <c r="AJ109" s="1192"/>
      <c r="AK109" s="1192"/>
      <c r="AL109" s="1192"/>
      <c r="AM109" s="1192"/>
      <c r="AN109" s="1192"/>
      <c r="AO109" s="1192"/>
      <c r="AP109" s="1192"/>
      <c r="AQ109" s="1192"/>
      <c r="AR109" s="1192"/>
      <c r="AS109" s="1192"/>
      <c r="AT109" s="1192"/>
      <c r="AU109" s="1192"/>
      <c r="AV109" s="1192"/>
      <c r="AW109" s="1192"/>
      <c r="AX109" s="1192"/>
      <c r="AY109" s="1192"/>
      <c r="AZ109" s="1192"/>
      <c r="BA109" s="1192"/>
      <c r="BB109" s="1192"/>
      <c r="BC109" s="1192"/>
      <c r="BD109" s="1192"/>
      <c r="BE109" s="1196"/>
      <c r="CM109" s="1190"/>
      <c r="CN109" s="1190"/>
      <c r="CO109" s="1190"/>
      <c r="CP109" s="1190"/>
    </row>
    <row r="110" spans="1:94" ht="15.75" customHeight="1">
      <c r="A110" s="1192"/>
      <c r="B110" s="2015" t="s">
        <v>2372</v>
      </c>
      <c r="C110" s="2016"/>
      <c r="D110" s="2016"/>
      <c r="E110" s="2016"/>
      <c r="F110" s="2016"/>
      <c r="G110" s="2016"/>
      <c r="H110" s="2016"/>
      <c r="I110" s="2092">
        <v>0</v>
      </c>
      <c r="J110" s="2092"/>
      <c r="K110" s="2092"/>
      <c r="L110" s="2092"/>
      <c r="M110" s="2092"/>
      <c r="N110" s="2092"/>
      <c r="O110" s="2092">
        <v>0</v>
      </c>
      <c r="P110" s="2092"/>
      <c r="Q110" s="2092"/>
      <c r="R110" s="2092"/>
      <c r="S110" s="2092"/>
      <c r="T110" s="2092"/>
      <c r="U110" s="2092"/>
      <c r="V110" s="2092">
        <v>0</v>
      </c>
      <c r="W110" s="2092"/>
      <c r="X110" s="2092"/>
      <c r="Y110" s="2092"/>
      <c r="Z110" s="2092"/>
      <c r="AA110" s="2092"/>
      <c r="AB110" s="2092">
        <v>0</v>
      </c>
      <c r="AC110" s="2092"/>
      <c r="AD110" s="2092"/>
      <c r="AE110" s="2092"/>
      <c r="AF110" s="2092"/>
      <c r="AG110" s="2092"/>
      <c r="AH110" s="2093"/>
      <c r="AI110" s="1192"/>
      <c r="AJ110" s="1192"/>
      <c r="AK110" s="1192"/>
      <c r="AL110" s="1192"/>
      <c r="AM110" s="1192"/>
      <c r="AN110" s="1192"/>
      <c r="AO110" s="1192"/>
      <c r="AP110" s="1192"/>
      <c r="AQ110" s="1192"/>
      <c r="AR110" s="1192"/>
      <c r="AS110" s="1192"/>
      <c r="AT110" s="1192"/>
      <c r="AU110" s="1192"/>
      <c r="AV110" s="1192"/>
      <c r="AW110" s="1192"/>
      <c r="AX110" s="1192"/>
      <c r="AY110" s="1192"/>
      <c r="AZ110" s="1192"/>
      <c r="BA110" s="1192"/>
      <c r="BB110" s="1192"/>
      <c r="BC110" s="1192"/>
      <c r="BD110" s="1192"/>
      <c r="BE110" s="1196"/>
      <c r="CM110" s="1190"/>
      <c r="CN110" s="1190"/>
      <c r="CO110" s="1190"/>
      <c r="CP110" s="1190"/>
    </row>
    <row r="111" spans="1:94" ht="15.75" customHeight="1">
      <c r="A111" s="1192"/>
      <c r="B111" s="2015" t="s">
        <v>2371</v>
      </c>
      <c r="C111" s="2016"/>
      <c r="D111" s="2016"/>
      <c r="E111" s="2016"/>
      <c r="F111" s="2016"/>
      <c r="G111" s="2016"/>
      <c r="H111" s="2016"/>
      <c r="I111" s="2092">
        <v>0</v>
      </c>
      <c r="J111" s="2092"/>
      <c r="K111" s="2092"/>
      <c r="L111" s="2092"/>
      <c r="M111" s="2092"/>
      <c r="N111" s="2092"/>
      <c r="O111" s="2092">
        <v>0</v>
      </c>
      <c r="P111" s="2092"/>
      <c r="Q111" s="2092"/>
      <c r="R111" s="2092"/>
      <c r="S111" s="2092"/>
      <c r="T111" s="2092"/>
      <c r="U111" s="2092"/>
      <c r="V111" s="2092">
        <v>0</v>
      </c>
      <c r="W111" s="2092"/>
      <c r="X111" s="2092"/>
      <c r="Y111" s="2092"/>
      <c r="Z111" s="2092"/>
      <c r="AA111" s="2092"/>
      <c r="AB111" s="2092">
        <v>0</v>
      </c>
      <c r="AC111" s="2092"/>
      <c r="AD111" s="2092"/>
      <c r="AE111" s="2092"/>
      <c r="AF111" s="2092"/>
      <c r="AG111" s="2092"/>
      <c r="AH111" s="2093"/>
      <c r="AI111" s="1192"/>
      <c r="AJ111" s="1192"/>
      <c r="AK111" s="1192"/>
      <c r="AL111" s="1192"/>
      <c r="AM111" s="1192"/>
      <c r="AN111" s="1192"/>
      <c r="AO111" s="1192"/>
      <c r="AP111" s="1192"/>
      <c r="AQ111" s="1192"/>
      <c r="AR111" s="1192"/>
      <c r="AS111" s="1192"/>
      <c r="AT111" s="1192"/>
      <c r="AU111" s="1192"/>
      <c r="AV111" s="1192"/>
      <c r="AW111" s="1192"/>
      <c r="AX111" s="1192"/>
      <c r="AY111" s="1192"/>
      <c r="AZ111" s="1192"/>
      <c r="BA111" s="1192"/>
      <c r="BB111" s="1192"/>
      <c r="BC111" s="1192"/>
      <c r="BD111" s="1192"/>
      <c r="BE111" s="1196"/>
      <c r="CM111" s="1190"/>
      <c r="CN111" s="1190"/>
      <c r="CO111" s="1190"/>
      <c r="CP111" s="1190"/>
    </row>
    <row r="112" spans="1:94" ht="15.75" customHeight="1" thickBot="1">
      <c r="A112" s="1192"/>
      <c r="B112" s="2033" t="s">
        <v>2370</v>
      </c>
      <c r="C112" s="2034"/>
      <c r="D112" s="2034"/>
      <c r="E112" s="2034"/>
      <c r="F112" s="2034"/>
      <c r="G112" s="2034"/>
      <c r="H112" s="2034"/>
      <c r="I112" s="2107">
        <v>0</v>
      </c>
      <c r="J112" s="2107"/>
      <c r="K112" s="2107"/>
      <c r="L112" s="2107"/>
      <c r="M112" s="2107"/>
      <c r="N112" s="2107"/>
      <c r="O112" s="2107">
        <v>0</v>
      </c>
      <c r="P112" s="2107"/>
      <c r="Q112" s="2107"/>
      <c r="R112" s="2107"/>
      <c r="S112" s="2107"/>
      <c r="T112" s="2107"/>
      <c r="U112" s="2107"/>
      <c r="V112" s="2107">
        <v>0</v>
      </c>
      <c r="W112" s="2107"/>
      <c r="X112" s="2107"/>
      <c r="Y112" s="2107"/>
      <c r="Z112" s="2107"/>
      <c r="AA112" s="2107"/>
      <c r="AB112" s="2107">
        <v>0</v>
      </c>
      <c r="AC112" s="2107"/>
      <c r="AD112" s="2107"/>
      <c r="AE112" s="2107"/>
      <c r="AF112" s="2107"/>
      <c r="AG112" s="2107"/>
      <c r="AH112" s="2108"/>
      <c r="AI112" s="1192"/>
      <c r="AJ112" s="1192"/>
      <c r="AK112" s="1192"/>
      <c r="AL112" s="1192"/>
      <c r="AM112" s="1192"/>
      <c r="AN112" s="1192"/>
      <c r="AO112" s="1192"/>
      <c r="AP112" s="1192"/>
      <c r="AQ112" s="1192"/>
      <c r="AR112" s="1192"/>
      <c r="AS112" s="1192"/>
      <c r="AT112" s="1192"/>
      <c r="AU112" s="1192"/>
      <c r="AV112" s="1192"/>
      <c r="AW112" s="1192"/>
      <c r="AX112" s="1192"/>
      <c r="AY112" s="1192"/>
      <c r="AZ112" s="1192"/>
      <c r="BA112" s="1192"/>
      <c r="BB112" s="1192"/>
      <c r="BC112" s="1192"/>
      <c r="BD112" s="1192"/>
      <c r="BE112" s="1196"/>
      <c r="CM112" s="1190"/>
      <c r="CN112" s="1190"/>
      <c r="CO112" s="1190"/>
      <c r="CP112" s="1190"/>
    </row>
    <row r="113" spans="1:57" ht="15.75" customHeight="1" thickBot="1">
      <c r="A113" s="1192"/>
      <c r="B113" s="1192"/>
      <c r="C113" s="1192"/>
      <c r="D113" s="1192"/>
      <c r="E113" s="1192"/>
      <c r="F113" s="1192"/>
      <c r="G113" s="1192"/>
      <c r="H113" s="1192"/>
      <c r="I113" s="1192"/>
      <c r="J113" s="1192"/>
      <c r="K113" s="1192"/>
      <c r="L113" s="1192"/>
      <c r="M113" s="1192"/>
      <c r="N113" s="1192"/>
      <c r="O113" s="1192"/>
      <c r="P113" s="1192"/>
      <c r="Q113" s="1192"/>
      <c r="R113" s="1192"/>
      <c r="S113" s="1192"/>
      <c r="T113" s="1192"/>
      <c r="U113" s="1192" t="s">
        <v>250</v>
      </c>
      <c r="V113" s="1192"/>
      <c r="W113" s="1192"/>
      <c r="X113" s="1192"/>
      <c r="Y113" s="1192"/>
      <c r="Z113" s="1192"/>
      <c r="AA113" s="1192"/>
      <c r="AB113" s="1192"/>
      <c r="AC113" s="1192"/>
      <c r="AD113" s="1192"/>
      <c r="AE113" s="1192"/>
      <c r="AF113" s="1192"/>
      <c r="AG113" s="1192"/>
      <c r="AH113" s="1192"/>
      <c r="AI113" s="1192"/>
      <c r="AJ113" s="1192"/>
      <c r="AK113" s="1192"/>
      <c r="AL113" s="1192"/>
      <c r="AM113" s="1192"/>
      <c r="AN113" s="1192"/>
      <c r="AO113" s="1192"/>
      <c r="AP113" s="1192"/>
      <c r="AQ113" s="1192"/>
      <c r="AR113" s="1192"/>
      <c r="AS113" s="1192"/>
      <c r="AT113" s="1192"/>
      <c r="AU113" s="1192"/>
      <c r="AV113" s="1192"/>
      <c r="AW113" s="1192"/>
      <c r="AX113" s="1192"/>
      <c r="AY113" s="1192"/>
      <c r="AZ113" s="1192"/>
      <c r="BA113" s="1192"/>
      <c r="BB113" s="1192"/>
      <c r="BC113" s="1192"/>
      <c r="BD113" s="1192"/>
      <c r="BE113" s="1196"/>
    </row>
    <row r="114" spans="1:57" ht="15.75" customHeight="1" thickBot="1">
      <c r="A114" s="1192"/>
      <c r="B114" s="1204" t="s">
        <v>2369</v>
      </c>
      <c r="C114" s="1210"/>
      <c r="D114" s="1210"/>
      <c r="E114" s="1210"/>
      <c r="F114" s="1210"/>
      <c r="G114" s="1210"/>
      <c r="H114" s="1210"/>
      <c r="I114" s="1210"/>
      <c r="J114" s="1210"/>
      <c r="K114" s="1210"/>
      <c r="L114" s="1210"/>
      <c r="M114" s="1210"/>
      <c r="N114" s="1210"/>
      <c r="O114" s="1210"/>
      <c r="P114" s="1210"/>
      <c r="Q114" s="1210"/>
      <c r="R114" s="1228"/>
      <c r="S114" s="1192"/>
      <c r="T114" s="1192"/>
      <c r="U114" s="1192"/>
      <c r="V114" s="1192"/>
      <c r="W114" s="1192"/>
      <c r="X114" s="1192"/>
      <c r="Y114" s="1192"/>
      <c r="Z114" s="1192"/>
      <c r="AA114" s="1192"/>
      <c r="AB114" s="1192"/>
      <c r="AC114" s="1192"/>
      <c r="AD114" s="1192"/>
      <c r="AE114" s="1192"/>
      <c r="AF114" s="1192"/>
      <c r="AG114" s="1192"/>
      <c r="AH114" s="1192"/>
      <c r="AI114" s="1192"/>
      <c r="AJ114" s="1192"/>
      <c r="AK114" s="1192"/>
      <c r="AL114" s="1192"/>
      <c r="AM114" s="1192"/>
      <c r="AN114" s="1192"/>
      <c r="AO114" s="1192"/>
      <c r="AP114" s="1192"/>
      <c r="AQ114" s="1192"/>
      <c r="AR114" s="1192"/>
      <c r="AS114" s="1192"/>
      <c r="AT114" s="1192"/>
      <c r="AU114" s="1192"/>
      <c r="AV114" s="1192"/>
      <c r="AW114" s="1192"/>
      <c r="AX114" s="1192"/>
      <c r="AY114" s="1192"/>
      <c r="AZ114" s="1192"/>
      <c r="BA114" s="1192"/>
      <c r="BB114" s="1192"/>
      <c r="BC114" s="1192"/>
      <c r="BD114" s="1192"/>
      <c r="BE114" s="1196"/>
    </row>
    <row r="115" spans="1:57" ht="15.75" customHeight="1">
      <c r="A115" s="1192"/>
      <c r="B115" s="1215" t="s">
        <v>2287</v>
      </c>
      <c r="C115" s="1215"/>
      <c r="D115" s="1221"/>
      <c r="E115" s="1222"/>
      <c r="F115" s="2113"/>
      <c r="G115" s="2114"/>
      <c r="H115" s="2114"/>
      <c r="I115" s="2114"/>
      <c r="J115" s="2114"/>
      <c r="K115" s="2114"/>
      <c r="L115" s="2114"/>
      <c r="M115" s="2114"/>
      <c r="N115" s="2114"/>
      <c r="O115" s="2114"/>
      <c r="P115" s="2114"/>
      <c r="Q115" s="2114"/>
      <c r="R115" s="2115"/>
      <c r="S115" s="1192"/>
      <c r="T115" s="1192"/>
      <c r="U115" s="1192"/>
      <c r="V115" s="1192"/>
      <c r="W115" s="1192"/>
      <c r="X115" s="1192"/>
      <c r="Y115" s="1192"/>
      <c r="Z115" s="1192"/>
      <c r="AA115" s="1192"/>
      <c r="AB115" s="1192"/>
      <c r="AC115" s="1192"/>
      <c r="AD115" s="1192"/>
      <c r="AE115" s="1192"/>
      <c r="AF115" s="1192"/>
      <c r="AG115" s="1192"/>
      <c r="AH115" s="1192"/>
      <c r="AI115" s="1192"/>
      <c r="AJ115" s="1192"/>
      <c r="AK115" s="1192"/>
      <c r="AL115" s="1192"/>
      <c r="AM115" s="1192"/>
      <c r="AN115" s="1192"/>
      <c r="AO115" s="1192"/>
      <c r="AP115" s="1192"/>
      <c r="AQ115" s="1192"/>
      <c r="AR115" s="1192"/>
      <c r="AS115" s="1192"/>
      <c r="AT115" s="1192"/>
      <c r="AU115" s="1192"/>
      <c r="AV115" s="1192"/>
      <c r="AW115" s="1192"/>
      <c r="AX115" s="1192"/>
      <c r="AY115" s="1192"/>
      <c r="AZ115" s="1192"/>
      <c r="BA115" s="1192"/>
      <c r="BB115" s="1192"/>
      <c r="BC115" s="1192"/>
      <c r="BD115" s="1192"/>
      <c r="BE115" s="1196"/>
    </row>
    <row r="116" spans="1:57" ht="15.75" customHeight="1" thickBot="1">
      <c r="A116" s="1192"/>
      <c r="B116" s="1192"/>
      <c r="C116" s="1192"/>
      <c r="D116" s="1192"/>
      <c r="E116" s="1192"/>
      <c r="F116" s="1192"/>
      <c r="G116" s="1192"/>
      <c r="H116" s="1192"/>
      <c r="I116" s="1192"/>
      <c r="J116" s="1192"/>
      <c r="K116" s="1192"/>
      <c r="L116" s="1192"/>
      <c r="M116" s="1192"/>
      <c r="N116" s="1192"/>
      <c r="O116" s="1192"/>
      <c r="P116" s="1192"/>
      <c r="Q116" s="1192"/>
      <c r="R116" s="1192"/>
      <c r="S116" s="1192"/>
      <c r="T116" s="1192"/>
      <c r="U116" s="1192"/>
      <c r="V116" s="1192"/>
      <c r="W116" s="1192"/>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192"/>
      <c r="AS116" s="1192"/>
      <c r="AT116" s="1192"/>
      <c r="AU116" s="1192"/>
      <c r="AV116" s="1192"/>
      <c r="AW116" s="1192"/>
      <c r="AX116" s="1192"/>
      <c r="AY116" s="1192"/>
      <c r="AZ116" s="1192"/>
      <c r="BA116" s="1192"/>
      <c r="BB116" s="1192"/>
      <c r="BC116" s="1192"/>
      <c r="BD116" s="1192"/>
      <c r="BE116" s="1196"/>
    </row>
    <row r="117" spans="1:57" ht="15.75" customHeight="1">
      <c r="A117" s="1192"/>
      <c r="B117" s="2124" t="s">
        <v>2368</v>
      </c>
      <c r="C117" s="2125"/>
      <c r="D117" s="2125"/>
      <c r="E117" s="2125"/>
      <c r="F117" s="2125"/>
      <c r="G117" s="2125"/>
      <c r="H117" s="2125"/>
      <c r="I117" s="2125"/>
      <c r="J117" s="2125"/>
      <c r="K117" s="2125"/>
      <c r="L117" s="2125"/>
      <c r="M117" s="2125"/>
      <c r="N117" s="2125"/>
      <c r="O117" s="2125"/>
      <c r="P117" s="2125"/>
      <c r="Q117" s="2125"/>
      <c r="R117" s="2125"/>
      <c r="S117" s="2125"/>
      <c r="T117" s="2125"/>
      <c r="U117" s="2128" t="s">
        <v>545</v>
      </c>
      <c r="V117" s="2128"/>
      <c r="W117" s="2128"/>
      <c r="X117" s="2129"/>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192"/>
      <c r="AS117" s="1192"/>
      <c r="AT117" s="1192"/>
      <c r="AU117" s="1192"/>
      <c r="AV117" s="1192"/>
      <c r="AW117" s="1192"/>
      <c r="AX117" s="1192"/>
      <c r="AY117" s="1192"/>
      <c r="AZ117" s="1192"/>
      <c r="BA117" s="1192"/>
      <c r="BB117" s="1192"/>
      <c r="BC117" s="1192"/>
      <c r="BD117" s="1192"/>
      <c r="BE117" s="1196"/>
    </row>
    <row r="118" spans="1:57" ht="15.75" customHeight="1">
      <c r="A118" s="1192"/>
      <c r="B118" s="2126"/>
      <c r="C118" s="2127"/>
      <c r="D118" s="2127"/>
      <c r="E118" s="2127"/>
      <c r="F118" s="2127"/>
      <c r="G118" s="2127"/>
      <c r="H118" s="2127"/>
      <c r="I118" s="2127"/>
      <c r="J118" s="2127"/>
      <c r="K118" s="2127"/>
      <c r="L118" s="2127"/>
      <c r="M118" s="2127"/>
      <c r="N118" s="2127"/>
      <c r="O118" s="2127"/>
      <c r="P118" s="2127"/>
      <c r="Q118" s="2127"/>
      <c r="R118" s="2127"/>
      <c r="S118" s="2127"/>
      <c r="T118" s="2127"/>
      <c r="U118" s="2130"/>
      <c r="V118" s="2130"/>
      <c r="W118" s="2130"/>
      <c r="X118" s="2131"/>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192"/>
      <c r="AS118" s="1192"/>
      <c r="AT118" s="1192"/>
      <c r="AU118" s="1192"/>
      <c r="AV118" s="1192"/>
      <c r="AW118" s="1192"/>
      <c r="AX118" s="1192"/>
      <c r="AY118" s="1192"/>
      <c r="AZ118" s="1192"/>
      <c r="BA118" s="1192"/>
      <c r="BB118" s="1192"/>
      <c r="BC118" s="1192"/>
      <c r="BD118" s="1192"/>
      <c r="BE118" s="1196"/>
    </row>
    <row r="119" spans="1:57" ht="15.75" customHeight="1">
      <c r="A119" s="1192"/>
      <c r="B119" s="2126"/>
      <c r="C119" s="2127"/>
      <c r="D119" s="2127"/>
      <c r="E119" s="2127"/>
      <c r="F119" s="2127"/>
      <c r="G119" s="2127"/>
      <c r="H119" s="2127"/>
      <c r="I119" s="2127"/>
      <c r="J119" s="2127"/>
      <c r="K119" s="2127"/>
      <c r="L119" s="2127"/>
      <c r="M119" s="2127"/>
      <c r="N119" s="2127"/>
      <c r="O119" s="2127"/>
      <c r="P119" s="2127"/>
      <c r="Q119" s="2127"/>
      <c r="R119" s="2127"/>
      <c r="S119" s="2127"/>
      <c r="T119" s="2127"/>
      <c r="U119" s="2130"/>
      <c r="V119" s="2130"/>
      <c r="W119" s="2130"/>
      <c r="X119" s="2131"/>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192"/>
      <c r="AS119" s="1192"/>
      <c r="AT119" s="1192"/>
      <c r="AU119" s="1192"/>
      <c r="AV119" s="1192"/>
      <c r="AW119" s="1192"/>
      <c r="AX119" s="1192"/>
      <c r="AY119" s="1192"/>
      <c r="AZ119" s="1192"/>
      <c r="BA119" s="1192"/>
      <c r="BB119" s="1192"/>
      <c r="BC119" s="1192"/>
      <c r="BD119" s="1192"/>
      <c r="BE119" s="1196"/>
    </row>
    <row r="120" spans="1:57" ht="15.75" customHeight="1">
      <c r="A120" s="1192"/>
      <c r="B120" s="2126"/>
      <c r="C120" s="2127"/>
      <c r="D120" s="2127"/>
      <c r="E120" s="2127"/>
      <c r="F120" s="2127"/>
      <c r="G120" s="2127"/>
      <c r="H120" s="2127"/>
      <c r="I120" s="2127"/>
      <c r="J120" s="2127"/>
      <c r="K120" s="2127"/>
      <c r="L120" s="2127"/>
      <c r="M120" s="2127"/>
      <c r="N120" s="2127"/>
      <c r="O120" s="2127"/>
      <c r="P120" s="2127"/>
      <c r="Q120" s="2127"/>
      <c r="R120" s="2127"/>
      <c r="S120" s="2127"/>
      <c r="T120" s="2127"/>
      <c r="U120" s="2130"/>
      <c r="V120" s="2130"/>
      <c r="W120" s="2130"/>
      <c r="X120" s="2131"/>
      <c r="Y120" s="1192"/>
      <c r="Z120" s="1192"/>
      <c r="AA120" s="1192"/>
      <c r="AB120" s="1192"/>
      <c r="AC120" s="1192"/>
      <c r="AD120" s="1192"/>
      <c r="AE120" s="1192"/>
      <c r="AF120" s="1192"/>
      <c r="AG120" s="1192"/>
      <c r="AH120" s="1192"/>
      <c r="AI120" s="1192"/>
      <c r="AJ120" s="1192"/>
      <c r="AK120" s="1192"/>
      <c r="AL120" s="1192"/>
      <c r="AM120" s="1192"/>
      <c r="AN120" s="1192"/>
      <c r="AO120" s="1192"/>
      <c r="AP120" s="1192"/>
      <c r="AQ120" s="1192"/>
      <c r="AR120" s="1192"/>
      <c r="AS120" s="1192"/>
      <c r="AT120" s="1192"/>
      <c r="AU120" s="1192"/>
      <c r="AV120" s="1192"/>
      <c r="AW120" s="1192"/>
      <c r="AX120" s="1192"/>
      <c r="AY120" s="1192"/>
      <c r="AZ120" s="1192"/>
      <c r="BA120" s="1192"/>
      <c r="BB120" s="1192"/>
      <c r="BC120" s="1192"/>
      <c r="BD120" s="1192"/>
      <c r="BE120" s="1196"/>
    </row>
    <row r="121" spans="1:57" ht="15.75" customHeight="1">
      <c r="A121" s="1192"/>
      <c r="B121" s="2132" t="s">
        <v>2368</v>
      </c>
      <c r="C121" s="2133"/>
      <c r="D121" s="2133"/>
      <c r="E121" s="2133"/>
      <c r="F121" s="2133"/>
      <c r="G121" s="2133"/>
      <c r="H121" s="2133"/>
      <c r="I121" s="2133"/>
      <c r="J121" s="2133"/>
      <c r="K121" s="2133"/>
      <c r="L121" s="2133"/>
      <c r="M121" s="2133"/>
      <c r="N121" s="2133"/>
      <c r="O121" s="2133"/>
      <c r="P121" s="2133"/>
      <c r="Q121" s="2133"/>
      <c r="R121" s="2133"/>
      <c r="S121" s="2133"/>
      <c r="T121" s="2133"/>
      <c r="U121" s="2136" t="s">
        <v>545</v>
      </c>
      <c r="V121" s="2136"/>
      <c r="W121" s="2136"/>
      <c r="X121" s="2137"/>
      <c r="Y121" s="1192"/>
      <c r="Z121" s="1192"/>
      <c r="AA121" s="1192"/>
      <c r="AB121" s="1192"/>
      <c r="AC121" s="1192"/>
      <c r="AD121" s="1192"/>
      <c r="AE121" s="1192"/>
      <c r="AF121" s="1192"/>
      <c r="AG121" s="1192"/>
      <c r="AH121" s="1192"/>
      <c r="AI121" s="1192"/>
      <c r="AJ121" s="1192"/>
      <c r="AK121" s="1192"/>
      <c r="AL121" s="1192"/>
      <c r="AM121" s="1192"/>
      <c r="AN121" s="1192"/>
      <c r="AO121" s="1192"/>
      <c r="AP121" s="1192"/>
      <c r="AQ121" s="1192"/>
      <c r="AR121" s="1192"/>
      <c r="AS121" s="1192"/>
      <c r="AT121" s="1192"/>
      <c r="AU121" s="1192"/>
      <c r="AV121" s="1192"/>
      <c r="AW121" s="1192"/>
      <c r="AX121" s="1192"/>
      <c r="AY121" s="1192"/>
      <c r="AZ121" s="1192"/>
      <c r="BA121" s="1192"/>
      <c r="BB121" s="1192"/>
      <c r="BC121" s="1192"/>
      <c r="BD121" s="1192"/>
      <c r="BE121" s="1196"/>
    </row>
    <row r="122" spans="1:57" ht="15.75" customHeight="1" thickBot="1">
      <c r="A122" s="1192"/>
      <c r="B122" s="2134"/>
      <c r="C122" s="2135"/>
      <c r="D122" s="2135"/>
      <c r="E122" s="2135"/>
      <c r="F122" s="2135"/>
      <c r="G122" s="2135"/>
      <c r="H122" s="2135"/>
      <c r="I122" s="2135"/>
      <c r="J122" s="2135"/>
      <c r="K122" s="2135"/>
      <c r="L122" s="2135"/>
      <c r="M122" s="2135"/>
      <c r="N122" s="2135"/>
      <c r="O122" s="2135"/>
      <c r="P122" s="2135"/>
      <c r="Q122" s="2135"/>
      <c r="R122" s="2135"/>
      <c r="S122" s="2135"/>
      <c r="T122" s="2135"/>
      <c r="U122" s="2138"/>
      <c r="V122" s="2138"/>
      <c r="W122" s="2138"/>
      <c r="X122" s="2139"/>
      <c r="Y122" s="1192"/>
      <c r="Z122" s="1192"/>
      <c r="AA122" s="1192"/>
      <c r="AB122" s="1192"/>
      <c r="AC122" s="1192"/>
      <c r="AD122" s="1192"/>
      <c r="AE122" s="1192"/>
      <c r="AF122" s="1192"/>
      <c r="AG122" s="1192"/>
      <c r="AH122" s="1192"/>
      <c r="AI122" s="1192"/>
      <c r="AJ122" s="1192"/>
      <c r="AK122" s="1192"/>
      <c r="AL122" s="1192"/>
      <c r="AM122" s="1192"/>
      <c r="AN122" s="1192"/>
      <c r="AO122" s="1192"/>
      <c r="AP122" s="1192"/>
      <c r="AQ122" s="1192"/>
      <c r="AR122" s="1192"/>
      <c r="AS122" s="1192"/>
      <c r="AT122" s="1192"/>
      <c r="AU122" s="1192"/>
      <c r="AV122" s="1192"/>
      <c r="AW122" s="1192"/>
      <c r="AX122" s="1192"/>
      <c r="AY122" s="1192"/>
      <c r="AZ122" s="1192"/>
      <c r="BA122" s="1192"/>
      <c r="BB122" s="1192"/>
      <c r="BC122" s="1192"/>
      <c r="BD122" s="1192"/>
      <c r="BE122" s="1196"/>
    </row>
    <row r="123" spans="1:57" ht="15.75" customHeight="1" thickBot="1">
      <c r="A123" s="1192"/>
      <c r="B123" s="1192"/>
      <c r="C123" s="1192"/>
      <c r="D123" s="1192"/>
      <c r="E123" s="1192"/>
      <c r="F123" s="1192"/>
      <c r="G123" s="1192"/>
      <c r="H123" s="1192"/>
      <c r="I123" s="1192"/>
      <c r="J123" s="1192"/>
      <c r="K123" s="1192"/>
      <c r="L123" s="1192"/>
      <c r="M123" s="1192"/>
      <c r="N123" s="1192"/>
      <c r="O123" s="1192"/>
      <c r="P123" s="1192"/>
      <c r="Q123" s="1192"/>
      <c r="R123" s="1192"/>
      <c r="S123" s="1192"/>
      <c r="T123" s="1192"/>
      <c r="U123" s="1192"/>
      <c r="V123" s="1192"/>
      <c r="W123" s="1192"/>
      <c r="X123" s="1192"/>
      <c r="Y123" s="1192"/>
      <c r="Z123" s="1192"/>
      <c r="AA123" s="1192"/>
      <c r="AB123" s="1192"/>
      <c r="AC123" s="1192"/>
      <c r="AD123" s="1192"/>
      <c r="AE123" s="1192"/>
      <c r="AF123" s="1192"/>
      <c r="AG123" s="1192"/>
      <c r="AH123" s="1192"/>
      <c r="AI123" s="1192"/>
      <c r="AJ123" s="1192"/>
      <c r="AK123" s="1192"/>
      <c r="AL123" s="1192"/>
      <c r="AM123" s="1192"/>
      <c r="AN123" s="1192"/>
      <c r="AO123" s="1192"/>
      <c r="AP123" s="1192"/>
      <c r="AQ123" s="1192"/>
      <c r="AR123" s="1192"/>
      <c r="AS123" s="1192"/>
      <c r="AT123" s="1192"/>
      <c r="AU123" s="1192"/>
      <c r="AV123" s="1192"/>
      <c r="AW123" s="1192"/>
      <c r="AX123" s="1192"/>
      <c r="AY123" s="1192"/>
      <c r="AZ123" s="1192"/>
      <c r="BA123" s="1192"/>
      <c r="BB123" s="1192"/>
      <c r="BC123" s="1192"/>
      <c r="BD123" s="1192"/>
      <c r="BE123" s="1196"/>
    </row>
    <row r="124" spans="1:57" ht="15.75" customHeight="1" thickBot="1">
      <c r="A124" s="1192"/>
      <c r="B124" s="1211" t="s">
        <v>2367</v>
      </c>
      <c r="C124" s="1206"/>
      <c r="D124" s="1206"/>
      <c r="E124" s="1206"/>
      <c r="F124" s="1206"/>
      <c r="G124" s="1206"/>
      <c r="H124" s="1206"/>
      <c r="I124" s="1206"/>
      <c r="J124" s="1206"/>
      <c r="K124" s="1206"/>
      <c r="L124" s="1206"/>
      <c r="M124" s="1206"/>
      <c r="N124" s="1206"/>
      <c r="O124" s="1206"/>
      <c r="P124" s="1206"/>
      <c r="Q124" s="1206"/>
      <c r="R124" s="1207"/>
      <c r="S124" s="1192"/>
      <c r="T124" s="1192"/>
      <c r="U124" s="1192"/>
      <c r="V124" s="1192"/>
      <c r="W124" s="1192"/>
      <c r="X124" s="1192"/>
      <c r="Y124" s="1192"/>
      <c r="Z124" s="1192"/>
      <c r="AA124" s="1192"/>
      <c r="AB124" s="1192"/>
      <c r="AC124" s="1192"/>
      <c r="AD124" s="1192"/>
      <c r="AE124" s="1192"/>
      <c r="AF124" s="1192"/>
      <c r="AG124" s="1192"/>
      <c r="AH124" s="1192"/>
      <c r="AI124" s="1192"/>
      <c r="AJ124" s="1192"/>
      <c r="AK124" s="1192"/>
      <c r="AL124" s="1192"/>
      <c r="AM124" s="1192"/>
      <c r="AN124" s="1192"/>
      <c r="AO124" s="1192"/>
      <c r="AP124" s="1192"/>
      <c r="AQ124" s="1192"/>
      <c r="AR124" s="1192"/>
      <c r="AS124" s="1192"/>
      <c r="AT124" s="1192"/>
      <c r="AU124" s="1192"/>
      <c r="AV124" s="1192"/>
      <c r="AW124" s="1192"/>
      <c r="AX124" s="1192"/>
      <c r="AY124" s="1192"/>
      <c r="AZ124" s="1192"/>
      <c r="BA124" s="1192"/>
      <c r="BB124" s="1192"/>
      <c r="BC124" s="1192"/>
      <c r="BD124" s="1192"/>
      <c r="BE124" s="1196"/>
    </row>
    <row r="125" spans="1:57" ht="15.75" customHeight="1" thickBot="1">
      <c r="A125" s="1192"/>
      <c r="B125" s="1192"/>
      <c r="C125" s="1192"/>
      <c r="D125" s="1192"/>
      <c r="E125" s="1192"/>
      <c r="F125" s="1192"/>
      <c r="G125" s="1192"/>
      <c r="H125" s="1192"/>
      <c r="I125" s="1192"/>
      <c r="J125" s="1192"/>
      <c r="K125" s="1192"/>
      <c r="L125" s="1192"/>
      <c r="M125" s="1192"/>
      <c r="N125" s="1192"/>
      <c r="O125" s="1192"/>
      <c r="P125" s="1227"/>
      <c r="Q125" s="1192"/>
      <c r="R125" s="1192"/>
      <c r="S125" s="1192"/>
      <c r="T125" s="1192"/>
      <c r="U125" s="1192"/>
      <c r="V125" s="1192"/>
      <c r="W125" s="1192"/>
      <c r="X125" s="2094" t="s">
        <v>2366</v>
      </c>
      <c r="Y125" s="2095"/>
      <c r="Z125" s="2095"/>
      <c r="AA125" s="2095"/>
      <c r="AB125" s="2095"/>
      <c r="AC125" s="2095"/>
      <c r="AD125" s="2095"/>
      <c r="AE125" s="2095"/>
      <c r="AF125" s="2095"/>
      <c r="AG125" s="2095"/>
      <c r="AH125" s="2095"/>
      <c r="AI125" s="2095"/>
      <c r="AJ125" s="2095"/>
      <c r="AK125" s="2095"/>
      <c r="AL125" s="2095"/>
      <c r="AM125" s="2095"/>
      <c r="AN125" s="2095"/>
      <c r="AO125" s="2095"/>
      <c r="AP125" s="2095"/>
      <c r="AQ125" s="2095"/>
      <c r="AR125" s="2095"/>
      <c r="AS125" s="2095"/>
      <c r="AT125" s="2095"/>
      <c r="AU125" s="2095"/>
      <c r="AV125" s="2095"/>
      <c r="AW125" s="2095"/>
      <c r="AX125" s="2095"/>
      <c r="AY125" s="2095"/>
      <c r="AZ125" s="2095"/>
      <c r="BA125" s="2095"/>
      <c r="BB125" s="2095"/>
      <c r="BC125" s="2095"/>
      <c r="BD125" s="2140"/>
      <c r="BE125" s="1196"/>
    </row>
    <row r="126" spans="1:57" ht="15.75" customHeight="1">
      <c r="A126" s="1192"/>
      <c r="B126" s="2142" t="s">
        <v>1576</v>
      </c>
      <c r="C126" s="2143"/>
      <c r="D126" s="2143"/>
      <c r="E126" s="2143"/>
      <c r="F126" s="2143"/>
      <c r="G126" s="2143"/>
      <c r="H126" s="2143"/>
      <c r="I126" s="2143"/>
      <c r="J126" s="2143"/>
      <c r="K126" s="2143"/>
      <c r="L126" s="2143"/>
      <c r="M126" s="2143"/>
      <c r="N126" s="2143"/>
      <c r="O126" s="2143"/>
      <c r="P126" s="2143"/>
      <c r="Q126" s="2143"/>
      <c r="R126" s="2143"/>
      <c r="S126" s="2143"/>
      <c r="T126" s="2143"/>
      <c r="U126" s="2144"/>
      <c r="V126" s="1192"/>
      <c r="W126" s="1192"/>
      <c r="X126" s="2096"/>
      <c r="Y126" s="2097"/>
      <c r="Z126" s="2097"/>
      <c r="AA126" s="2097"/>
      <c r="AB126" s="2097"/>
      <c r="AC126" s="2097"/>
      <c r="AD126" s="2097"/>
      <c r="AE126" s="2097"/>
      <c r="AF126" s="2097"/>
      <c r="AG126" s="2097"/>
      <c r="AH126" s="2097"/>
      <c r="AI126" s="2097"/>
      <c r="AJ126" s="2097"/>
      <c r="AK126" s="2097"/>
      <c r="AL126" s="2097"/>
      <c r="AM126" s="2097"/>
      <c r="AN126" s="2097"/>
      <c r="AO126" s="2097"/>
      <c r="AP126" s="2097"/>
      <c r="AQ126" s="2097"/>
      <c r="AR126" s="2097"/>
      <c r="AS126" s="2097"/>
      <c r="AT126" s="2097"/>
      <c r="AU126" s="2097"/>
      <c r="AV126" s="2097"/>
      <c r="AW126" s="2097"/>
      <c r="AX126" s="2097"/>
      <c r="AY126" s="2097"/>
      <c r="AZ126" s="2097"/>
      <c r="BA126" s="2097"/>
      <c r="BB126" s="2097"/>
      <c r="BC126" s="2097"/>
      <c r="BD126" s="2141"/>
      <c r="BE126" s="1196"/>
    </row>
    <row r="127" spans="1:57" ht="15.75" customHeight="1">
      <c r="A127" s="1192"/>
      <c r="B127" s="2160"/>
      <c r="C127" s="2161"/>
      <c r="D127" s="2161"/>
      <c r="E127" s="2161"/>
      <c r="F127" s="2161"/>
      <c r="G127" s="2161"/>
      <c r="H127" s="2161"/>
      <c r="I127" s="2016" t="s">
        <v>2365</v>
      </c>
      <c r="J127" s="2016"/>
      <c r="K127" s="2016"/>
      <c r="L127" s="2016"/>
      <c r="M127" s="2016"/>
      <c r="N127" s="2016"/>
      <c r="O127" s="2116" t="s">
        <v>2364</v>
      </c>
      <c r="P127" s="2116"/>
      <c r="Q127" s="2116"/>
      <c r="R127" s="2116"/>
      <c r="S127" s="2116"/>
      <c r="T127" s="2116"/>
      <c r="U127" s="2117"/>
      <c r="V127" s="1192"/>
      <c r="W127" s="1192"/>
      <c r="X127" s="2081" t="s">
        <v>2334</v>
      </c>
      <c r="Y127" s="2082"/>
      <c r="Z127" s="2082"/>
      <c r="AA127" s="2082"/>
      <c r="AB127" s="2082"/>
      <c r="AC127" s="2082"/>
      <c r="AD127" s="2082"/>
      <c r="AE127" s="2082"/>
      <c r="AF127" s="2082"/>
      <c r="AG127" s="2082"/>
      <c r="AH127" s="2082"/>
      <c r="AI127" s="2082"/>
      <c r="AJ127" s="2082"/>
      <c r="AK127" s="2082"/>
      <c r="AL127" s="2082"/>
      <c r="AM127" s="2082"/>
      <c r="AN127" s="2082"/>
      <c r="AO127" s="2082"/>
      <c r="AP127" s="2082"/>
      <c r="AQ127" s="2082"/>
      <c r="AR127" s="2082"/>
      <c r="AS127" s="2082"/>
      <c r="AT127" s="2082"/>
      <c r="AU127" s="2082"/>
      <c r="AV127" s="2082"/>
      <c r="AW127" s="2082"/>
      <c r="AX127" s="2082"/>
      <c r="AY127" s="2082"/>
      <c r="AZ127" s="2082"/>
      <c r="BA127" s="2082"/>
      <c r="BB127" s="2082"/>
      <c r="BC127" s="2082"/>
      <c r="BD127" s="2083"/>
      <c r="BE127" s="1196"/>
    </row>
    <row r="128" spans="1:57" ht="15.75" customHeight="1">
      <c r="A128" s="1192"/>
      <c r="B128" s="2118" t="s">
        <v>2348</v>
      </c>
      <c r="C128" s="2119"/>
      <c r="D128" s="2119"/>
      <c r="E128" s="2119"/>
      <c r="F128" s="2119"/>
      <c r="G128" s="2119"/>
      <c r="H128" s="2119"/>
      <c r="I128" s="2092">
        <v>0</v>
      </c>
      <c r="J128" s="2092"/>
      <c r="K128" s="2092"/>
      <c r="L128" s="2092"/>
      <c r="M128" s="2092"/>
      <c r="N128" s="2092"/>
      <c r="O128" s="2092">
        <v>0</v>
      </c>
      <c r="P128" s="2092"/>
      <c r="Q128" s="2092"/>
      <c r="R128" s="2092"/>
      <c r="S128" s="2092"/>
      <c r="T128" s="2092"/>
      <c r="U128" s="2093"/>
      <c r="V128" s="1192"/>
      <c r="W128" s="1192"/>
      <c r="X128" s="2081"/>
      <c r="Y128" s="2082"/>
      <c r="Z128" s="2082"/>
      <c r="AA128" s="2082"/>
      <c r="AB128" s="2082"/>
      <c r="AC128" s="2082"/>
      <c r="AD128" s="2082"/>
      <c r="AE128" s="2082"/>
      <c r="AF128" s="2082"/>
      <c r="AG128" s="2082"/>
      <c r="AH128" s="2082"/>
      <c r="AI128" s="2082"/>
      <c r="AJ128" s="2082"/>
      <c r="AK128" s="2082"/>
      <c r="AL128" s="2082"/>
      <c r="AM128" s="2082"/>
      <c r="AN128" s="2082"/>
      <c r="AO128" s="2082"/>
      <c r="AP128" s="2082"/>
      <c r="AQ128" s="2082"/>
      <c r="AR128" s="2082"/>
      <c r="AS128" s="2082"/>
      <c r="AT128" s="2082"/>
      <c r="AU128" s="2082"/>
      <c r="AV128" s="2082"/>
      <c r="AW128" s="2082"/>
      <c r="AX128" s="2082"/>
      <c r="AY128" s="2082"/>
      <c r="AZ128" s="2082"/>
      <c r="BA128" s="2082"/>
      <c r="BB128" s="2082"/>
      <c r="BC128" s="2082"/>
      <c r="BD128" s="2083"/>
      <c r="BE128" s="1196"/>
    </row>
    <row r="129" spans="1:57" ht="15.75" customHeight="1" thickBot="1">
      <c r="A129" s="1192"/>
      <c r="B129" s="2120" t="s">
        <v>2347</v>
      </c>
      <c r="C129" s="2121"/>
      <c r="D129" s="2121"/>
      <c r="E129" s="2121"/>
      <c r="F129" s="2121"/>
      <c r="G129" s="2121"/>
      <c r="H129" s="2121"/>
      <c r="I129" s="2107">
        <v>0</v>
      </c>
      <c r="J129" s="2107"/>
      <c r="K129" s="2107"/>
      <c r="L129" s="2107"/>
      <c r="M129" s="2107"/>
      <c r="N129" s="2107"/>
      <c r="O129" s="2122"/>
      <c r="P129" s="2122"/>
      <c r="Q129" s="2122"/>
      <c r="R129" s="2122"/>
      <c r="S129" s="2122"/>
      <c r="T129" s="2122"/>
      <c r="U129" s="2123"/>
      <c r="V129" s="1192"/>
      <c r="W129" s="1192"/>
      <c r="X129" s="2081"/>
      <c r="Y129" s="2082"/>
      <c r="Z129" s="2082"/>
      <c r="AA129" s="2082"/>
      <c r="AB129" s="2082"/>
      <c r="AC129" s="2082"/>
      <c r="AD129" s="2082"/>
      <c r="AE129" s="2082"/>
      <c r="AF129" s="2082"/>
      <c r="AG129" s="2082"/>
      <c r="AH129" s="2082"/>
      <c r="AI129" s="2082"/>
      <c r="AJ129" s="2082"/>
      <c r="AK129" s="2082"/>
      <c r="AL129" s="2082"/>
      <c r="AM129" s="2082"/>
      <c r="AN129" s="2082"/>
      <c r="AO129" s="2082"/>
      <c r="AP129" s="2082"/>
      <c r="AQ129" s="2082"/>
      <c r="AR129" s="2082"/>
      <c r="AS129" s="2082"/>
      <c r="AT129" s="2082"/>
      <c r="AU129" s="2082"/>
      <c r="AV129" s="2082"/>
      <c r="AW129" s="2082"/>
      <c r="AX129" s="2082"/>
      <c r="AY129" s="2082"/>
      <c r="AZ129" s="2082"/>
      <c r="BA129" s="2082"/>
      <c r="BB129" s="2082"/>
      <c r="BC129" s="2082"/>
      <c r="BD129" s="2083"/>
      <c r="BE129" s="1196"/>
    </row>
    <row r="130" spans="1:57" ht="15.75" customHeight="1" thickBot="1">
      <c r="A130" s="1192"/>
      <c r="B130" s="1192"/>
      <c r="C130" s="1192"/>
      <c r="D130" s="1192"/>
      <c r="E130" s="1192"/>
      <c r="F130" s="1192"/>
      <c r="G130" s="1192"/>
      <c r="H130" s="1192"/>
      <c r="I130" s="1192"/>
      <c r="J130" s="1192"/>
      <c r="K130" s="1192"/>
      <c r="L130" s="1192"/>
      <c r="M130" s="1192"/>
      <c r="N130" s="1192"/>
      <c r="O130" s="1192"/>
      <c r="P130" s="1192"/>
      <c r="Q130" s="1192"/>
      <c r="R130" s="1192"/>
      <c r="S130" s="1192"/>
      <c r="T130" s="1192"/>
      <c r="U130" s="1192"/>
      <c r="V130" s="1192"/>
      <c r="W130" s="1192"/>
      <c r="X130" s="2081"/>
      <c r="Y130" s="2082"/>
      <c r="Z130" s="2082"/>
      <c r="AA130" s="2082"/>
      <c r="AB130" s="2082"/>
      <c r="AC130" s="2082"/>
      <c r="AD130" s="2082"/>
      <c r="AE130" s="2082"/>
      <c r="AF130" s="2082"/>
      <c r="AG130" s="2082"/>
      <c r="AH130" s="2082"/>
      <c r="AI130" s="2082"/>
      <c r="AJ130" s="2082"/>
      <c r="AK130" s="2082"/>
      <c r="AL130" s="2082"/>
      <c r="AM130" s="2082"/>
      <c r="AN130" s="2082"/>
      <c r="AO130" s="2082"/>
      <c r="AP130" s="2082"/>
      <c r="AQ130" s="2082"/>
      <c r="AR130" s="2082"/>
      <c r="AS130" s="2082"/>
      <c r="AT130" s="2082"/>
      <c r="AU130" s="2082"/>
      <c r="AV130" s="2082"/>
      <c r="AW130" s="2082"/>
      <c r="AX130" s="2082"/>
      <c r="AY130" s="2082"/>
      <c r="AZ130" s="2082"/>
      <c r="BA130" s="2082"/>
      <c r="BB130" s="2082"/>
      <c r="BC130" s="2082"/>
      <c r="BD130" s="2083"/>
      <c r="BE130" s="1196"/>
    </row>
    <row r="131" spans="1:57" ht="15.75" customHeight="1" thickBot="1">
      <c r="A131" s="1192"/>
      <c r="B131" s="1211" t="s">
        <v>2363</v>
      </c>
      <c r="C131" s="1212"/>
      <c r="D131" s="1212"/>
      <c r="E131" s="1212"/>
      <c r="F131" s="1212"/>
      <c r="G131" s="1212"/>
      <c r="H131" s="1212"/>
      <c r="I131" s="1212"/>
      <c r="J131" s="1212"/>
      <c r="K131" s="1212"/>
      <c r="L131" s="1212"/>
      <c r="M131" s="1212"/>
      <c r="N131" s="1212"/>
      <c r="O131" s="1212"/>
      <c r="P131" s="1213"/>
      <c r="Q131" s="1197" t="s">
        <v>250</v>
      </c>
      <c r="R131" s="1197" t="s">
        <v>250</v>
      </c>
      <c r="S131" s="1192"/>
      <c r="T131" s="1192"/>
      <c r="U131" s="1192"/>
      <c r="V131" s="1192" t="s">
        <v>250</v>
      </c>
      <c r="W131" s="1192"/>
      <c r="X131" s="2081"/>
      <c r="Y131" s="2082"/>
      <c r="Z131" s="2082"/>
      <c r="AA131" s="2082"/>
      <c r="AB131" s="2082"/>
      <c r="AC131" s="2082"/>
      <c r="AD131" s="2082"/>
      <c r="AE131" s="2082"/>
      <c r="AF131" s="2082"/>
      <c r="AG131" s="2082"/>
      <c r="AH131" s="2082"/>
      <c r="AI131" s="2082"/>
      <c r="AJ131" s="2082"/>
      <c r="AK131" s="2082"/>
      <c r="AL131" s="2082"/>
      <c r="AM131" s="2082"/>
      <c r="AN131" s="2082"/>
      <c r="AO131" s="2082"/>
      <c r="AP131" s="2082"/>
      <c r="AQ131" s="2082"/>
      <c r="AR131" s="2082"/>
      <c r="AS131" s="2082"/>
      <c r="AT131" s="2082"/>
      <c r="AU131" s="2082"/>
      <c r="AV131" s="2082"/>
      <c r="AW131" s="2082"/>
      <c r="AX131" s="2082"/>
      <c r="AY131" s="2082"/>
      <c r="AZ131" s="2082"/>
      <c r="BA131" s="2082"/>
      <c r="BB131" s="2082"/>
      <c r="BC131" s="2082"/>
      <c r="BD131" s="2083"/>
      <c r="BE131" s="1196"/>
    </row>
    <row r="132" spans="1:57" ht="15.75" customHeight="1" thickBot="1">
      <c r="A132" s="1192"/>
      <c r="B132" s="1192"/>
      <c r="C132" s="1192"/>
      <c r="D132" s="1192"/>
      <c r="E132" s="1192"/>
      <c r="F132" s="1192"/>
      <c r="G132" s="1192"/>
      <c r="H132" s="1192"/>
      <c r="I132" s="1192"/>
      <c r="J132" s="1192"/>
      <c r="K132" s="1192"/>
      <c r="L132" s="1192"/>
      <c r="M132" s="1192"/>
      <c r="N132" s="1192"/>
      <c r="O132" s="1192"/>
      <c r="P132" s="1192"/>
      <c r="Q132" s="1192"/>
      <c r="R132" s="1192"/>
      <c r="S132" s="1192"/>
      <c r="T132" s="1192"/>
      <c r="U132" s="1192"/>
      <c r="V132" s="1192"/>
      <c r="W132" s="1192"/>
      <c r="X132" s="2081"/>
      <c r="Y132" s="2082"/>
      <c r="Z132" s="2082"/>
      <c r="AA132" s="2082"/>
      <c r="AB132" s="2082"/>
      <c r="AC132" s="2082"/>
      <c r="AD132" s="2082"/>
      <c r="AE132" s="2082"/>
      <c r="AF132" s="2082"/>
      <c r="AG132" s="2082"/>
      <c r="AH132" s="2082"/>
      <c r="AI132" s="2082"/>
      <c r="AJ132" s="2082"/>
      <c r="AK132" s="2082"/>
      <c r="AL132" s="2082"/>
      <c r="AM132" s="2082"/>
      <c r="AN132" s="2082"/>
      <c r="AO132" s="2082"/>
      <c r="AP132" s="2082"/>
      <c r="AQ132" s="2082"/>
      <c r="AR132" s="2082"/>
      <c r="AS132" s="2082"/>
      <c r="AT132" s="2082"/>
      <c r="AU132" s="2082"/>
      <c r="AV132" s="2082"/>
      <c r="AW132" s="2082"/>
      <c r="AX132" s="2082"/>
      <c r="AY132" s="2082"/>
      <c r="AZ132" s="2082"/>
      <c r="BA132" s="2082"/>
      <c r="BB132" s="2082"/>
      <c r="BC132" s="2082"/>
      <c r="BD132" s="2083"/>
      <c r="BE132" s="1196"/>
    </row>
    <row r="133" spans="1:57" ht="15.75" customHeight="1">
      <c r="A133" s="1192"/>
      <c r="B133" s="1917" t="s">
        <v>2362</v>
      </c>
      <c r="C133" s="1918"/>
      <c r="D133" s="1918"/>
      <c r="E133" s="1918"/>
      <c r="F133" s="1918"/>
      <c r="G133" s="1918"/>
      <c r="H133" s="1918"/>
      <c r="I133" s="1918"/>
      <c r="J133" s="1918"/>
      <c r="K133" s="1918"/>
      <c r="L133" s="1918"/>
      <c r="M133" s="1918"/>
      <c r="N133" s="1918"/>
      <c r="O133" s="1918"/>
      <c r="P133" s="1918"/>
      <c r="Q133" s="1918"/>
      <c r="R133" s="1918"/>
      <c r="S133" s="1918"/>
      <c r="T133" s="1918"/>
      <c r="U133" s="1919"/>
      <c r="V133" s="1192"/>
      <c r="W133" s="1192"/>
      <c r="X133" s="2081"/>
      <c r="Y133" s="2082"/>
      <c r="Z133" s="2082"/>
      <c r="AA133" s="2082"/>
      <c r="AB133" s="2082"/>
      <c r="AC133" s="2082"/>
      <c r="AD133" s="2082"/>
      <c r="AE133" s="2082"/>
      <c r="AF133" s="2082"/>
      <c r="AG133" s="2082"/>
      <c r="AH133" s="2082"/>
      <c r="AI133" s="2082"/>
      <c r="AJ133" s="2082"/>
      <c r="AK133" s="2082"/>
      <c r="AL133" s="2082"/>
      <c r="AM133" s="2082"/>
      <c r="AN133" s="2082"/>
      <c r="AO133" s="2082"/>
      <c r="AP133" s="2082"/>
      <c r="AQ133" s="2082"/>
      <c r="AR133" s="2082"/>
      <c r="AS133" s="2082"/>
      <c r="AT133" s="2082"/>
      <c r="AU133" s="2082"/>
      <c r="AV133" s="2082"/>
      <c r="AW133" s="2082"/>
      <c r="AX133" s="2082"/>
      <c r="AY133" s="2082"/>
      <c r="AZ133" s="2082"/>
      <c r="BA133" s="2082"/>
      <c r="BB133" s="2082"/>
      <c r="BC133" s="2082"/>
      <c r="BD133" s="2083"/>
      <c r="BE133" s="1196"/>
    </row>
    <row r="134" spans="1:57" ht="15.75" customHeight="1">
      <c r="A134" s="1192"/>
      <c r="B134" s="2160"/>
      <c r="C134" s="2161"/>
      <c r="D134" s="2161"/>
      <c r="E134" s="2161"/>
      <c r="F134" s="2161"/>
      <c r="G134" s="2161"/>
      <c r="H134" s="2161"/>
      <c r="I134" s="2162" t="s">
        <v>2350</v>
      </c>
      <c r="J134" s="2162"/>
      <c r="K134" s="2162"/>
      <c r="L134" s="2162"/>
      <c r="M134" s="2162"/>
      <c r="N134" s="2162"/>
      <c r="O134" s="2162"/>
      <c r="P134" s="2162" t="s">
        <v>2349</v>
      </c>
      <c r="Q134" s="2162"/>
      <c r="R134" s="2162"/>
      <c r="S134" s="2162"/>
      <c r="T134" s="2162"/>
      <c r="U134" s="2163"/>
      <c r="V134" s="1192"/>
      <c r="W134" s="1192"/>
      <c r="X134" s="2081"/>
      <c r="Y134" s="2082"/>
      <c r="Z134" s="2082"/>
      <c r="AA134" s="2082"/>
      <c r="AB134" s="2082"/>
      <c r="AC134" s="2082"/>
      <c r="AD134" s="2082"/>
      <c r="AE134" s="2082"/>
      <c r="AF134" s="2082"/>
      <c r="AG134" s="2082"/>
      <c r="AH134" s="2082"/>
      <c r="AI134" s="2082"/>
      <c r="AJ134" s="2082"/>
      <c r="AK134" s="2082"/>
      <c r="AL134" s="2082"/>
      <c r="AM134" s="2082"/>
      <c r="AN134" s="2082"/>
      <c r="AO134" s="2082"/>
      <c r="AP134" s="2082"/>
      <c r="AQ134" s="2082"/>
      <c r="AR134" s="2082"/>
      <c r="AS134" s="2082"/>
      <c r="AT134" s="2082"/>
      <c r="AU134" s="2082"/>
      <c r="AV134" s="2082"/>
      <c r="AW134" s="2082"/>
      <c r="AX134" s="2082"/>
      <c r="AY134" s="2082"/>
      <c r="AZ134" s="2082"/>
      <c r="BA134" s="2082"/>
      <c r="BB134" s="2082"/>
      <c r="BC134" s="2082"/>
      <c r="BD134" s="2083"/>
      <c r="BE134" s="1196"/>
    </row>
    <row r="135" spans="1:57" ht="15.75" customHeight="1">
      <c r="A135" s="1192"/>
      <c r="B135" s="2160"/>
      <c r="C135" s="2161"/>
      <c r="D135" s="2161"/>
      <c r="E135" s="2161"/>
      <c r="F135" s="2161"/>
      <c r="G135" s="2161"/>
      <c r="H135" s="2161"/>
      <c r="I135" s="2162"/>
      <c r="J135" s="2162"/>
      <c r="K135" s="2162"/>
      <c r="L135" s="2162"/>
      <c r="M135" s="2162"/>
      <c r="N135" s="2162"/>
      <c r="O135" s="2162"/>
      <c r="P135" s="2162"/>
      <c r="Q135" s="2162"/>
      <c r="R135" s="2162"/>
      <c r="S135" s="2162"/>
      <c r="T135" s="2162"/>
      <c r="U135" s="2163"/>
      <c r="V135" s="1192"/>
      <c r="W135" s="1192"/>
      <c r="X135" s="2081"/>
      <c r="Y135" s="2082"/>
      <c r="Z135" s="2082"/>
      <c r="AA135" s="2082"/>
      <c r="AB135" s="2082"/>
      <c r="AC135" s="2082"/>
      <c r="AD135" s="2082"/>
      <c r="AE135" s="2082"/>
      <c r="AF135" s="2082"/>
      <c r="AG135" s="2082"/>
      <c r="AH135" s="2082"/>
      <c r="AI135" s="2082"/>
      <c r="AJ135" s="2082"/>
      <c r="AK135" s="2082"/>
      <c r="AL135" s="2082"/>
      <c r="AM135" s="2082"/>
      <c r="AN135" s="2082"/>
      <c r="AO135" s="2082"/>
      <c r="AP135" s="2082"/>
      <c r="AQ135" s="2082"/>
      <c r="AR135" s="2082"/>
      <c r="AS135" s="2082"/>
      <c r="AT135" s="2082"/>
      <c r="AU135" s="2082"/>
      <c r="AV135" s="2082"/>
      <c r="AW135" s="2082"/>
      <c r="AX135" s="2082"/>
      <c r="AY135" s="2082"/>
      <c r="AZ135" s="2082"/>
      <c r="BA135" s="2082"/>
      <c r="BB135" s="2082"/>
      <c r="BC135" s="2082"/>
      <c r="BD135" s="2083"/>
      <c r="BE135" s="1196"/>
    </row>
    <row r="136" spans="1:57" ht="15.75" customHeight="1">
      <c r="A136" s="1192"/>
      <c r="B136" s="2118" t="s">
        <v>2348</v>
      </c>
      <c r="C136" s="2119"/>
      <c r="D136" s="2119"/>
      <c r="E136" s="2119"/>
      <c r="F136" s="2119"/>
      <c r="G136" s="2119"/>
      <c r="H136" s="2119"/>
      <c r="I136" s="2092">
        <v>0</v>
      </c>
      <c r="J136" s="2092"/>
      <c r="K136" s="2092"/>
      <c r="L136" s="2092"/>
      <c r="M136" s="2092"/>
      <c r="N136" s="2092"/>
      <c r="O136" s="2092"/>
      <c r="P136" s="2092">
        <v>0</v>
      </c>
      <c r="Q136" s="2092"/>
      <c r="R136" s="2092"/>
      <c r="S136" s="2092"/>
      <c r="T136" s="2092"/>
      <c r="U136" s="2093"/>
      <c r="V136" s="1192"/>
      <c r="W136" s="1192"/>
      <c r="X136" s="2081"/>
      <c r="Y136" s="2082"/>
      <c r="Z136" s="2082"/>
      <c r="AA136" s="2082"/>
      <c r="AB136" s="2082"/>
      <c r="AC136" s="2082"/>
      <c r="AD136" s="2082"/>
      <c r="AE136" s="2082"/>
      <c r="AF136" s="2082"/>
      <c r="AG136" s="2082"/>
      <c r="AH136" s="2082"/>
      <c r="AI136" s="2082"/>
      <c r="AJ136" s="2082"/>
      <c r="AK136" s="2082"/>
      <c r="AL136" s="2082"/>
      <c r="AM136" s="2082"/>
      <c r="AN136" s="2082"/>
      <c r="AO136" s="2082"/>
      <c r="AP136" s="2082"/>
      <c r="AQ136" s="2082"/>
      <c r="AR136" s="2082"/>
      <c r="AS136" s="2082"/>
      <c r="AT136" s="2082"/>
      <c r="AU136" s="2082"/>
      <c r="AV136" s="2082"/>
      <c r="AW136" s="2082"/>
      <c r="AX136" s="2082"/>
      <c r="AY136" s="2082"/>
      <c r="AZ136" s="2082"/>
      <c r="BA136" s="2082"/>
      <c r="BB136" s="2082"/>
      <c r="BC136" s="2082"/>
      <c r="BD136" s="2083"/>
      <c r="BE136" s="1196"/>
    </row>
    <row r="137" spans="1:57" ht="15.75" customHeight="1" thickBot="1">
      <c r="A137" s="1192"/>
      <c r="B137" s="2120" t="s">
        <v>2347</v>
      </c>
      <c r="C137" s="2121"/>
      <c r="D137" s="2121"/>
      <c r="E137" s="2121"/>
      <c r="F137" s="2121"/>
      <c r="G137" s="2121"/>
      <c r="H137" s="2121"/>
      <c r="I137" s="2107">
        <v>0</v>
      </c>
      <c r="J137" s="2107"/>
      <c r="K137" s="2107"/>
      <c r="L137" s="2107"/>
      <c r="M137" s="2107"/>
      <c r="N137" s="2107"/>
      <c r="O137" s="2107"/>
      <c r="P137" s="2107">
        <v>0</v>
      </c>
      <c r="Q137" s="2107"/>
      <c r="R137" s="2107"/>
      <c r="S137" s="2107"/>
      <c r="T137" s="2107"/>
      <c r="U137" s="2108"/>
      <c r="V137" s="1192"/>
      <c r="W137" s="1192"/>
      <c r="X137" s="2084"/>
      <c r="Y137" s="2085"/>
      <c r="Z137" s="2085"/>
      <c r="AA137" s="2085"/>
      <c r="AB137" s="2085"/>
      <c r="AC137" s="2085"/>
      <c r="AD137" s="2085"/>
      <c r="AE137" s="2085"/>
      <c r="AF137" s="2085"/>
      <c r="AG137" s="2085"/>
      <c r="AH137" s="2085"/>
      <c r="AI137" s="2085"/>
      <c r="AJ137" s="2085"/>
      <c r="AK137" s="2085"/>
      <c r="AL137" s="2085"/>
      <c r="AM137" s="2085"/>
      <c r="AN137" s="2085"/>
      <c r="AO137" s="2085"/>
      <c r="AP137" s="2085"/>
      <c r="AQ137" s="2085"/>
      <c r="AR137" s="2085"/>
      <c r="AS137" s="2085"/>
      <c r="AT137" s="2085"/>
      <c r="AU137" s="2085"/>
      <c r="AV137" s="2085"/>
      <c r="AW137" s="2085"/>
      <c r="AX137" s="2085"/>
      <c r="AY137" s="2085"/>
      <c r="AZ137" s="2085"/>
      <c r="BA137" s="2085"/>
      <c r="BB137" s="2085"/>
      <c r="BC137" s="2085"/>
      <c r="BD137" s="2086"/>
      <c r="BE137" s="1196"/>
    </row>
    <row r="138" spans="1:57" ht="15.75" customHeight="1" thickBot="1">
      <c r="A138" s="1192"/>
      <c r="B138" s="1192"/>
      <c r="C138" s="1192"/>
      <c r="D138" s="1192"/>
      <c r="E138" s="1192"/>
      <c r="F138" s="1192"/>
      <c r="G138" s="1192"/>
      <c r="H138" s="1192"/>
      <c r="I138" s="1192"/>
      <c r="J138" s="1192"/>
      <c r="K138" s="1192"/>
      <c r="L138" s="1192"/>
      <c r="M138" s="1192"/>
      <c r="N138" s="1192"/>
      <c r="O138" s="1192"/>
      <c r="P138" s="1192"/>
      <c r="Q138" s="1229"/>
      <c r="R138" s="1192"/>
      <c r="S138" s="1192"/>
      <c r="T138" s="1192"/>
      <c r="U138" s="1192"/>
      <c r="V138" s="1192"/>
      <c r="W138" s="1192"/>
      <c r="X138" s="1192"/>
      <c r="Y138" s="1192"/>
      <c r="Z138" s="1192"/>
      <c r="AA138" s="1192"/>
      <c r="AB138" s="1192"/>
      <c r="AC138" s="1192"/>
      <c r="AD138" s="1192"/>
      <c r="AE138" s="1192"/>
      <c r="AF138" s="1192"/>
      <c r="AG138" s="1192"/>
      <c r="AH138" s="1192"/>
      <c r="AI138" s="1192"/>
      <c r="AJ138" s="1192"/>
      <c r="AK138" s="1192"/>
      <c r="AL138" s="1192"/>
      <c r="AM138" s="1192"/>
      <c r="AN138" s="1192"/>
      <c r="AO138" s="1192"/>
      <c r="AP138" s="1192"/>
      <c r="AQ138" s="1192"/>
      <c r="AR138" s="1192"/>
      <c r="AS138" s="1192"/>
      <c r="AT138" s="1192"/>
      <c r="AU138" s="1192"/>
      <c r="AV138" s="1192"/>
      <c r="AW138" s="1192"/>
      <c r="AX138" s="1192"/>
      <c r="AY138" s="1192"/>
      <c r="AZ138" s="1192"/>
      <c r="BA138" s="1192"/>
      <c r="BB138" s="1192"/>
      <c r="BC138" s="1192"/>
      <c r="BD138" s="1192"/>
      <c r="BE138" s="1196"/>
    </row>
    <row r="139" spans="1:57" ht="15.75" customHeight="1">
      <c r="A139" s="1192"/>
      <c r="B139" s="2158" t="s">
        <v>2361</v>
      </c>
      <c r="C139" s="2159"/>
      <c r="D139" s="2159"/>
      <c r="E139" s="2159"/>
      <c r="F139" s="2159"/>
      <c r="G139" s="2159"/>
      <c r="H139" s="2159"/>
      <c r="I139" s="2159"/>
      <c r="J139" s="2159"/>
      <c r="K139" s="2159"/>
      <c r="L139" s="2159"/>
      <c r="M139" s="2159"/>
      <c r="N139" s="2159"/>
      <c r="O139" s="2159"/>
      <c r="P139" s="2159"/>
      <c r="Q139" s="2159"/>
      <c r="R139" s="2159"/>
      <c r="S139" s="2159"/>
      <c r="T139" s="2159"/>
      <c r="U139" s="2159"/>
      <c r="V139" s="2159"/>
      <c r="W139" s="2159"/>
      <c r="X139" s="2159"/>
      <c r="Y139" s="2159"/>
      <c r="Z139" s="2159"/>
      <c r="AA139" s="2159"/>
      <c r="AB139" s="2159"/>
      <c r="AC139" s="2159"/>
      <c r="AD139" s="2159"/>
      <c r="AE139" s="2159"/>
      <c r="AF139" s="2159"/>
      <c r="AG139" s="2159"/>
      <c r="AH139" s="2040" t="s">
        <v>545</v>
      </c>
      <c r="AI139" s="2040"/>
      <c r="AJ139" s="2040"/>
      <c r="AK139" s="2040"/>
      <c r="AL139" s="2040"/>
      <c r="AM139" s="2040"/>
      <c r="AN139" s="2040"/>
      <c r="AO139" s="2040"/>
      <c r="AP139" s="2040"/>
      <c r="AQ139" s="2040"/>
      <c r="AR139" s="2040"/>
      <c r="AS139" s="2040"/>
      <c r="AT139" s="2040"/>
      <c r="AU139" s="2040"/>
      <c r="AV139" s="2040"/>
      <c r="AW139" s="2040"/>
      <c r="AX139" s="2041"/>
      <c r="AY139" s="1192"/>
      <c r="AZ139" s="1192"/>
      <c r="BA139" s="1192"/>
      <c r="BB139" s="1192"/>
      <c r="BC139" s="1192"/>
      <c r="BD139" s="1192"/>
      <c r="BE139" s="1196"/>
    </row>
    <row r="140" spans="1:57" ht="15.75" customHeight="1" thickBot="1">
      <c r="A140" s="1192"/>
      <c r="B140" s="2145" t="s">
        <v>2360</v>
      </c>
      <c r="C140" s="2146"/>
      <c r="D140" s="2146"/>
      <c r="E140" s="2146"/>
      <c r="F140" s="2146"/>
      <c r="G140" s="2146"/>
      <c r="H140" s="2146"/>
      <c r="I140" s="2146"/>
      <c r="J140" s="2146"/>
      <c r="K140" s="2146"/>
      <c r="L140" s="2146"/>
      <c r="M140" s="2146"/>
      <c r="N140" s="2146"/>
      <c r="O140" s="2146"/>
      <c r="P140" s="2146"/>
      <c r="Q140" s="2146"/>
      <c r="R140" s="2146"/>
      <c r="S140" s="2146"/>
      <c r="T140" s="2146"/>
      <c r="U140" s="2146"/>
      <c r="V140" s="2146"/>
      <c r="W140" s="2146"/>
      <c r="X140" s="2146"/>
      <c r="Y140" s="2146"/>
      <c r="Z140" s="2146"/>
      <c r="AA140" s="2146"/>
      <c r="AB140" s="2146"/>
      <c r="AC140" s="2146"/>
      <c r="AD140" s="2146"/>
      <c r="AE140" s="2146"/>
      <c r="AF140" s="2146"/>
      <c r="AG140" s="2147"/>
      <c r="AH140" s="2109"/>
      <c r="AI140" s="2110"/>
      <c r="AJ140" s="2110"/>
      <c r="AK140" s="2110"/>
      <c r="AL140" s="2110"/>
      <c r="AM140" s="2110"/>
      <c r="AN140" s="2110"/>
      <c r="AO140" s="2110"/>
      <c r="AP140" s="2110"/>
      <c r="AQ140" s="2110"/>
      <c r="AR140" s="2110"/>
      <c r="AS140" s="2110"/>
      <c r="AT140" s="2110"/>
      <c r="AU140" s="2110"/>
      <c r="AV140" s="2110"/>
      <c r="AW140" s="2110"/>
      <c r="AX140" s="2111"/>
      <c r="AY140" s="1192"/>
      <c r="AZ140" s="1192"/>
      <c r="BA140" s="1192"/>
      <c r="BB140" s="1192"/>
      <c r="BC140" s="1192"/>
      <c r="BD140" s="1192"/>
      <c r="BE140" s="1196"/>
    </row>
    <row r="141" spans="1:57" ht="15.75" customHeight="1">
      <c r="A141" s="1192"/>
      <c r="B141" s="2145" t="s">
        <v>2359</v>
      </c>
      <c r="C141" s="2146"/>
      <c r="D141" s="2146"/>
      <c r="E141" s="2146"/>
      <c r="F141" s="2146"/>
      <c r="G141" s="2146"/>
      <c r="H141" s="2146"/>
      <c r="I141" s="2146"/>
      <c r="J141" s="2146"/>
      <c r="K141" s="2146"/>
      <c r="L141" s="2146"/>
      <c r="M141" s="2146"/>
      <c r="N141" s="2146"/>
      <c r="O141" s="2146"/>
      <c r="P141" s="2146"/>
      <c r="Q141" s="2146"/>
      <c r="R141" s="2146"/>
      <c r="S141" s="2146"/>
      <c r="T141" s="2146"/>
      <c r="U141" s="2146"/>
      <c r="V141" s="2146"/>
      <c r="W141" s="2146"/>
      <c r="X141" s="2146"/>
      <c r="Y141" s="2146"/>
      <c r="Z141" s="2146"/>
      <c r="AA141" s="2146"/>
      <c r="AB141" s="2146"/>
      <c r="AC141" s="2146"/>
      <c r="AD141" s="2146"/>
      <c r="AE141" s="2146"/>
      <c r="AF141" s="2146"/>
      <c r="AG141" s="2147"/>
      <c r="AH141" s="2040" t="s">
        <v>545</v>
      </c>
      <c r="AI141" s="2040"/>
      <c r="AJ141" s="2040"/>
      <c r="AK141" s="2040"/>
      <c r="AL141" s="2040"/>
      <c r="AM141" s="2040"/>
      <c r="AN141" s="2040"/>
      <c r="AO141" s="2040"/>
      <c r="AP141" s="2040"/>
      <c r="AQ141" s="2040"/>
      <c r="AR141" s="2040"/>
      <c r="AS141" s="2040"/>
      <c r="AT141" s="2040"/>
      <c r="AU141" s="2040"/>
      <c r="AV141" s="2040"/>
      <c r="AW141" s="2040"/>
      <c r="AX141" s="2041"/>
      <c r="AY141" s="1192"/>
      <c r="AZ141" s="1192"/>
      <c r="BA141" s="1192"/>
      <c r="BB141" s="1192"/>
      <c r="BC141" s="1192"/>
      <c r="BD141" s="1192"/>
      <c r="BE141" s="1196"/>
    </row>
    <row r="142" spans="1:57" ht="15.75" customHeight="1">
      <c r="A142" s="1192"/>
      <c r="B142" s="2148" t="s">
        <v>2358</v>
      </c>
      <c r="C142" s="2149"/>
      <c r="D142" s="2149"/>
      <c r="E142" s="2149"/>
      <c r="F142" s="2149"/>
      <c r="G142" s="2149"/>
      <c r="H142" s="2149"/>
      <c r="I142" s="2149"/>
      <c r="J142" s="2149"/>
      <c r="K142" s="2149"/>
      <c r="L142" s="2149"/>
      <c r="M142" s="2149"/>
      <c r="N142" s="2149"/>
      <c r="O142" s="2149"/>
      <c r="P142" s="2149"/>
      <c r="Q142" s="2149"/>
      <c r="R142" s="2150" t="s">
        <v>2357</v>
      </c>
      <c r="S142" s="2150"/>
      <c r="T142" s="2150"/>
      <c r="U142" s="2150"/>
      <c r="V142" s="2150"/>
      <c r="W142" s="2150"/>
      <c r="X142" s="2150"/>
      <c r="Y142" s="2150"/>
      <c r="Z142" s="2150"/>
      <c r="AA142" s="2150"/>
      <c r="AB142" s="2150"/>
      <c r="AC142" s="2150"/>
      <c r="AD142" s="2150"/>
      <c r="AE142" s="2150"/>
      <c r="AF142" s="2150"/>
      <c r="AG142" s="2150"/>
      <c r="AH142" s="2150"/>
      <c r="AI142" s="2150"/>
      <c r="AJ142" s="2150"/>
      <c r="AK142" s="2150"/>
      <c r="AL142" s="2150"/>
      <c r="AM142" s="2150"/>
      <c r="AN142" s="2150"/>
      <c r="AO142" s="2150"/>
      <c r="AP142" s="2150"/>
      <c r="AQ142" s="2150"/>
      <c r="AR142" s="2150"/>
      <c r="AS142" s="2150"/>
      <c r="AT142" s="2150"/>
      <c r="AU142" s="2150"/>
      <c r="AV142" s="2150"/>
      <c r="AW142" s="2150"/>
      <c r="AX142" s="2151"/>
      <c r="AY142" s="1192"/>
      <c r="AZ142" s="1192"/>
      <c r="BA142" s="1192"/>
      <c r="BB142" s="1192"/>
      <c r="BC142" s="1192" t="s">
        <v>250</v>
      </c>
      <c r="BD142" s="1192"/>
      <c r="BE142" s="1196"/>
    </row>
    <row r="143" spans="1:57" ht="15.75" customHeight="1">
      <c r="A143" s="1192"/>
      <c r="B143" s="2152" t="s">
        <v>2356</v>
      </c>
      <c r="C143" s="2153"/>
      <c r="D143" s="2153"/>
      <c r="E143" s="2153"/>
      <c r="F143" s="2153"/>
      <c r="G143" s="2153"/>
      <c r="H143" s="2153"/>
      <c r="I143" s="2153"/>
      <c r="J143" s="2153"/>
      <c r="K143" s="2153"/>
      <c r="L143" s="2153"/>
      <c r="M143" s="2153"/>
      <c r="N143" s="2153"/>
      <c r="O143" s="2153"/>
      <c r="P143" s="2153"/>
      <c r="Q143" s="2153"/>
      <c r="R143" s="2153"/>
      <c r="S143" s="2153"/>
      <c r="T143" s="2153"/>
      <c r="U143" s="2153"/>
      <c r="V143" s="2153"/>
      <c r="W143" s="2153"/>
      <c r="X143" s="2153"/>
      <c r="Y143" s="2153"/>
      <c r="Z143" s="2153"/>
      <c r="AA143" s="2153"/>
      <c r="AB143" s="2153"/>
      <c r="AC143" s="2153"/>
      <c r="AD143" s="2153"/>
      <c r="AE143" s="2153"/>
      <c r="AF143" s="2153"/>
      <c r="AG143" s="2153"/>
      <c r="AH143" s="2153"/>
      <c r="AI143" s="2153"/>
      <c r="AJ143" s="2153"/>
      <c r="AK143" s="2153"/>
      <c r="AL143" s="2153"/>
      <c r="AM143" s="2153"/>
      <c r="AN143" s="2153"/>
      <c r="AO143" s="2153"/>
      <c r="AP143" s="2153"/>
      <c r="AQ143" s="2153"/>
      <c r="AR143" s="2153"/>
      <c r="AS143" s="2153"/>
      <c r="AT143" s="2153"/>
      <c r="AU143" s="2153"/>
      <c r="AV143" s="2153"/>
      <c r="AW143" s="2153"/>
      <c r="AX143" s="2154"/>
      <c r="AY143" s="1192"/>
      <c r="AZ143" s="1192"/>
      <c r="BA143" s="1192"/>
      <c r="BB143" s="1192"/>
      <c r="BC143" s="1192"/>
      <c r="BD143" s="1192"/>
      <c r="BE143" s="1196"/>
    </row>
    <row r="144" spans="1:57" ht="15.75" customHeight="1">
      <c r="A144" s="1192"/>
      <c r="B144" s="2152"/>
      <c r="C144" s="2153"/>
      <c r="D144" s="2153"/>
      <c r="E144" s="2153"/>
      <c r="F144" s="2153"/>
      <c r="G144" s="2153"/>
      <c r="H144" s="2153"/>
      <c r="I144" s="2153"/>
      <c r="J144" s="2153"/>
      <c r="K144" s="2153"/>
      <c r="L144" s="2153"/>
      <c r="M144" s="2153"/>
      <c r="N144" s="2153"/>
      <c r="O144" s="2153"/>
      <c r="P144" s="2153"/>
      <c r="Q144" s="2153"/>
      <c r="R144" s="2153"/>
      <c r="S144" s="2153"/>
      <c r="T144" s="2153"/>
      <c r="U144" s="2153"/>
      <c r="V144" s="2153"/>
      <c r="W144" s="2153"/>
      <c r="X144" s="2153"/>
      <c r="Y144" s="2153"/>
      <c r="Z144" s="2153"/>
      <c r="AA144" s="2153"/>
      <c r="AB144" s="2153"/>
      <c r="AC144" s="2153"/>
      <c r="AD144" s="2153"/>
      <c r="AE144" s="2153"/>
      <c r="AF144" s="2153"/>
      <c r="AG144" s="2153"/>
      <c r="AH144" s="2153"/>
      <c r="AI144" s="2153"/>
      <c r="AJ144" s="2153"/>
      <c r="AK144" s="2153"/>
      <c r="AL144" s="2153"/>
      <c r="AM144" s="2153"/>
      <c r="AN144" s="2153"/>
      <c r="AO144" s="2153"/>
      <c r="AP144" s="2153"/>
      <c r="AQ144" s="2153"/>
      <c r="AR144" s="2153"/>
      <c r="AS144" s="2153"/>
      <c r="AT144" s="2153"/>
      <c r="AU144" s="2153"/>
      <c r="AV144" s="2153"/>
      <c r="AW144" s="2153"/>
      <c r="AX144" s="2154"/>
      <c r="AY144" s="1192"/>
      <c r="AZ144" s="1192"/>
      <c r="BA144" s="1192"/>
      <c r="BB144" s="1192"/>
      <c r="BC144" s="1192"/>
      <c r="BD144" s="1192"/>
      <c r="BE144" s="1196"/>
    </row>
    <row r="145" spans="1:57" ht="15.75" customHeight="1">
      <c r="A145" s="1192"/>
      <c r="B145" s="2152"/>
      <c r="C145" s="2153"/>
      <c r="D145" s="2153"/>
      <c r="E145" s="2153"/>
      <c r="F145" s="2153"/>
      <c r="G145" s="2153"/>
      <c r="H145" s="2153"/>
      <c r="I145" s="2153"/>
      <c r="J145" s="2153"/>
      <c r="K145" s="2153"/>
      <c r="L145" s="2153"/>
      <c r="M145" s="2153"/>
      <c r="N145" s="2153"/>
      <c r="O145" s="2153"/>
      <c r="P145" s="2153"/>
      <c r="Q145" s="2153"/>
      <c r="R145" s="2153"/>
      <c r="S145" s="2153"/>
      <c r="T145" s="2153"/>
      <c r="U145" s="2153"/>
      <c r="V145" s="2153"/>
      <c r="W145" s="2153"/>
      <c r="X145" s="2153"/>
      <c r="Y145" s="2153"/>
      <c r="Z145" s="2153"/>
      <c r="AA145" s="2153"/>
      <c r="AB145" s="2153"/>
      <c r="AC145" s="2153"/>
      <c r="AD145" s="2153"/>
      <c r="AE145" s="2153"/>
      <c r="AF145" s="2153"/>
      <c r="AG145" s="2153"/>
      <c r="AH145" s="2153"/>
      <c r="AI145" s="2153"/>
      <c r="AJ145" s="2153"/>
      <c r="AK145" s="2153"/>
      <c r="AL145" s="2153"/>
      <c r="AM145" s="2153"/>
      <c r="AN145" s="2153"/>
      <c r="AO145" s="2153"/>
      <c r="AP145" s="2153"/>
      <c r="AQ145" s="2153"/>
      <c r="AR145" s="2153"/>
      <c r="AS145" s="2153"/>
      <c r="AT145" s="2153"/>
      <c r="AU145" s="2153"/>
      <c r="AV145" s="2153"/>
      <c r="AW145" s="2153"/>
      <c r="AX145" s="2154"/>
      <c r="AY145" s="1192"/>
      <c r="AZ145" s="1192"/>
      <c r="BA145" s="1192"/>
      <c r="BB145" s="1192"/>
      <c r="BC145" s="1192"/>
      <c r="BD145" s="1192"/>
      <c r="BE145" s="1196"/>
    </row>
    <row r="146" spans="1:57" ht="15.75" customHeight="1">
      <c r="A146" s="1192"/>
      <c r="B146" s="2152"/>
      <c r="C146" s="2153"/>
      <c r="D146" s="2153"/>
      <c r="E146" s="2153"/>
      <c r="F146" s="2153"/>
      <c r="G146" s="2153"/>
      <c r="H146" s="2153"/>
      <c r="I146" s="2153"/>
      <c r="J146" s="2153"/>
      <c r="K146" s="2153"/>
      <c r="L146" s="2153"/>
      <c r="M146" s="2153"/>
      <c r="N146" s="2153"/>
      <c r="O146" s="2153"/>
      <c r="P146" s="2153"/>
      <c r="Q146" s="2153"/>
      <c r="R146" s="2153"/>
      <c r="S146" s="2153"/>
      <c r="T146" s="2153"/>
      <c r="U146" s="2153"/>
      <c r="V146" s="2153"/>
      <c r="W146" s="2153"/>
      <c r="X146" s="2153"/>
      <c r="Y146" s="2153"/>
      <c r="Z146" s="2153"/>
      <c r="AA146" s="2153"/>
      <c r="AB146" s="2153"/>
      <c r="AC146" s="2153"/>
      <c r="AD146" s="2153"/>
      <c r="AE146" s="2153"/>
      <c r="AF146" s="2153"/>
      <c r="AG146" s="2153"/>
      <c r="AH146" s="2153"/>
      <c r="AI146" s="2153"/>
      <c r="AJ146" s="2153"/>
      <c r="AK146" s="2153"/>
      <c r="AL146" s="2153"/>
      <c r="AM146" s="2153"/>
      <c r="AN146" s="2153"/>
      <c r="AO146" s="2153"/>
      <c r="AP146" s="2153"/>
      <c r="AQ146" s="2153"/>
      <c r="AR146" s="2153"/>
      <c r="AS146" s="2153"/>
      <c r="AT146" s="2153"/>
      <c r="AU146" s="2153"/>
      <c r="AV146" s="2153"/>
      <c r="AW146" s="2153"/>
      <c r="AX146" s="2154"/>
      <c r="AY146" s="1192"/>
      <c r="AZ146" s="1192"/>
      <c r="BA146" s="1192"/>
      <c r="BB146" s="1192"/>
      <c r="BC146" s="1192"/>
      <c r="BD146" s="1192"/>
      <c r="BE146" s="1196"/>
    </row>
    <row r="147" spans="1:57" ht="15.75" customHeight="1">
      <c r="A147" s="1192"/>
      <c r="B147" s="2152"/>
      <c r="C147" s="2153"/>
      <c r="D147" s="2153"/>
      <c r="E147" s="2153"/>
      <c r="F147" s="2153"/>
      <c r="G147" s="2153"/>
      <c r="H147" s="2153"/>
      <c r="I147" s="2153"/>
      <c r="J147" s="2153"/>
      <c r="K147" s="2153"/>
      <c r="L147" s="2153"/>
      <c r="M147" s="2153"/>
      <c r="N147" s="2153"/>
      <c r="O147" s="2153"/>
      <c r="P147" s="2153"/>
      <c r="Q147" s="2153"/>
      <c r="R147" s="2153"/>
      <c r="S147" s="2153"/>
      <c r="T147" s="2153"/>
      <c r="U147" s="2153"/>
      <c r="V147" s="2153"/>
      <c r="W147" s="2153"/>
      <c r="X147" s="2153"/>
      <c r="Y147" s="2153"/>
      <c r="Z147" s="2153"/>
      <c r="AA147" s="2153"/>
      <c r="AB147" s="2153"/>
      <c r="AC147" s="2153"/>
      <c r="AD147" s="2153"/>
      <c r="AE147" s="2153"/>
      <c r="AF147" s="2153"/>
      <c r="AG147" s="2153"/>
      <c r="AH147" s="2153"/>
      <c r="AI147" s="2153"/>
      <c r="AJ147" s="2153"/>
      <c r="AK147" s="2153"/>
      <c r="AL147" s="2153"/>
      <c r="AM147" s="2153"/>
      <c r="AN147" s="2153"/>
      <c r="AO147" s="2153"/>
      <c r="AP147" s="2153"/>
      <c r="AQ147" s="2153"/>
      <c r="AR147" s="2153"/>
      <c r="AS147" s="2153"/>
      <c r="AT147" s="2153"/>
      <c r="AU147" s="2153"/>
      <c r="AV147" s="2153"/>
      <c r="AW147" s="2153"/>
      <c r="AX147" s="2154"/>
      <c r="AY147" s="1192"/>
      <c r="AZ147" s="1192"/>
      <c r="BA147" s="1192"/>
      <c r="BB147" s="1192"/>
      <c r="BC147" s="1192"/>
      <c r="BD147" s="1192"/>
      <c r="BE147" s="1196"/>
    </row>
    <row r="148" spans="1:57" ht="15.75" customHeight="1">
      <c r="A148" s="1192"/>
      <c r="B148" s="2152"/>
      <c r="C148" s="2153"/>
      <c r="D148" s="2153"/>
      <c r="E148" s="2153"/>
      <c r="F148" s="2153"/>
      <c r="G148" s="2153"/>
      <c r="H148" s="2153"/>
      <c r="I148" s="2153"/>
      <c r="J148" s="2153"/>
      <c r="K148" s="2153"/>
      <c r="L148" s="2153"/>
      <c r="M148" s="2153"/>
      <c r="N148" s="2153"/>
      <c r="O148" s="2153"/>
      <c r="P148" s="2153"/>
      <c r="Q148" s="2153"/>
      <c r="R148" s="2153"/>
      <c r="S148" s="2153"/>
      <c r="T148" s="2153"/>
      <c r="U148" s="2153"/>
      <c r="V148" s="2153"/>
      <c r="W148" s="2153"/>
      <c r="X148" s="2153"/>
      <c r="Y148" s="2153"/>
      <c r="Z148" s="2153"/>
      <c r="AA148" s="2153"/>
      <c r="AB148" s="2153"/>
      <c r="AC148" s="2153"/>
      <c r="AD148" s="2153"/>
      <c r="AE148" s="2153"/>
      <c r="AF148" s="2153"/>
      <c r="AG148" s="2153"/>
      <c r="AH148" s="2153"/>
      <c r="AI148" s="2153"/>
      <c r="AJ148" s="2153"/>
      <c r="AK148" s="2153"/>
      <c r="AL148" s="2153"/>
      <c r="AM148" s="2153"/>
      <c r="AN148" s="2153"/>
      <c r="AO148" s="2153"/>
      <c r="AP148" s="2153"/>
      <c r="AQ148" s="2153"/>
      <c r="AR148" s="2153"/>
      <c r="AS148" s="2153"/>
      <c r="AT148" s="2153"/>
      <c r="AU148" s="2153"/>
      <c r="AV148" s="2153"/>
      <c r="AW148" s="2153"/>
      <c r="AX148" s="2154"/>
      <c r="AY148" s="1192"/>
      <c r="AZ148" s="1192"/>
      <c r="BA148" s="1192"/>
      <c r="BB148" s="1192"/>
      <c r="BC148" s="1192"/>
      <c r="BD148" s="1192"/>
      <c r="BE148" s="1196"/>
    </row>
    <row r="149" spans="1:57" ht="15.75" customHeight="1">
      <c r="A149" s="1192"/>
      <c r="B149" s="2152"/>
      <c r="C149" s="2153"/>
      <c r="D149" s="2153"/>
      <c r="E149" s="2153"/>
      <c r="F149" s="2153"/>
      <c r="G149" s="2153"/>
      <c r="H149" s="2153"/>
      <c r="I149" s="2153"/>
      <c r="J149" s="2153"/>
      <c r="K149" s="2153"/>
      <c r="L149" s="2153"/>
      <c r="M149" s="2153"/>
      <c r="N149" s="2153"/>
      <c r="O149" s="2153"/>
      <c r="P149" s="2153"/>
      <c r="Q149" s="2153"/>
      <c r="R149" s="2153"/>
      <c r="S149" s="2153"/>
      <c r="T149" s="2153"/>
      <c r="U149" s="2153"/>
      <c r="V149" s="2153"/>
      <c r="W149" s="2153"/>
      <c r="X149" s="2153"/>
      <c r="Y149" s="2153"/>
      <c r="Z149" s="2153"/>
      <c r="AA149" s="2153"/>
      <c r="AB149" s="2153"/>
      <c r="AC149" s="2153"/>
      <c r="AD149" s="2153"/>
      <c r="AE149" s="2153"/>
      <c r="AF149" s="2153"/>
      <c r="AG149" s="2153"/>
      <c r="AH149" s="2153"/>
      <c r="AI149" s="2153"/>
      <c r="AJ149" s="2153"/>
      <c r="AK149" s="2153"/>
      <c r="AL149" s="2153"/>
      <c r="AM149" s="2153"/>
      <c r="AN149" s="2153"/>
      <c r="AO149" s="2153"/>
      <c r="AP149" s="2153"/>
      <c r="AQ149" s="2153"/>
      <c r="AR149" s="2153"/>
      <c r="AS149" s="2153"/>
      <c r="AT149" s="2153"/>
      <c r="AU149" s="2153"/>
      <c r="AV149" s="2153"/>
      <c r="AW149" s="2153"/>
      <c r="AX149" s="2154"/>
      <c r="AY149" s="1192"/>
      <c r="AZ149" s="1192"/>
      <c r="BA149" s="1192"/>
      <c r="BB149" s="1192"/>
      <c r="BC149" s="1192"/>
      <c r="BD149" s="1192"/>
      <c r="BE149" s="1196"/>
    </row>
    <row r="150" spans="1:57" ht="15.75" customHeight="1">
      <c r="A150" s="1192"/>
      <c r="B150" s="2152"/>
      <c r="C150" s="2153"/>
      <c r="D150" s="2153"/>
      <c r="E150" s="2153"/>
      <c r="F150" s="2153"/>
      <c r="G150" s="2153"/>
      <c r="H150" s="2153"/>
      <c r="I150" s="2153"/>
      <c r="J150" s="2153"/>
      <c r="K150" s="2153"/>
      <c r="L150" s="2153"/>
      <c r="M150" s="2153"/>
      <c r="N150" s="2153"/>
      <c r="O150" s="2153"/>
      <c r="P150" s="2153"/>
      <c r="Q150" s="2153"/>
      <c r="R150" s="2153"/>
      <c r="S150" s="2153"/>
      <c r="T150" s="2153"/>
      <c r="U150" s="2153"/>
      <c r="V150" s="2153"/>
      <c r="W150" s="2153"/>
      <c r="X150" s="2153"/>
      <c r="Y150" s="2153"/>
      <c r="Z150" s="2153"/>
      <c r="AA150" s="2153"/>
      <c r="AB150" s="2153"/>
      <c r="AC150" s="2153"/>
      <c r="AD150" s="2153"/>
      <c r="AE150" s="2153"/>
      <c r="AF150" s="2153"/>
      <c r="AG150" s="2153"/>
      <c r="AH150" s="2153"/>
      <c r="AI150" s="2153"/>
      <c r="AJ150" s="2153"/>
      <c r="AK150" s="2153"/>
      <c r="AL150" s="2153"/>
      <c r="AM150" s="2153"/>
      <c r="AN150" s="2153"/>
      <c r="AO150" s="2153"/>
      <c r="AP150" s="2153"/>
      <c r="AQ150" s="2153"/>
      <c r="AR150" s="2153"/>
      <c r="AS150" s="2153"/>
      <c r="AT150" s="2153"/>
      <c r="AU150" s="2153"/>
      <c r="AV150" s="2153"/>
      <c r="AW150" s="2153"/>
      <c r="AX150" s="2154"/>
      <c r="AY150" s="1192"/>
      <c r="AZ150" s="1192"/>
      <c r="BA150" s="1192"/>
      <c r="BB150" s="1192"/>
      <c r="BC150" s="1192"/>
      <c r="BD150" s="1192"/>
      <c r="BE150" s="1196"/>
    </row>
    <row r="151" spans="1:57" ht="15.75" customHeight="1">
      <c r="A151" s="1192"/>
      <c r="B151" s="2152"/>
      <c r="C151" s="2153"/>
      <c r="D151" s="2153"/>
      <c r="E151" s="2153"/>
      <c r="F151" s="2153"/>
      <c r="G151" s="2153"/>
      <c r="H151" s="2153"/>
      <c r="I151" s="2153"/>
      <c r="J151" s="2153"/>
      <c r="K151" s="2153"/>
      <c r="L151" s="2153"/>
      <c r="M151" s="2153"/>
      <c r="N151" s="2153"/>
      <c r="O151" s="2153"/>
      <c r="P151" s="2153"/>
      <c r="Q151" s="2153"/>
      <c r="R151" s="2153"/>
      <c r="S151" s="2153"/>
      <c r="T151" s="2153"/>
      <c r="U151" s="2153"/>
      <c r="V151" s="2153"/>
      <c r="W151" s="2153"/>
      <c r="X151" s="2153"/>
      <c r="Y151" s="2153"/>
      <c r="Z151" s="2153"/>
      <c r="AA151" s="2153"/>
      <c r="AB151" s="2153"/>
      <c r="AC151" s="2153"/>
      <c r="AD151" s="2153"/>
      <c r="AE151" s="2153"/>
      <c r="AF151" s="2153"/>
      <c r="AG151" s="2153"/>
      <c r="AH151" s="2153"/>
      <c r="AI151" s="2153"/>
      <c r="AJ151" s="2153"/>
      <c r="AK151" s="2153"/>
      <c r="AL151" s="2153"/>
      <c r="AM151" s="2153"/>
      <c r="AN151" s="2153"/>
      <c r="AO151" s="2153"/>
      <c r="AP151" s="2153"/>
      <c r="AQ151" s="2153"/>
      <c r="AR151" s="2153"/>
      <c r="AS151" s="2153"/>
      <c r="AT151" s="2153"/>
      <c r="AU151" s="2153"/>
      <c r="AV151" s="2153"/>
      <c r="AW151" s="2153"/>
      <c r="AX151" s="2154"/>
      <c r="AY151" s="1192"/>
      <c r="AZ151" s="1192"/>
      <c r="BA151" s="1192"/>
      <c r="BB151" s="1192"/>
      <c r="BC151" s="1192"/>
      <c r="BD151" s="1192"/>
      <c r="BE151" s="1196"/>
    </row>
    <row r="152" spans="1:57" ht="15.75" customHeight="1" thickBot="1">
      <c r="A152" s="1192"/>
      <c r="B152" s="2155"/>
      <c r="C152" s="2156"/>
      <c r="D152" s="2156"/>
      <c r="E152" s="2156"/>
      <c r="F152" s="2156"/>
      <c r="G152" s="2156"/>
      <c r="H152" s="2156"/>
      <c r="I152" s="2156"/>
      <c r="J152" s="2156"/>
      <c r="K152" s="2156"/>
      <c r="L152" s="2156"/>
      <c r="M152" s="2156"/>
      <c r="N152" s="2156"/>
      <c r="O152" s="2156"/>
      <c r="P152" s="2156"/>
      <c r="Q152" s="2156"/>
      <c r="R152" s="2156"/>
      <c r="S152" s="2156"/>
      <c r="T152" s="2156"/>
      <c r="U152" s="2156"/>
      <c r="V152" s="2156"/>
      <c r="W152" s="2156"/>
      <c r="X152" s="2156"/>
      <c r="Y152" s="2156"/>
      <c r="Z152" s="2156"/>
      <c r="AA152" s="2156"/>
      <c r="AB152" s="2156"/>
      <c r="AC152" s="2156"/>
      <c r="AD152" s="2156"/>
      <c r="AE152" s="2156"/>
      <c r="AF152" s="2156"/>
      <c r="AG152" s="2156"/>
      <c r="AH152" s="2156"/>
      <c r="AI152" s="2156"/>
      <c r="AJ152" s="2156"/>
      <c r="AK152" s="2156"/>
      <c r="AL152" s="2156"/>
      <c r="AM152" s="2156"/>
      <c r="AN152" s="2156"/>
      <c r="AO152" s="2156"/>
      <c r="AP152" s="2156"/>
      <c r="AQ152" s="2156"/>
      <c r="AR152" s="2156"/>
      <c r="AS152" s="2156"/>
      <c r="AT152" s="2156"/>
      <c r="AU152" s="2156"/>
      <c r="AV152" s="2156"/>
      <c r="AW152" s="2156"/>
      <c r="AX152" s="2157"/>
      <c r="AY152" s="1192"/>
      <c r="AZ152" s="1192"/>
      <c r="BA152" s="1192"/>
      <c r="BB152" s="1192"/>
      <c r="BC152" s="1192"/>
      <c r="BD152" s="1192"/>
      <c r="BE152" s="1196"/>
    </row>
    <row r="153" spans="1:57" ht="15.75" customHeight="1" thickBot="1">
      <c r="A153" s="1192"/>
      <c r="B153" s="1192"/>
      <c r="C153" s="1192"/>
      <c r="D153" s="1192"/>
      <c r="E153" s="1192"/>
      <c r="F153" s="1192"/>
      <c r="G153" s="1192"/>
      <c r="H153" s="1192"/>
      <c r="I153" s="1192"/>
      <c r="J153" s="1192"/>
      <c r="K153" s="1192"/>
      <c r="L153" s="1192"/>
      <c r="M153" s="1192"/>
      <c r="N153" s="1192"/>
      <c r="O153" s="1192"/>
      <c r="P153" s="1192"/>
      <c r="Q153" s="1192"/>
      <c r="R153" s="1192"/>
      <c r="S153" s="1192"/>
      <c r="T153" s="1192"/>
      <c r="U153" s="1192"/>
      <c r="V153" s="1192"/>
      <c r="W153" s="1192"/>
      <c r="X153" s="1192"/>
      <c r="Y153" s="1192"/>
      <c r="Z153" s="1192"/>
      <c r="AA153" s="1192"/>
      <c r="AB153" s="1192"/>
      <c r="AC153" s="1192"/>
      <c r="AD153" s="1192"/>
      <c r="AE153" s="1192"/>
      <c r="AF153" s="1192"/>
      <c r="AG153" s="1192"/>
      <c r="AH153" s="1192"/>
      <c r="AI153" s="1192"/>
      <c r="AJ153" s="1192"/>
      <c r="AK153" s="1192"/>
      <c r="AL153" s="1192"/>
      <c r="AM153" s="1192"/>
      <c r="AN153" s="1192"/>
      <c r="AO153" s="1192"/>
      <c r="AP153" s="1192"/>
      <c r="AQ153" s="1192"/>
      <c r="AR153" s="1192"/>
      <c r="AS153" s="1192"/>
      <c r="AT153" s="1192"/>
      <c r="AU153" s="1192"/>
      <c r="AV153" s="1192"/>
      <c r="AW153" s="1192"/>
      <c r="AX153" s="1192"/>
      <c r="AY153" s="1192"/>
      <c r="AZ153" s="1192"/>
      <c r="BA153" s="1192"/>
      <c r="BB153" s="1192"/>
      <c r="BC153" s="1192"/>
      <c r="BD153" s="1192"/>
      <c r="BE153" s="1196"/>
    </row>
    <row r="154" spans="1:57" ht="15.75" customHeight="1" thickBot="1">
      <c r="A154" s="1192"/>
      <c r="B154" s="1211" t="s">
        <v>2355</v>
      </c>
      <c r="C154" s="1212"/>
      <c r="D154" s="1212"/>
      <c r="E154" s="1212"/>
      <c r="F154" s="1212"/>
      <c r="G154" s="1212"/>
      <c r="H154" s="1212"/>
      <c r="I154" s="1212"/>
      <c r="J154" s="1212"/>
      <c r="K154" s="1212"/>
      <c r="L154" s="1212"/>
      <c r="M154" s="1213"/>
      <c r="N154" s="1197"/>
      <c r="O154" s="1197"/>
      <c r="P154" s="1192"/>
      <c r="Q154" s="1192"/>
      <c r="R154" s="1192"/>
      <c r="S154" s="1192"/>
      <c r="T154" s="1192"/>
      <c r="U154" s="1192" t="s">
        <v>250</v>
      </c>
      <c r="V154" s="1192"/>
      <c r="W154" s="1192"/>
      <c r="X154" s="1211" t="s">
        <v>2354</v>
      </c>
      <c r="Y154" s="1212"/>
      <c r="Z154" s="1212"/>
      <c r="AA154" s="1212"/>
      <c r="AB154" s="1212"/>
      <c r="AC154" s="1212"/>
      <c r="AD154" s="1212"/>
      <c r="AE154" s="1212"/>
      <c r="AF154" s="1212"/>
      <c r="AG154" s="1212"/>
      <c r="AH154" s="1212"/>
      <c r="AI154" s="1212"/>
      <c r="AJ154" s="1212"/>
      <c r="AK154" s="1206"/>
      <c r="AL154" s="1206"/>
      <c r="AM154" s="1207"/>
      <c r="AN154" s="1192"/>
      <c r="AO154" s="1192"/>
      <c r="AP154" s="1192"/>
      <c r="AQ154" s="1192"/>
      <c r="AR154" s="1192"/>
      <c r="AS154" s="1192"/>
      <c r="AT154" s="1192"/>
      <c r="AU154" s="1192"/>
      <c r="AV154" s="1192"/>
      <c r="AW154" s="1192"/>
      <c r="AX154" s="1192"/>
      <c r="AY154" s="1192"/>
      <c r="AZ154" s="1192"/>
      <c r="BA154" s="1192"/>
      <c r="BB154" s="1192"/>
      <c r="BC154" s="1192"/>
      <c r="BD154" s="1192"/>
      <c r="BE154" s="1196"/>
    </row>
    <row r="155" spans="1:57" ht="15.75" customHeight="1" thickBot="1">
      <c r="A155" s="1192"/>
      <c r="B155" s="1192"/>
      <c r="C155" s="1192"/>
      <c r="D155" s="1192"/>
      <c r="E155" s="1192"/>
      <c r="F155" s="1192"/>
      <c r="G155" s="1192"/>
      <c r="H155" s="1192"/>
      <c r="I155" s="1192"/>
      <c r="J155" s="1192"/>
      <c r="K155" s="1192"/>
      <c r="L155" s="1192"/>
      <c r="M155" s="1192"/>
      <c r="N155" s="1192"/>
      <c r="O155" s="1192"/>
      <c r="P155" s="1197"/>
      <c r="Q155" s="1192"/>
      <c r="R155" s="1192"/>
      <c r="S155" s="1192"/>
      <c r="T155" s="1192"/>
      <c r="U155" s="1192"/>
      <c r="V155" s="1192"/>
      <c r="W155" s="1192"/>
      <c r="X155" s="1192"/>
      <c r="Y155" s="1192"/>
      <c r="Z155" s="1192"/>
      <c r="AA155" s="1192"/>
      <c r="AB155" s="1192"/>
      <c r="AC155" s="1192"/>
      <c r="AD155" s="1192"/>
      <c r="AE155" s="1192"/>
      <c r="AF155" s="1192"/>
      <c r="AG155" s="1192"/>
      <c r="AH155" s="1192"/>
      <c r="AI155" s="1192"/>
      <c r="AJ155" s="1192"/>
      <c r="AK155" s="1192"/>
      <c r="AL155" s="1192"/>
      <c r="AM155" s="1192"/>
      <c r="AN155" s="1192"/>
      <c r="AO155" s="1192"/>
      <c r="AP155" s="1192"/>
      <c r="AQ155" s="1192"/>
      <c r="AR155" s="1192"/>
      <c r="AS155" s="1192"/>
      <c r="AT155" s="1192"/>
      <c r="AU155" s="1192"/>
      <c r="AV155" s="1192"/>
      <c r="AW155" s="1192"/>
      <c r="AX155" s="1192"/>
      <c r="AY155" s="1192"/>
      <c r="AZ155" s="1192"/>
      <c r="BA155" s="1192"/>
      <c r="BB155" s="1192"/>
      <c r="BC155" s="1192"/>
      <c r="BD155" s="1192"/>
      <c r="BE155" s="1196"/>
    </row>
    <row r="156" spans="1:57" ht="15.75" customHeight="1">
      <c r="A156" s="1192"/>
      <c r="B156" s="2012" t="s">
        <v>2353</v>
      </c>
      <c r="C156" s="2013"/>
      <c r="D156" s="2013"/>
      <c r="E156" s="2013"/>
      <c r="F156" s="2013"/>
      <c r="G156" s="2013"/>
      <c r="H156" s="2013"/>
      <c r="I156" s="2013"/>
      <c r="J156" s="2013"/>
      <c r="K156" s="2013"/>
      <c r="L156" s="2013"/>
      <c r="M156" s="2013"/>
      <c r="N156" s="2013"/>
      <c r="O156" s="2013"/>
      <c r="P156" s="2013"/>
      <c r="Q156" s="2013"/>
      <c r="R156" s="2013"/>
      <c r="S156" s="2013"/>
      <c r="T156" s="2013"/>
      <c r="U156" s="2014"/>
      <c r="V156" s="1192"/>
      <c r="W156" s="1194"/>
      <c r="X156" s="2012" t="s">
        <v>2352</v>
      </c>
      <c r="Y156" s="2013"/>
      <c r="Z156" s="2013"/>
      <c r="AA156" s="2013"/>
      <c r="AB156" s="2013"/>
      <c r="AC156" s="2013"/>
      <c r="AD156" s="2013"/>
      <c r="AE156" s="2013"/>
      <c r="AF156" s="2013"/>
      <c r="AG156" s="2013"/>
      <c r="AH156" s="2013"/>
      <c r="AI156" s="2013"/>
      <c r="AJ156" s="2013"/>
      <c r="AK156" s="2013"/>
      <c r="AL156" s="2013"/>
      <c r="AM156" s="2013"/>
      <c r="AN156" s="2013"/>
      <c r="AO156" s="2013"/>
      <c r="AP156" s="2013"/>
      <c r="AQ156" s="2014"/>
      <c r="AR156" s="1192"/>
      <c r="AS156" s="1192"/>
      <c r="AT156" s="1192"/>
      <c r="AU156" s="1192"/>
      <c r="AV156" s="1192"/>
      <c r="AW156" s="1192"/>
      <c r="AX156" s="1192"/>
      <c r="AY156" s="1192"/>
      <c r="AZ156" s="1192"/>
      <c r="BA156" s="1192"/>
      <c r="BB156" s="1192"/>
      <c r="BC156" s="1192"/>
      <c r="BD156" s="1192"/>
      <c r="BE156" s="1196"/>
    </row>
    <row r="157" spans="1:57" ht="15.75" customHeight="1">
      <c r="A157" s="1192"/>
      <c r="B157" s="2160"/>
      <c r="C157" s="2161"/>
      <c r="D157" s="2161"/>
      <c r="E157" s="2161"/>
      <c r="F157" s="2161"/>
      <c r="G157" s="2161"/>
      <c r="H157" s="2161"/>
      <c r="I157" s="2162" t="s">
        <v>2350</v>
      </c>
      <c r="J157" s="2162"/>
      <c r="K157" s="2162"/>
      <c r="L157" s="2162"/>
      <c r="M157" s="2162"/>
      <c r="N157" s="2162"/>
      <c r="O157" s="2162"/>
      <c r="P157" s="2162" t="s">
        <v>2351</v>
      </c>
      <c r="Q157" s="2162"/>
      <c r="R157" s="2162"/>
      <c r="S157" s="2162"/>
      <c r="T157" s="2162"/>
      <c r="U157" s="2163"/>
      <c r="V157" s="1192"/>
      <c r="W157" s="1192"/>
      <c r="X157" s="2160"/>
      <c r="Y157" s="2161"/>
      <c r="Z157" s="2161"/>
      <c r="AA157" s="2161"/>
      <c r="AB157" s="2161"/>
      <c r="AC157" s="2161"/>
      <c r="AD157" s="2161"/>
      <c r="AE157" s="2162" t="s">
        <v>2350</v>
      </c>
      <c r="AF157" s="2162"/>
      <c r="AG157" s="2162"/>
      <c r="AH157" s="2162"/>
      <c r="AI157" s="2162"/>
      <c r="AJ157" s="2162"/>
      <c r="AK157" s="2162"/>
      <c r="AL157" s="2162" t="s">
        <v>2349</v>
      </c>
      <c r="AM157" s="2162"/>
      <c r="AN157" s="2162"/>
      <c r="AO157" s="2162"/>
      <c r="AP157" s="2162"/>
      <c r="AQ157" s="2163"/>
      <c r="AR157" s="1192"/>
      <c r="AS157" s="1192"/>
      <c r="AT157" s="1192"/>
      <c r="AU157" s="1192"/>
      <c r="AV157" s="1192"/>
      <c r="AW157" s="1192"/>
      <c r="AX157" s="1192"/>
      <c r="AY157" s="1192"/>
      <c r="AZ157" s="1192"/>
      <c r="BA157" s="1192"/>
      <c r="BB157" s="1192"/>
      <c r="BC157" s="1192"/>
      <c r="BD157" s="1192"/>
      <c r="BE157" s="1196"/>
    </row>
    <row r="158" spans="1:57" ht="15.75" customHeight="1">
      <c r="A158" s="1192"/>
      <c r="B158" s="2160"/>
      <c r="C158" s="2161"/>
      <c r="D158" s="2161"/>
      <c r="E158" s="2161"/>
      <c r="F158" s="2161"/>
      <c r="G158" s="2161"/>
      <c r="H158" s="2161"/>
      <c r="I158" s="2162"/>
      <c r="J158" s="2162"/>
      <c r="K158" s="2162"/>
      <c r="L158" s="2162"/>
      <c r="M158" s="2162"/>
      <c r="N158" s="2162"/>
      <c r="O158" s="2162"/>
      <c r="P158" s="2162"/>
      <c r="Q158" s="2162"/>
      <c r="R158" s="2162"/>
      <c r="S158" s="2162"/>
      <c r="T158" s="2162"/>
      <c r="U158" s="2163"/>
      <c r="V158" s="1192"/>
      <c r="W158" s="1192"/>
      <c r="X158" s="2160"/>
      <c r="Y158" s="2161"/>
      <c r="Z158" s="2161"/>
      <c r="AA158" s="2161"/>
      <c r="AB158" s="2161"/>
      <c r="AC158" s="2161"/>
      <c r="AD158" s="2161"/>
      <c r="AE158" s="2162"/>
      <c r="AF158" s="2162"/>
      <c r="AG158" s="2162"/>
      <c r="AH158" s="2162"/>
      <c r="AI158" s="2162"/>
      <c r="AJ158" s="2162"/>
      <c r="AK158" s="2162"/>
      <c r="AL158" s="2162"/>
      <c r="AM158" s="2162"/>
      <c r="AN158" s="2162"/>
      <c r="AO158" s="2162"/>
      <c r="AP158" s="2162"/>
      <c r="AQ158" s="2163"/>
      <c r="AR158" s="1192"/>
      <c r="AS158" s="1192"/>
      <c r="AT158" s="1192"/>
      <c r="AU158" s="1192"/>
      <c r="AV158" s="1192"/>
      <c r="AW158" s="1192"/>
      <c r="AX158" s="1192"/>
      <c r="AY158" s="1192"/>
      <c r="AZ158" s="1192"/>
      <c r="BA158" s="1192"/>
      <c r="BB158" s="1192"/>
      <c r="BC158" s="1192"/>
      <c r="BD158" s="1192"/>
      <c r="BE158" s="1196"/>
    </row>
    <row r="159" spans="1:57" ht="15.75" customHeight="1" thickBot="1">
      <c r="A159" s="1192"/>
      <c r="B159" s="2118" t="s">
        <v>2348</v>
      </c>
      <c r="C159" s="2119"/>
      <c r="D159" s="2119"/>
      <c r="E159" s="2119"/>
      <c r="F159" s="2119"/>
      <c r="G159" s="2119"/>
      <c r="H159" s="2119"/>
      <c r="I159" s="2092">
        <v>0</v>
      </c>
      <c r="J159" s="2092"/>
      <c r="K159" s="2092"/>
      <c r="L159" s="2092"/>
      <c r="M159" s="2092"/>
      <c r="N159" s="2092"/>
      <c r="O159" s="2092"/>
      <c r="P159" s="2092">
        <v>0</v>
      </c>
      <c r="Q159" s="2092"/>
      <c r="R159" s="2092"/>
      <c r="S159" s="2092"/>
      <c r="T159" s="2092"/>
      <c r="U159" s="2093"/>
      <c r="V159" s="1192"/>
      <c r="W159" s="1192"/>
      <c r="X159" s="2120" t="s">
        <v>2348</v>
      </c>
      <c r="Y159" s="2121"/>
      <c r="Z159" s="2121"/>
      <c r="AA159" s="2121"/>
      <c r="AB159" s="2121"/>
      <c r="AC159" s="2121"/>
      <c r="AD159" s="2121"/>
      <c r="AE159" s="2107">
        <v>0</v>
      </c>
      <c r="AF159" s="2107"/>
      <c r="AG159" s="2107"/>
      <c r="AH159" s="2107"/>
      <c r="AI159" s="2107"/>
      <c r="AJ159" s="2107"/>
      <c r="AK159" s="2107"/>
      <c r="AL159" s="2107">
        <v>0</v>
      </c>
      <c r="AM159" s="2107"/>
      <c r="AN159" s="2107"/>
      <c r="AO159" s="2107"/>
      <c r="AP159" s="2107"/>
      <c r="AQ159" s="2108"/>
      <c r="AR159" s="1192"/>
      <c r="AS159" s="1192"/>
      <c r="AT159" s="1192"/>
      <c r="AU159" s="1192"/>
      <c r="AV159" s="1192"/>
      <c r="AW159" s="1192"/>
      <c r="AX159" s="1192"/>
      <c r="AY159" s="1192"/>
      <c r="AZ159" s="1192"/>
      <c r="BA159" s="1192"/>
      <c r="BB159" s="1192"/>
      <c r="BC159" s="1192"/>
      <c r="BD159" s="1192"/>
      <c r="BE159" s="1196"/>
    </row>
    <row r="160" spans="1:57" ht="15.75" customHeight="1" thickBot="1">
      <c r="A160" s="1192"/>
      <c r="B160" s="2120" t="s">
        <v>2347</v>
      </c>
      <c r="C160" s="2121"/>
      <c r="D160" s="2121"/>
      <c r="E160" s="2121"/>
      <c r="F160" s="2121"/>
      <c r="G160" s="2121"/>
      <c r="H160" s="2121"/>
      <c r="I160" s="2107">
        <v>0</v>
      </c>
      <c r="J160" s="2107"/>
      <c r="K160" s="2107"/>
      <c r="L160" s="2107"/>
      <c r="M160" s="2107"/>
      <c r="N160" s="2107"/>
      <c r="O160" s="2107"/>
      <c r="P160" s="2107">
        <v>0</v>
      </c>
      <c r="Q160" s="2107"/>
      <c r="R160" s="2107"/>
      <c r="S160" s="2107"/>
      <c r="T160" s="2107"/>
      <c r="U160" s="2108"/>
      <c r="V160" s="1192"/>
      <c r="W160" s="1192"/>
      <c r="X160" s="1192"/>
      <c r="Y160" s="1192"/>
      <c r="Z160" s="1192"/>
      <c r="AA160" s="1192"/>
      <c r="AB160" s="1192"/>
      <c r="AC160" s="1192"/>
      <c r="AD160" s="1192"/>
      <c r="AE160" s="1192"/>
      <c r="AF160" s="1192"/>
      <c r="AG160" s="1192"/>
      <c r="AH160" s="1192"/>
      <c r="AI160" s="1192"/>
      <c r="AJ160" s="1192"/>
      <c r="AK160" s="1192"/>
      <c r="AL160" s="1192"/>
      <c r="AM160" s="1192"/>
      <c r="AN160" s="1192"/>
      <c r="AO160" s="1192"/>
      <c r="AP160" s="1192"/>
      <c r="AQ160" s="1192"/>
      <c r="AR160" s="1192"/>
      <c r="AS160" s="1192"/>
      <c r="AT160" s="1192"/>
      <c r="AU160" s="1192"/>
      <c r="AV160" s="1192"/>
      <c r="AW160" s="1192"/>
      <c r="AX160" s="1192"/>
      <c r="AY160" s="1192"/>
      <c r="AZ160" s="1192"/>
      <c r="BA160" s="1192"/>
      <c r="BB160" s="1192"/>
      <c r="BC160" s="1192"/>
      <c r="BD160" s="1192"/>
      <c r="BE160" s="1196"/>
    </row>
    <row r="161" spans="1:57" ht="15.75" customHeight="1" thickBot="1">
      <c r="A161" s="1192"/>
      <c r="B161" s="1192"/>
      <c r="C161" s="1192"/>
      <c r="D161" s="1192"/>
      <c r="E161" s="1192"/>
      <c r="F161" s="1192"/>
      <c r="G161" s="1192"/>
      <c r="H161" s="1192"/>
      <c r="I161" s="1192"/>
      <c r="J161" s="1192"/>
      <c r="K161" s="1192"/>
      <c r="L161" s="1192"/>
      <c r="M161" s="1192"/>
      <c r="N161" s="1192"/>
      <c r="O161" s="1192"/>
      <c r="P161" s="1192"/>
      <c r="Q161" s="1192"/>
      <c r="R161" s="1192"/>
      <c r="S161" s="1192"/>
      <c r="T161" s="1192"/>
      <c r="U161" s="1192"/>
      <c r="V161" s="1192"/>
      <c r="W161" s="1192"/>
      <c r="X161" s="1192"/>
      <c r="Y161" s="1192"/>
      <c r="Z161" s="1192"/>
      <c r="AA161" s="1192"/>
      <c r="AB161" s="1192"/>
      <c r="AC161" s="1192"/>
      <c r="AD161" s="1192"/>
      <c r="AE161" s="1192"/>
      <c r="AF161" s="1192"/>
      <c r="AG161" s="1192"/>
      <c r="AH161" s="1192"/>
      <c r="AI161" s="1192"/>
      <c r="AJ161" s="1192"/>
      <c r="AK161" s="1192"/>
      <c r="AL161" s="1192"/>
      <c r="AM161" s="1192"/>
      <c r="AN161" s="1192"/>
      <c r="AO161" s="1192"/>
      <c r="AP161" s="1192"/>
      <c r="AQ161" s="1192"/>
      <c r="AR161" s="1192"/>
      <c r="AS161" s="1192"/>
      <c r="AT161" s="1192"/>
      <c r="AU161" s="1192"/>
      <c r="AV161" s="1192"/>
      <c r="AW161" s="1192"/>
      <c r="AX161" s="1192"/>
      <c r="AY161" s="1192"/>
      <c r="AZ161" s="1192"/>
      <c r="BA161" s="1192"/>
      <c r="BB161" s="1192"/>
      <c r="BC161" s="1192"/>
      <c r="BD161" s="1192"/>
      <c r="BE161" s="1196"/>
    </row>
    <row r="162" spans="1:57" ht="15.75" customHeight="1">
      <c r="A162" s="1192"/>
      <c r="B162" s="1192"/>
      <c r="C162" s="2012" t="s">
        <v>2346</v>
      </c>
      <c r="D162" s="2013"/>
      <c r="E162" s="2013"/>
      <c r="F162" s="2013"/>
      <c r="G162" s="2013"/>
      <c r="H162" s="2013"/>
      <c r="I162" s="2013"/>
      <c r="J162" s="2013"/>
      <c r="K162" s="2013"/>
      <c r="L162" s="2013"/>
      <c r="M162" s="2013"/>
      <c r="N162" s="2013"/>
      <c r="O162" s="2013"/>
      <c r="P162" s="2013"/>
      <c r="Q162" s="2013"/>
      <c r="R162" s="2013"/>
      <c r="S162" s="2013"/>
      <c r="T162" s="2013"/>
      <c r="U162" s="2013"/>
      <c r="V162" s="2013"/>
      <c r="W162" s="2013"/>
      <c r="X162" s="2013"/>
      <c r="Y162" s="2013"/>
      <c r="Z162" s="2013"/>
      <c r="AA162" s="2013"/>
      <c r="AB162" s="2013"/>
      <c r="AC162" s="2013"/>
      <c r="AD162" s="2013"/>
      <c r="AE162" s="2013"/>
      <c r="AF162" s="2013"/>
      <c r="AG162" s="2014"/>
      <c r="AH162" s="1192"/>
      <c r="AI162" s="1192"/>
      <c r="AJ162" s="1192"/>
      <c r="AK162" s="1192"/>
      <c r="AL162" s="1192"/>
      <c r="AM162" s="1192"/>
      <c r="AN162" s="1192"/>
      <c r="AO162" s="1192"/>
      <c r="AP162" s="1192"/>
      <c r="AQ162" s="1192"/>
      <c r="AR162" s="1192"/>
      <c r="AS162" s="1192"/>
      <c r="AT162" s="1192"/>
      <c r="AU162" s="1192"/>
      <c r="AV162" s="1192"/>
      <c r="AW162" s="1192"/>
      <c r="AX162" s="1192"/>
      <c r="AY162" s="1192"/>
      <c r="AZ162" s="1192"/>
      <c r="BA162" s="1192"/>
      <c r="BB162" s="1192"/>
      <c r="BC162" s="1192"/>
      <c r="BD162" s="1192"/>
      <c r="BE162" s="1196"/>
    </row>
    <row r="163" spans="1:57" ht="15.75" customHeight="1">
      <c r="A163" s="1192"/>
      <c r="B163" s="1192"/>
      <c r="C163" s="2160" t="s">
        <v>2331</v>
      </c>
      <c r="D163" s="2161"/>
      <c r="E163" s="2161"/>
      <c r="F163" s="2161"/>
      <c r="G163" s="2161"/>
      <c r="H163" s="2161"/>
      <c r="I163" s="2161"/>
      <c r="J163" s="2161"/>
      <c r="K163" s="2161"/>
      <c r="L163" s="2161"/>
      <c r="M163" s="2161"/>
      <c r="N163" s="2161"/>
      <c r="O163" s="2161"/>
      <c r="P163" s="2161"/>
      <c r="Q163" s="2161" t="s">
        <v>2345</v>
      </c>
      <c r="R163" s="2161"/>
      <c r="S163" s="2161"/>
      <c r="T163" s="2103" t="s">
        <v>2344</v>
      </c>
      <c r="U163" s="2103"/>
      <c r="V163" s="2103"/>
      <c r="W163" s="2103"/>
      <c r="X163" s="2103"/>
      <c r="Y163" s="2103"/>
      <c r="Z163" s="2103"/>
      <c r="AA163" s="2103"/>
      <c r="AB163" s="2161" t="s">
        <v>2343</v>
      </c>
      <c r="AC163" s="2161"/>
      <c r="AD163" s="2161"/>
      <c r="AE163" s="2161"/>
      <c r="AF163" s="2161"/>
      <c r="AG163" s="2169"/>
      <c r="AH163" s="1192"/>
      <c r="AI163" s="1192"/>
      <c r="AJ163" s="1192"/>
      <c r="AK163" s="1192"/>
      <c r="AL163" s="1192"/>
      <c r="AM163" s="1192"/>
      <c r="AN163" s="1192"/>
      <c r="AO163" s="1192"/>
      <c r="AP163" s="1192"/>
      <c r="AQ163" s="1192"/>
      <c r="AR163" s="1192"/>
      <c r="AS163" s="1192"/>
      <c r="AT163" s="1192"/>
      <c r="AU163" s="1192"/>
      <c r="AV163" s="1192"/>
      <c r="AW163" s="1192"/>
      <c r="AX163" s="1192"/>
      <c r="AY163" s="1192"/>
      <c r="AZ163" s="1192"/>
      <c r="BA163" s="1192"/>
      <c r="BB163" s="1192"/>
      <c r="BC163" s="1192"/>
      <c r="BD163" s="1192"/>
      <c r="BE163" s="1196"/>
    </row>
    <row r="164" spans="1:57" ht="15.75" customHeight="1">
      <c r="A164" s="1192"/>
      <c r="B164" s="1192"/>
      <c r="C164" s="2164" t="s">
        <v>2342</v>
      </c>
      <c r="D164" s="2165"/>
      <c r="E164" s="2165"/>
      <c r="F164" s="2165"/>
      <c r="G164" s="2165"/>
      <c r="H164" s="2165"/>
      <c r="I164" s="2165"/>
      <c r="J164" s="2165"/>
      <c r="K164" s="2165"/>
      <c r="L164" s="2165"/>
      <c r="M164" s="2165"/>
      <c r="N164" s="2165"/>
      <c r="O164" s="2165"/>
      <c r="P164" s="2165"/>
      <c r="Q164" s="2166">
        <v>55</v>
      </c>
      <c r="R164" s="2166"/>
      <c r="S164" s="2166"/>
      <c r="T164" s="2167"/>
      <c r="U164" s="2167"/>
      <c r="V164" s="2167"/>
      <c r="W164" s="2167"/>
      <c r="X164" s="2167"/>
      <c r="Y164" s="2167"/>
      <c r="Z164" s="2167"/>
      <c r="AA164" s="2167"/>
      <c r="AB164" s="1230"/>
      <c r="AC164" s="1230"/>
      <c r="AD164" s="1230"/>
      <c r="AE164" s="1230"/>
      <c r="AF164" s="1230"/>
      <c r="AG164" s="1231"/>
      <c r="AH164" s="1192"/>
      <c r="AI164" s="1192"/>
      <c r="AJ164" s="1192"/>
      <c r="AK164" s="1192"/>
      <c r="AL164" s="1192"/>
      <c r="AM164" s="1192"/>
      <c r="AN164" s="1192"/>
      <c r="AO164" s="1192"/>
      <c r="AP164" s="1192" t="s">
        <v>250</v>
      </c>
      <c r="AQ164" s="1192"/>
      <c r="AR164" s="1192"/>
      <c r="AS164" s="1192"/>
      <c r="AT164" s="1192"/>
      <c r="AU164" s="1192"/>
      <c r="AV164" s="1192"/>
      <c r="AW164" s="1192"/>
      <c r="AX164" s="1192"/>
      <c r="AY164" s="1192"/>
      <c r="AZ164" s="1192"/>
      <c r="BA164" s="1192"/>
      <c r="BB164" s="1192"/>
      <c r="BC164" s="1192"/>
      <c r="BD164" s="1192"/>
      <c r="BE164" s="1196"/>
    </row>
    <row r="165" spans="1:57" ht="15.75" customHeight="1">
      <c r="A165" s="1192"/>
      <c r="B165" s="1192"/>
      <c r="C165" s="2164" t="s">
        <v>2341</v>
      </c>
      <c r="D165" s="2165"/>
      <c r="E165" s="2165"/>
      <c r="F165" s="2165"/>
      <c r="G165" s="2165"/>
      <c r="H165" s="2165"/>
      <c r="I165" s="2165"/>
      <c r="J165" s="2165"/>
      <c r="K165" s="2165"/>
      <c r="L165" s="2165"/>
      <c r="M165" s="2165"/>
      <c r="N165" s="2165"/>
      <c r="O165" s="2165"/>
      <c r="P165" s="2165"/>
      <c r="Q165" s="2166">
        <v>55</v>
      </c>
      <c r="R165" s="2166"/>
      <c r="S165" s="2166"/>
      <c r="T165" s="2168"/>
      <c r="U165" s="2168"/>
      <c r="V165" s="2168"/>
      <c r="W165" s="2168"/>
      <c r="X165" s="2168"/>
      <c r="Y165" s="2168"/>
      <c r="Z165" s="2168"/>
      <c r="AA165" s="2168"/>
      <c r="AB165" s="1230"/>
      <c r="AC165" s="1230"/>
      <c r="AD165" s="1230"/>
      <c r="AE165" s="1230"/>
      <c r="AF165" s="1230"/>
      <c r="AG165" s="1231"/>
      <c r="AH165" s="1192"/>
      <c r="AI165" s="1192"/>
      <c r="AJ165" s="1192"/>
      <c r="AK165" s="1192"/>
      <c r="AL165" s="1192"/>
      <c r="AM165" s="1192"/>
      <c r="AN165" s="1192"/>
      <c r="AO165" s="1192"/>
      <c r="AP165" s="1192"/>
      <c r="AQ165" s="1192"/>
      <c r="AR165" s="1192"/>
      <c r="AS165" s="1192"/>
      <c r="AT165" s="1192"/>
      <c r="AU165" s="1192"/>
      <c r="AV165" s="1192"/>
      <c r="AW165" s="1192"/>
      <c r="AX165" s="1192"/>
      <c r="AY165" s="1192"/>
      <c r="AZ165" s="1192"/>
      <c r="BA165" s="1192"/>
      <c r="BB165" s="1192"/>
      <c r="BC165" s="1192"/>
      <c r="BD165" s="1192"/>
      <c r="BE165" s="1196"/>
    </row>
    <row r="166" spans="1:57" ht="15.75" customHeight="1">
      <c r="A166" s="1192"/>
      <c r="B166" s="1192"/>
      <c r="C166" s="2164" t="s">
        <v>2340</v>
      </c>
      <c r="D166" s="2165"/>
      <c r="E166" s="2165"/>
      <c r="F166" s="2165"/>
      <c r="G166" s="2165"/>
      <c r="H166" s="2165"/>
      <c r="I166" s="2165"/>
      <c r="J166" s="2165"/>
      <c r="K166" s="2165"/>
      <c r="L166" s="2165"/>
      <c r="M166" s="2165"/>
      <c r="N166" s="2165"/>
      <c r="O166" s="2165"/>
      <c r="P166" s="2165"/>
      <c r="Q166" s="2166">
        <v>55</v>
      </c>
      <c r="R166" s="2166"/>
      <c r="S166" s="2166"/>
      <c r="T166" s="2167"/>
      <c r="U166" s="2167"/>
      <c r="V166" s="2167"/>
      <c r="W166" s="2167"/>
      <c r="X166" s="2167"/>
      <c r="Y166" s="2167"/>
      <c r="Z166" s="2167"/>
      <c r="AA166" s="2167"/>
      <c r="AB166" s="1230"/>
      <c r="AC166" s="1230"/>
      <c r="AD166" s="1230"/>
      <c r="AE166" s="1230"/>
      <c r="AF166" s="1230"/>
      <c r="AG166" s="1231"/>
      <c r="AH166" s="1192"/>
      <c r="AI166" s="1192"/>
      <c r="AJ166" s="1192"/>
      <c r="AK166" s="1192"/>
      <c r="AL166" s="1192"/>
      <c r="AM166" s="1192"/>
      <c r="AN166" s="1192"/>
      <c r="AO166" s="1192"/>
      <c r="AP166" s="1192"/>
      <c r="AQ166" s="1192"/>
      <c r="AR166" s="1192"/>
      <c r="AS166" s="1192"/>
      <c r="AT166" s="1192"/>
      <c r="AU166" s="1192"/>
      <c r="AV166" s="1192"/>
      <c r="AW166" s="1192"/>
      <c r="AX166" s="1192"/>
      <c r="AY166" s="1192"/>
      <c r="AZ166" s="1192"/>
      <c r="BA166" s="1192"/>
      <c r="BB166" s="1192"/>
      <c r="BC166" s="1192"/>
      <c r="BD166" s="1192"/>
      <c r="BE166" s="1196"/>
    </row>
    <row r="167" spans="1:57" ht="15.75" customHeight="1">
      <c r="A167" s="1192"/>
      <c r="B167" s="1192"/>
      <c r="C167" s="2164" t="s">
        <v>2339</v>
      </c>
      <c r="D167" s="2165"/>
      <c r="E167" s="2165"/>
      <c r="F167" s="2165"/>
      <c r="G167" s="2165"/>
      <c r="H167" s="2165"/>
      <c r="I167" s="2165"/>
      <c r="J167" s="2165"/>
      <c r="K167" s="2165"/>
      <c r="L167" s="2165"/>
      <c r="M167" s="2165"/>
      <c r="N167" s="2165"/>
      <c r="O167" s="2165"/>
      <c r="P167" s="2165"/>
      <c r="Q167" s="2166">
        <v>55</v>
      </c>
      <c r="R167" s="2166"/>
      <c r="S167" s="2166"/>
      <c r="T167" s="2167"/>
      <c r="U167" s="2167"/>
      <c r="V167" s="2167"/>
      <c r="W167" s="2167"/>
      <c r="X167" s="2167"/>
      <c r="Y167" s="2167"/>
      <c r="Z167" s="2167"/>
      <c r="AA167" s="2167"/>
      <c r="AB167" s="2170">
        <v>0</v>
      </c>
      <c r="AC167" s="2170"/>
      <c r="AD167" s="2170"/>
      <c r="AE167" s="2170"/>
      <c r="AF167" s="2170"/>
      <c r="AG167" s="2171"/>
      <c r="AH167" s="1192"/>
      <c r="AI167" s="1192"/>
      <c r="AJ167" s="1192"/>
      <c r="AK167" s="1192"/>
      <c r="AL167" s="1192"/>
      <c r="AM167" s="1192"/>
      <c r="AN167" s="1192"/>
      <c r="AO167" s="1192"/>
      <c r="AP167" s="1192"/>
      <c r="AQ167" s="1192"/>
      <c r="AR167" s="1192"/>
      <c r="AS167" s="1192"/>
      <c r="AT167" s="1192"/>
      <c r="AU167" s="1192"/>
      <c r="AV167" s="1192"/>
      <c r="AW167" s="1192"/>
      <c r="AX167" s="1192"/>
      <c r="AY167" s="1192"/>
      <c r="AZ167" s="1192"/>
      <c r="BA167" s="1192"/>
      <c r="BB167" s="1192"/>
      <c r="BC167" s="1192"/>
      <c r="BD167" s="1192"/>
      <c r="BE167" s="1196"/>
    </row>
    <row r="168" spans="1:57" ht="15.75" customHeight="1">
      <c r="A168" s="1192"/>
      <c r="B168" s="1192"/>
      <c r="C168" s="2164" t="s">
        <v>170</v>
      </c>
      <c r="D168" s="2165"/>
      <c r="E168" s="2165"/>
      <c r="F168" s="2172" t="s">
        <v>2320</v>
      </c>
      <c r="G168" s="2172"/>
      <c r="H168" s="2172"/>
      <c r="I168" s="2172"/>
      <c r="J168" s="2172"/>
      <c r="K168" s="2172"/>
      <c r="L168" s="2172"/>
      <c r="M168" s="2172"/>
      <c r="N168" s="2172"/>
      <c r="O168" s="2172"/>
      <c r="P168" s="2172"/>
      <c r="Q168" s="2166">
        <v>55</v>
      </c>
      <c r="R168" s="2166"/>
      <c r="S168" s="2166"/>
      <c r="T168" s="2168"/>
      <c r="U168" s="2168"/>
      <c r="V168" s="2168"/>
      <c r="W168" s="2168"/>
      <c r="X168" s="2168"/>
      <c r="Y168" s="2168"/>
      <c r="Z168" s="2168"/>
      <c r="AA168" s="2168"/>
      <c r="AB168" s="2170">
        <v>0</v>
      </c>
      <c r="AC168" s="2170"/>
      <c r="AD168" s="2170"/>
      <c r="AE168" s="2170"/>
      <c r="AF168" s="2170"/>
      <c r="AG168" s="2171"/>
      <c r="AH168" s="1192"/>
      <c r="AI168" s="1192"/>
      <c r="AJ168" s="1192"/>
      <c r="AK168" s="1192"/>
      <c r="AL168" s="1192"/>
      <c r="AM168" s="1192"/>
      <c r="AN168" s="1192"/>
      <c r="AO168" s="1192"/>
      <c r="AP168" s="1192"/>
      <c r="AQ168" s="1192"/>
      <c r="AR168" s="1192"/>
      <c r="AS168" s="1192"/>
      <c r="AT168" s="1192"/>
      <c r="AU168" s="1192"/>
      <c r="AV168" s="1192"/>
      <c r="AW168" s="1192"/>
      <c r="AX168" s="1192"/>
      <c r="AY168" s="1192"/>
      <c r="AZ168" s="1192"/>
      <c r="BA168" s="1192"/>
      <c r="BB168" s="1192"/>
      <c r="BC168" s="1192"/>
      <c r="BD168" s="1192"/>
      <c r="BE168" s="1196"/>
    </row>
    <row r="169" spans="1:57" ht="15.75" customHeight="1">
      <c r="A169" s="1192"/>
      <c r="B169" s="1192"/>
      <c r="C169" s="2164" t="s">
        <v>170</v>
      </c>
      <c r="D169" s="2165"/>
      <c r="E169" s="2165"/>
      <c r="F169" s="2172" t="s">
        <v>2320</v>
      </c>
      <c r="G169" s="2172"/>
      <c r="H169" s="2172"/>
      <c r="I169" s="2172"/>
      <c r="J169" s="2172"/>
      <c r="K169" s="2172"/>
      <c r="L169" s="2172"/>
      <c r="M169" s="2172"/>
      <c r="N169" s="2172"/>
      <c r="O169" s="2172"/>
      <c r="P169" s="2172"/>
      <c r="Q169" s="2166">
        <v>55</v>
      </c>
      <c r="R169" s="2166"/>
      <c r="S169" s="2166"/>
      <c r="T169" s="2168"/>
      <c r="U169" s="2168"/>
      <c r="V169" s="2168"/>
      <c r="W169" s="2168"/>
      <c r="X169" s="2168"/>
      <c r="Y169" s="2168"/>
      <c r="Z169" s="2168"/>
      <c r="AA169" s="2168"/>
      <c r="AB169" s="2170">
        <v>0</v>
      </c>
      <c r="AC169" s="2170"/>
      <c r="AD169" s="2170"/>
      <c r="AE169" s="2170"/>
      <c r="AF169" s="2170"/>
      <c r="AG169" s="2171"/>
      <c r="AH169" s="1192"/>
      <c r="AI169" s="1192"/>
      <c r="AJ169" s="1192"/>
      <c r="AK169" s="1192" t="s">
        <v>250</v>
      </c>
      <c r="AL169" s="1192"/>
      <c r="AM169" s="1192"/>
      <c r="AN169" s="1192"/>
      <c r="AO169" s="1192"/>
      <c r="AP169" s="1192"/>
      <c r="AQ169" s="1192"/>
      <c r="AR169" s="1192"/>
      <c r="AS169" s="1192"/>
      <c r="AT169" s="1192"/>
      <c r="AU169" s="1192"/>
      <c r="AV169" s="1192"/>
      <c r="AW169" s="1192"/>
      <c r="AX169" s="1192"/>
      <c r="AY169" s="1192"/>
      <c r="AZ169" s="1192"/>
      <c r="BA169" s="1192"/>
      <c r="BB169" s="1192"/>
      <c r="BC169" s="1192"/>
      <c r="BD169" s="1192"/>
      <c r="BE169" s="1196"/>
    </row>
    <row r="170" spans="1:57" ht="15.75" customHeight="1" thickBot="1">
      <c r="A170" s="1192"/>
      <c r="B170" s="1192"/>
      <c r="C170" s="2173" t="s">
        <v>170</v>
      </c>
      <c r="D170" s="2174"/>
      <c r="E170" s="2174"/>
      <c r="F170" s="2175" t="s">
        <v>2320</v>
      </c>
      <c r="G170" s="2175"/>
      <c r="H170" s="2175"/>
      <c r="I170" s="2175"/>
      <c r="J170" s="2175"/>
      <c r="K170" s="2175"/>
      <c r="L170" s="2175"/>
      <c r="M170" s="2175"/>
      <c r="N170" s="2175"/>
      <c r="O170" s="2175"/>
      <c r="P170" s="2175"/>
      <c r="Q170" s="2176">
        <v>55</v>
      </c>
      <c r="R170" s="2176"/>
      <c r="S170" s="2176"/>
      <c r="T170" s="2177"/>
      <c r="U170" s="2177"/>
      <c r="V170" s="2177"/>
      <c r="W170" s="2177"/>
      <c r="X170" s="2177"/>
      <c r="Y170" s="2177"/>
      <c r="Z170" s="2177"/>
      <c r="AA170" s="2177"/>
      <c r="AB170" s="2178">
        <v>0</v>
      </c>
      <c r="AC170" s="2178"/>
      <c r="AD170" s="2178"/>
      <c r="AE170" s="2178"/>
      <c r="AF170" s="2178"/>
      <c r="AG170" s="2179"/>
      <c r="AH170" s="1192"/>
      <c r="AI170" s="1192"/>
      <c r="AJ170" s="1192"/>
      <c r="AK170" s="1192"/>
      <c r="AL170" s="1192"/>
      <c r="AM170" s="1192"/>
      <c r="AN170" s="1192"/>
      <c r="AO170" s="1192"/>
      <c r="AP170" s="1192"/>
      <c r="AQ170" s="1192"/>
      <c r="AR170" s="1192"/>
      <c r="AS170" s="1192"/>
      <c r="AT170" s="1192"/>
      <c r="AU170" s="1192"/>
      <c r="AV170" s="1192"/>
      <c r="AW170" s="1192"/>
      <c r="AX170" s="1192"/>
      <c r="AY170" s="1192"/>
      <c r="AZ170" s="1192"/>
      <c r="BA170" s="1192"/>
      <c r="BB170" s="1192"/>
      <c r="BC170" s="1192"/>
      <c r="BD170" s="1192"/>
      <c r="BE170" s="1196"/>
    </row>
    <row r="171" spans="1:57" ht="15.75" customHeight="1" thickBot="1">
      <c r="A171" s="1192"/>
      <c r="B171" s="1192"/>
      <c r="C171" s="1192"/>
      <c r="D171" s="1192"/>
      <c r="E171" s="1192"/>
      <c r="F171" s="1192"/>
      <c r="G171" s="1192"/>
      <c r="H171" s="1192"/>
      <c r="I171" s="1192"/>
      <c r="J171" s="1192"/>
      <c r="K171" s="1192"/>
      <c r="L171" s="1192"/>
      <c r="M171" s="1192"/>
      <c r="N171" s="1192"/>
      <c r="O171" s="1192"/>
      <c r="P171" s="1192"/>
      <c r="Q171" s="1192"/>
      <c r="R171" s="1192"/>
      <c r="S171" s="1192"/>
      <c r="T171" s="1192"/>
      <c r="U171" s="1192"/>
      <c r="V171" s="1192"/>
      <c r="W171" s="1192"/>
      <c r="X171" s="1192"/>
      <c r="Y171" s="1192"/>
      <c r="Z171" s="1192"/>
      <c r="AA171" s="1192"/>
      <c r="AB171" s="1192"/>
      <c r="AC171" s="1192"/>
      <c r="AD171" s="1192"/>
      <c r="AE171" s="1192"/>
      <c r="AF171" s="1192"/>
      <c r="AG171" s="1192"/>
      <c r="AH171" s="1192"/>
      <c r="AI171" s="1192"/>
      <c r="AJ171" s="1192"/>
      <c r="AK171" s="1192"/>
      <c r="AL171" s="1192"/>
      <c r="AM171" s="1192"/>
      <c r="AN171" s="1192"/>
      <c r="AO171" s="1192"/>
      <c r="AP171" s="1192"/>
      <c r="AQ171" s="1192"/>
      <c r="AR171" s="1192"/>
      <c r="AS171" s="1192"/>
      <c r="AT171" s="1192"/>
      <c r="AU171" s="1192"/>
      <c r="AV171" s="1192"/>
      <c r="AW171" s="1192"/>
      <c r="AX171" s="1192"/>
      <c r="AY171" s="1192"/>
      <c r="AZ171" s="1192"/>
      <c r="BA171" s="1192"/>
      <c r="BB171" s="1192"/>
      <c r="BC171" s="1192"/>
      <c r="BD171" s="1192"/>
      <c r="BE171" s="1196"/>
    </row>
    <row r="172" spans="1:57" ht="15.75" customHeight="1">
      <c r="A172" s="1192"/>
      <c r="B172" s="1192"/>
      <c r="C172" s="2061" t="s">
        <v>2338</v>
      </c>
      <c r="D172" s="2062"/>
      <c r="E172" s="2062"/>
      <c r="F172" s="2062"/>
      <c r="G172" s="2062"/>
      <c r="H172" s="2062"/>
      <c r="I172" s="2062"/>
      <c r="J172" s="2062"/>
      <c r="K172" s="2062"/>
      <c r="L172" s="2062"/>
      <c r="M172" s="2062"/>
      <c r="N172" s="2112"/>
      <c r="O172" s="1192"/>
      <c r="P172" s="2180" t="s">
        <v>2337</v>
      </c>
      <c r="Q172" s="2181"/>
      <c r="R172" s="2181"/>
      <c r="S172" s="2181"/>
      <c r="T172" s="2181"/>
      <c r="U172" s="2181"/>
      <c r="V172" s="2181"/>
      <c r="W172" s="2181"/>
      <c r="X172" s="2181"/>
      <c r="Y172" s="2181"/>
      <c r="Z172" s="2181"/>
      <c r="AA172" s="2181"/>
      <c r="AB172" s="2181"/>
      <c r="AC172" s="2181"/>
      <c r="AD172" s="2181"/>
      <c r="AE172" s="2181"/>
      <c r="AF172" s="2181"/>
      <c r="AG172" s="2181"/>
      <c r="AH172" s="2181"/>
      <c r="AI172" s="2181"/>
      <c r="AJ172" s="2181"/>
      <c r="AK172" s="2181"/>
      <c r="AL172" s="2181"/>
      <c r="AM172" s="2181"/>
      <c r="AN172" s="2181"/>
      <c r="AO172" s="2182"/>
      <c r="AP172" s="1192"/>
      <c r="AQ172" s="1192"/>
      <c r="AR172" s="1192"/>
      <c r="AS172" s="1192"/>
      <c r="AT172" s="1192"/>
      <c r="AU172" s="1192"/>
      <c r="AV172" s="1192"/>
      <c r="AW172" s="1192"/>
      <c r="AX172" s="1192"/>
      <c r="AY172" s="1192"/>
      <c r="AZ172" s="1192"/>
      <c r="BA172" s="1192"/>
      <c r="BB172" s="1192"/>
      <c r="BC172" s="1192"/>
      <c r="BD172" s="1192"/>
      <c r="BE172" s="1196"/>
    </row>
    <row r="173" spans="1:57" ht="15.75" customHeight="1">
      <c r="A173" s="1192"/>
      <c r="B173" s="1192"/>
      <c r="C173" s="2160" t="s">
        <v>2336</v>
      </c>
      <c r="D173" s="2161"/>
      <c r="E173" s="2161"/>
      <c r="F173" s="2161"/>
      <c r="G173" s="2161"/>
      <c r="H173" s="2161"/>
      <c r="I173" s="2161" t="s">
        <v>2335</v>
      </c>
      <c r="J173" s="2161"/>
      <c r="K173" s="2161"/>
      <c r="L173" s="2161"/>
      <c r="M173" s="2161"/>
      <c r="N173" s="2169"/>
      <c r="O173" s="1192"/>
      <c r="P173" s="2081" t="s">
        <v>2334</v>
      </c>
      <c r="Q173" s="2082"/>
      <c r="R173" s="2082"/>
      <c r="S173" s="2082"/>
      <c r="T173" s="2082"/>
      <c r="U173" s="2082"/>
      <c r="V173" s="2082"/>
      <c r="W173" s="2082"/>
      <c r="X173" s="2082"/>
      <c r="Y173" s="2082"/>
      <c r="Z173" s="2082"/>
      <c r="AA173" s="2082"/>
      <c r="AB173" s="2082"/>
      <c r="AC173" s="2082"/>
      <c r="AD173" s="2082"/>
      <c r="AE173" s="2082"/>
      <c r="AF173" s="2082"/>
      <c r="AG173" s="2082"/>
      <c r="AH173" s="2082"/>
      <c r="AI173" s="2082"/>
      <c r="AJ173" s="2082"/>
      <c r="AK173" s="2082"/>
      <c r="AL173" s="2082"/>
      <c r="AM173" s="2082"/>
      <c r="AN173" s="2082"/>
      <c r="AO173" s="2083"/>
      <c r="AP173" s="1192"/>
      <c r="AQ173" s="1192"/>
      <c r="AR173" s="1192"/>
      <c r="AS173" s="1192"/>
      <c r="AT173" s="1192"/>
      <c r="AU173" s="1192"/>
      <c r="AV173" s="1192"/>
      <c r="AW173" s="1192"/>
      <c r="AX173" s="1192"/>
      <c r="AY173" s="1192"/>
      <c r="AZ173" s="1192"/>
      <c r="BA173" s="1192"/>
      <c r="BB173" s="1192"/>
      <c r="BC173" s="1192"/>
      <c r="BD173" s="1192"/>
      <c r="BE173" s="1196"/>
    </row>
    <row r="174" spans="1:57" ht="15.75" customHeight="1">
      <c r="A174" s="1192"/>
      <c r="B174" s="1192"/>
      <c r="C174" s="2087"/>
      <c r="D174" s="2019"/>
      <c r="E174" s="2019"/>
      <c r="F174" s="2019"/>
      <c r="G174" s="2019"/>
      <c r="H174" s="2019"/>
      <c r="I174" s="2167"/>
      <c r="J174" s="2167"/>
      <c r="K174" s="2167"/>
      <c r="L174" s="2167"/>
      <c r="M174" s="2167"/>
      <c r="N174" s="2183"/>
      <c r="O174" s="1192"/>
      <c r="P174" s="2081"/>
      <c r="Q174" s="2082"/>
      <c r="R174" s="2082"/>
      <c r="S174" s="2082"/>
      <c r="T174" s="2082"/>
      <c r="U174" s="2082"/>
      <c r="V174" s="2082"/>
      <c r="W174" s="2082"/>
      <c r="X174" s="2082"/>
      <c r="Y174" s="2082"/>
      <c r="Z174" s="2082"/>
      <c r="AA174" s="2082"/>
      <c r="AB174" s="2082"/>
      <c r="AC174" s="2082"/>
      <c r="AD174" s="2082"/>
      <c r="AE174" s="2082"/>
      <c r="AF174" s="2082"/>
      <c r="AG174" s="2082"/>
      <c r="AH174" s="2082"/>
      <c r="AI174" s="2082"/>
      <c r="AJ174" s="2082"/>
      <c r="AK174" s="2082"/>
      <c r="AL174" s="2082"/>
      <c r="AM174" s="2082"/>
      <c r="AN174" s="2082"/>
      <c r="AO174" s="2083"/>
      <c r="AP174" s="1192"/>
      <c r="AQ174" s="1192"/>
      <c r="AR174" s="1192"/>
      <c r="AS174" s="1192"/>
      <c r="AT174" s="1192"/>
      <c r="AU174" s="1192"/>
      <c r="AV174" s="1192"/>
      <c r="AW174" s="1192"/>
      <c r="AX174" s="1192"/>
      <c r="AY174" s="1192"/>
      <c r="AZ174" s="1192"/>
      <c r="BA174" s="1192"/>
      <c r="BB174" s="1192"/>
      <c r="BC174" s="1192"/>
      <c r="BD174" s="1192"/>
      <c r="BE174" s="1196"/>
    </row>
    <row r="175" spans="1:57" ht="15.75" customHeight="1">
      <c r="A175" s="1192"/>
      <c r="B175" s="1192"/>
      <c r="C175" s="2087"/>
      <c r="D175" s="2019"/>
      <c r="E175" s="2019"/>
      <c r="F175" s="2019"/>
      <c r="G175" s="2019"/>
      <c r="H175" s="2019"/>
      <c r="I175" s="2167"/>
      <c r="J175" s="2167"/>
      <c r="K175" s="2167"/>
      <c r="L175" s="2167"/>
      <c r="M175" s="2167"/>
      <c r="N175" s="2183"/>
      <c r="O175" s="1192"/>
      <c r="P175" s="2081"/>
      <c r="Q175" s="2082"/>
      <c r="R175" s="2082"/>
      <c r="S175" s="2082"/>
      <c r="T175" s="2082"/>
      <c r="U175" s="2082"/>
      <c r="V175" s="2082"/>
      <c r="W175" s="2082"/>
      <c r="X175" s="2082"/>
      <c r="Y175" s="2082"/>
      <c r="Z175" s="2082"/>
      <c r="AA175" s="2082"/>
      <c r="AB175" s="2082"/>
      <c r="AC175" s="2082"/>
      <c r="AD175" s="2082"/>
      <c r="AE175" s="2082"/>
      <c r="AF175" s="2082"/>
      <c r="AG175" s="2082"/>
      <c r="AH175" s="2082"/>
      <c r="AI175" s="2082"/>
      <c r="AJ175" s="2082"/>
      <c r="AK175" s="2082"/>
      <c r="AL175" s="2082"/>
      <c r="AM175" s="2082"/>
      <c r="AN175" s="2082"/>
      <c r="AO175" s="2083"/>
      <c r="AP175" s="1192"/>
      <c r="AQ175" s="1192"/>
      <c r="AR175" s="1192"/>
      <c r="AS175" s="1192"/>
      <c r="AT175" s="1192"/>
      <c r="AU175" s="1192"/>
      <c r="AV175" s="1192"/>
      <c r="AW175" s="1192"/>
      <c r="AX175" s="1192"/>
      <c r="AY175" s="1192"/>
      <c r="AZ175" s="1192"/>
      <c r="BA175" s="1192"/>
      <c r="BB175" s="1192"/>
      <c r="BC175" s="1192"/>
      <c r="BD175" s="1192"/>
      <c r="BE175" s="1196"/>
    </row>
    <row r="176" spans="1:57" ht="15.75" customHeight="1">
      <c r="A176" s="1192"/>
      <c r="B176" s="1192"/>
      <c r="C176" s="2087"/>
      <c r="D176" s="2019"/>
      <c r="E176" s="2019"/>
      <c r="F176" s="2019"/>
      <c r="G176" s="2019"/>
      <c r="H176" s="2019"/>
      <c r="I176" s="2167"/>
      <c r="J176" s="2167"/>
      <c r="K176" s="2167"/>
      <c r="L176" s="2167"/>
      <c r="M176" s="2167"/>
      <c r="N176" s="2183"/>
      <c r="O176" s="1192"/>
      <c r="P176" s="2081"/>
      <c r="Q176" s="2082"/>
      <c r="R176" s="2082"/>
      <c r="S176" s="2082"/>
      <c r="T176" s="2082"/>
      <c r="U176" s="2082"/>
      <c r="V176" s="2082"/>
      <c r="W176" s="2082"/>
      <c r="X176" s="2082"/>
      <c r="Y176" s="2082"/>
      <c r="Z176" s="2082"/>
      <c r="AA176" s="2082"/>
      <c r="AB176" s="2082"/>
      <c r="AC176" s="2082"/>
      <c r="AD176" s="2082"/>
      <c r="AE176" s="2082"/>
      <c r="AF176" s="2082"/>
      <c r="AG176" s="2082"/>
      <c r="AH176" s="2082"/>
      <c r="AI176" s="2082"/>
      <c r="AJ176" s="2082"/>
      <c r="AK176" s="2082"/>
      <c r="AL176" s="2082"/>
      <c r="AM176" s="2082"/>
      <c r="AN176" s="2082"/>
      <c r="AO176" s="2083"/>
      <c r="AP176" s="1192"/>
      <c r="AQ176" s="1192"/>
      <c r="AR176" s="1192"/>
      <c r="AS176" s="1192"/>
      <c r="AT176" s="1192"/>
      <c r="AU176" s="1192"/>
      <c r="AV176" s="1192"/>
      <c r="AW176" s="1192"/>
      <c r="AX176" s="1192"/>
      <c r="AY176" s="1192"/>
      <c r="AZ176" s="1192"/>
      <c r="BA176" s="1192"/>
      <c r="BB176" s="1192"/>
      <c r="BC176" s="1192"/>
      <c r="BD176" s="1192"/>
      <c r="BE176" s="1196"/>
    </row>
    <row r="177" spans="1:57" ht="15.75" customHeight="1">
      <c r="A177" s="1192"/>
      <c r="B177" s="1192"/>
      <c r="C177" s="2087"/>
      <c r="D177" s="2019"/>
      <c r="E177" s="2019"/>
      <c r="F177" s="2019"/>
      <c r="G177" s="2019"/>
      <c r="H177" s="2019"/>
      <c r="I177" s="2167"/>
      <c r="J177" s="2167"/>
      <c r="K177" s="2167"/>
      <c r="L177" s="2167"/>
      <c r="M177" s="2167"/>
      <c r="N177" s="2183"/>
      <c r="O177" s="1192"/>
      <c r="P177" s="2081"/>
      <c r="Q177" s="2082"/>
      <c r="R177" s="2082"/>
      <c r="S177" s="2082"/>
      <c r="T177" s="2082"/>
      <c r="U177" s="2082"/>
      <c r="V177" s="2082"/>
      <c r="W177" s="2082"/>
      <c r="X177" s="2082"/>
      <c r="Y177" s="2082"/>
      <c r="Z177" s="2082"/>
      <c r="AA177" s="2082"/>
      <c r="AB177" s="2082"/>
      <c r="AC177" s="2082"/>
      <c r="AD177" s="2082"/>
      <c r="AE177" s="2082"/>
      <c r="AF177" s="2082"/>
      <c r="AG177" s="2082"/>
      <c r="AH177" s="2082"/>
      <c r="AI177" s="2082"/>
      <c r="AJ177" s="2082"/>
      <c r="AK177" s="2082"/>
      <c r="AL177" s="2082"/>
      <c r="AM177" s="2082"/>
      <c r="AN177" s="2082"/>
      <c r="AO177" s="2083"/>
      <c r="AP177" s="1192"/>
      <c r="AQ177" s="1192"/>
      <c r="AR177" s="1192"/>
      <c r="AS177" s="1192"/>
      <c r="AT177" s="1192"/>
      <c r="AU177" s="1192"/>
      <c r="AV177" s="1192"/>
      <c r="AW177" s="1192"/>
      <c r="AX177" s="1192"/>
      <c r="AY177" s="1192"/>
      <c r="AZ177" s="1192"/>
      <c r="BA177" s="1192"/>
      <c r="BB177" s="1192"/>
      <c r="BC177" s="1192"/>
      <c r="BD177" s="1192"/>
      <c r="BE177" s="1196"/>
    </row>
    <row r="178" spans="1:57" ht="15.75" customHeight="1">
      <c r="A178" s="1192"/>
      <c r="B178" s="1192"/>
      <c r="C178" s="2087"/>
      <c r="D178" s="2019"/>
      <c r="E178" s="2019"/>
      <c r="F178" s="2019"/>
      <c r="G178" s="2019"/>
      <c r="H178" s="2019"/>
      <c r="I178" s="2167"/>
      <c r="J178" s="2167"/>
      <c r="K178" s="2167"/>
      <c r="L178" s="2167"/>
      <c r="M178" s="2167"/>
      <c r="N178" s="2183"/>
      <c r="O178" s="1192"/>
      <c r="P178" s="2081"/>
      <c r="Q178" s="2082"/>
      <c r="R178" s="2082"/>
      <c r="S178" s="2082"/>
      <c r="T178" s="2082"/>
      <c r="U178" s="2082"/>
      <c r="V178" s="2082"/>
      <c r="W178" s="2082"/>
      <c r="X178" s="2082"/>
      <c r="Y178" s="2082"/>
      <c r="Z178" s="2082"/>
      <c r="AA178" s="2082"/>
      <c r="AB178" s="2082"/>
      <c r="AC178" s="2082"/>
      <c r="AD178" s="2082"/>
      <c r="AE178" s="2082"/>
      <c r="AF178" s="2082"/>
      <c r="AG178" s="2082"/>
      <c r="AH178" s="2082"/>
      <c r="AI178" s="2082"/>
      <c r="AJ178" s="2082"/>
      <c r="AK178" s="2082"/>
      <c r="AL178" s="2082"/>
      <c r="AM178" s="2082"/>
      <c r="AN178" s="2082"/>
      <c r="AO178" s="2083"/>
      <c r="AP178" s="1192"/>
      <c r="AQ178" s="1192"/>
      <c r="AR178" s="1192"/>
      <c r="AS178" s="1192"/>
      <c r="AT178" s="1192"/>
      <c r="AU178" s="1192"/>
      <c r="AV178" s="1192"/>
      <c r="AW178" s="1192"/>
      <c r="AX178" s="1192"/>
      <c r="AY178" s="1192"/>
      <c r="AZ178" s="1192"/>
      <c r="BA178" s="1192"/>
      <c r="BB178" s="1192"/>
      <c r="BC178" s="1192"/>
      <c r="BD178" s="1192"/>
      <c r="BE178" s="1196"/>
    </row>
    <row r="179" spans="1:57" ht="15.75" customHeight="1">
      <c r="A179" s="1192"/>
      <c r="B179" s="1192"/>
      <c r="C179" s="2087"/>
      <c r="D179" s="2019"/>
      <c r="E179" s="2019"/>
      <c r="F179" s="2019"/>
      <c r="G179" s="2019"/>
      <c r="H179" s="2019"/>
      <c r="I179" s="2167"/>
      <c r="J179" s="2167"/>
      <c r="K179" s="2167"/>
      <c r="L179" s="2167"/>
      <c r="M179" s="2167"/>
      <c r="N179" s="2183"/>
      <c r="O179" s="1192"/>
      <c r="P179" s="2081"/>
      <c r="Q179" s="2082"/>
      <c r="R179" s="2082"/>
      <c r="S179" s="2082"/>
      <c r="T179" s="2082"/>
      <c r="U179" s="2082"/>
      <c r="V179" s="2082"/>
      <c r="W179" s="2082"/>
      <c r="X179" s="2082"/>
      <c r="Y179" s="2082"/>
      <c r="Z179" s="2082"/>
      <c r="AA179" s="2082"/>
      <c r="AB179" s="2082"/>
      <c r="AC179" s="2082"/>
      <c r="AD179" s="2082"/>
      <c r="AE179" s="2082"/>
      <c r="AF179" s="2082"/>
      <c r="AG179" s="2082"/>
      <c r="AH179" s="2082"/>
      <c r="AI179" s="2082"/>
      <c r="AJ179" s="2082"/>
      <c r="AK179" s="2082"/>
      <c r="AL179" s="2082"/>
      <c r="AM179" s="2082"/>
      <c r="AN179" s="2082"/>
      <c r="AO179" s="2083"/>
      <c r="AP179" s="1192"/>
      <c r="AQ179" s="1192"/>
      <c r="AR179" s="1192"/>
      <c r="AS179" s="1192"/>
      <c r="AT179" s="1192"/>
      <c r="AU179" s="1192"/>
      <c r="AV179" s="1192"/>
      <c r="AW179" s="1192"/>
      <c r="AX179" s="1192"/>
      <c r="AY179" s="1192"/>
      <c r="AZ179" s="1192"/>
      <c r="BA179" s="1192"/>
      <c r="BB179" s="1192"/>
      <c r="BC179" s="1192"/>
      <c r="BD179" s="1192"/>
      <c r="BE179" s="1196"/>
    </row>
    <row r="180" spans="1:57" ht="15.75" customHeight="1" thickBot="1">
      <c r="A180" s="1192"/>
      <c r="B180" s="1192"/>
      <c r="C180" s="2184"/>
      <c r="D180" s="2185"/>
      <c r="E180" s="2185"/>
      <c r="F180" s="2185"/>
      <c r="G180" s="2185"/>
      <c r="H180" s="2185"/>
      <c r="I180" s="2186"/>
      <c r="J180" s="2186"/>
      <c r="K180" s="2186"/>
      <c r="L180" s="2186"/>
      <c r="M180" s="2186"/>
      <c r="N180" s="2187"/>
      <c r="O180" s="1192"/>
      <c r="P180" s="2084"/>
      <c r="Q180" s="2085"/>
      <c r="R180" s="2085"/>
      <c r="S180" s="2085"/>
      <c r="T180" s="2085"/>
      <c r="U180" s="2085"/>
      <c r="V180" s="2085"/>
      <c r="W180" s="2085"/>
      <c r="X180" s="2085"/>
      <c r="Y180" s="2085"/>
      <c r="Z180" s="2085"/>
      <c r="AA180" s="2085"/>
      <c r="AB180" s="2085"/>
      <c r="AC180" s="2085"/>
      <c r="AD180" s="2085"/>
      <c r="AE180" s="2085"/>
      <c r="AF180" s="2085"/>
      <c r="AG180" s="2085"/>
      <c r="AH180" s="2085"/>
      <c r="AI180" s="2085"/>
      <c r="AJ180" s="2085"/>
      <c r="AK180" s="2085"/>
      <c r="AL180" s="2085"/>
      <c r="AM180" s="2085"/>
      <c r="AN180" s="2085"/>
      <c r="AO180" s="2086"/>
      <c r="AP180" s="1192"/>
      <c r="AQ180" s="1192"/>
      <c r="AR180" s="1192"/>
      <c r="AS180" s="1192"/>
      <c r="AT180" s="1192"/>
      <c r="AU180" s="1192"/>
      <c r="AV180" s="1192"/>
      <c r="AW180" s="1192"/>
      <c r="AX180" s="1192"/>
      <c r="AY180" s="1192"/>
      <c r="AZ180" s="1192"/>
      <c r="BA180" s="1192"/>
      <c r="BB180" s="1192"/>
      <c r="BC180" s="1192"/>
      <c r="BD180" s="1192"/>
      <c r="BE180" s="1196"/>
    </row>
    <row r="181" spans="1:57" ht="15.75" customHeight="1" thickBot="1">
      <c r="A181" s="1192"/>
      <c r="B181" s="1192"/>
      <c r="C181" s="1192"/>
      <c r="D181" s="1192"/>
      <c r="E181" s="1192"/>
      <c r="F181" s="1192"/>
      <c r="G181" s="1192"/>
      <c r="H181" s="1192"/>
      <c r="I181" s="1192"/>
      <c r="J181" s="1192"/>
      <c r="K181" s="1192"/>
      <c r="L181" s="1192"/>
      <c r="M181" s="1192"/>
      <c r="N181" s="1192"/>
      <c r="O181" s="1192"/>
      <c r="P181" s="1192"/>
      <c r="Q181" s="1192"/>
      <c r="R181" s="1192"/>
      <c r="S181" s="1192"/>
      <c r="T181" s="1192"/>
      <c r="U181" s="1192"/>
      <c r="V181" s="1192"/>
      <c r="W181" s="1192"/>
      <c r="X181" s="1192"/>
      <c r="Y181" s="1192"/>
      <c r="Z181" s="1192"/>
      <c r="AA181" s="1192"/>
      <c r="AB181" s="1192"/>
      <c r="AC181" s="1192"/>
      <c r="AD181" s="1192"/>
      <c r="AE181" s="1192"/>
      <c r="AF181" s="1192"/>
      <c r="AG181" s="1192"/>
      <c r="AH181" s="1192"/>
      <c r="AI181" s="1192"/>
      <c r="AJ181" s="1192"/>
      <c r="AK181" s="1192"/>
      <c r="AL181" s="1192"/>
      <c r="AM181" s="1192"/>
      <c r="AN181" s="1192"/>
      <c r="AO181" s="1192"/>
      <c r="AP181" s="1192"/>
      <c r="AQ181" s="1192"/>
      <c r="AR181" s="1192"/>
      <c r="AS181" s="1192"/>
      <c r="AT181" s="1192"/>
      <c r="AU181" s="1192"/>
      <c r="AV181" s="1192"/>
      <c r="AW181" s="1192"/>
      <c r="AX181" s="1192"/>
      <c r="AY181" s="1192"/>
      <c r="AZ181" s="1192"/>
      <c r="BA181" s="1192"/>
      <c r="BB181" s="1192"/>
      <c r="BC181" s="1192"/>
      <c r="BD181" s="1192"/>
      <c r="BE181" s="1196"/>
    </row>
    <row r="182" spans="1:57" ht="15.75" customHeight="1">
      <c r="A182" s="1192"/>
      <c r="B182" s="1192"/>
      <c r="C182" s="2191" t="s">
        <v>2333</v>
      </c>
      <c r="D182" s="2192"/>
      <c r="E182" s="2192"/>
      <c r="F182" s="2192"/>
      <c r="G182" s="2192"/>
      <c r="H182" s="2192"/>
      <c r="I182" s="2192"/>
      <c r="J182" s="2192"/>
      <c r="K182" s="2192"/>
      <c r="L182" s="2192"/>
      <c r="M182" s="2192"/>
      <c r="N182" s="2192"/>
      <c r="O182" s="2192"/>
      <c r="P182" s="2192"/>
      <c r="Q182" s="2192"/>
      <c r="R182" s="2192"/>
      <c r="S182" s="2192"/>
      <c r="T182" s="2192"/>
      <c r="U182" s="2192"/>
      <c r="V182" s="2192"/>
      <c r="W182" s="2192"/>
      <c r="X182" s="2192"/>
      <c r="Y182" s="2192"/>
      <c r="Z182" s="2192"/>
      <c r="AA182" s="2192"/>
      <c r="AB182" s="2192"/>
      <c r="AC182" s="2192"/>
      <c r="AD182" s="2192"/>
      <c r="AE182" s="2193"/>
      <c r="AF182" s="1192"/>
      <c r="AG182" s="1192"/>
      <c r="AH182" s="2201"/>
      <c r="AI182" s="2201"/>
      <c r="AJ182" s="2201"/>
      <c r="AK182" s="2201"/>
      <c r="AL182" s="2201"/>
      <c r="AM182" s="2201"/>
      <c r="AN182" s="2201"/>
      <c r="AO182" s="2201"/>
      <c r="AP182" s="2201"/>
      <c r="AQ182" s="2201"/>
      <c r="AR182" s="2201"/>
      <c r="AS182" s="2201"/>
      <c r="AT182" s="2201"/>
      <c r="AU182" s="2201"/>
      <c r="AV182" s="2201"/>
      <c r="AW182" s="2201"/>
      <c r="AX182" s="2201"/>
      <c r="AY182" s="2201"/>
      <c r="AZ182" s="2201"/>
      <c r="BA182" s="2201"/>
      <c r="BB182" s="2201"/>
      <c r="BC182" s="2201"/>
      <c r="BD182" s="2201"/>
      <c r="BE182" s="2201"/>
    </row>
    <row r="183" spans="1:57" ht="15.75" customHeight="1" thickBot="1">
      <c r="A183" s="1192"/>
      <c r="B183" s="1192"/>
      <c r="C183" s="2194"/>
      <c r="D183" s="2195"/>
      <c r="E183" s="2195"/>
      <c r="F183" s="2195"/>
      <c r="G183" s="2195"/>
      <c r="H183" s="2195"/>
      <c r="I183" s="2195"/>
      <c r="J183" s="2195"/>
      <c r="K183" s="2195"/>
      <c r="L183" s="2195"/>
      <c r="M183" s="2195"/>
      <c r="N183" s="2195"/>
      <c r="O183" s="2195"/>
      <c r="P183" s="2195"/>
      <c r="Q183" s="2195"/>
      <c r="R183" s="2195"/>
      <c r="S183" s="2195"/>
      <c r="T183" s="2195"/>
      <c r="U183" s="2195"/>
      <c r="V183" s="2195"/>
      <c r="W183" s="2195"/>
      <c r="X183" s="2195"/>
      <c r="Y183" s="2195"/>
      <c r="Z183" s="2195"/>
      <c r="AA183" s="2195"/>
      <c r="AB183" s="2195"/>
      <c r="AC183" s="2195"/>
      <c r="AD183" s="2195"/>
      <c r="AE183" s="2196"/>
      <c r="AF183" s="1192"/>
      <c r="AG183" s="1192"/>
      <c r="AH183" s="2201"/>
      <c r="AI183" s="2201"/>
      <c r="AJ183" s="2201"/>
      <c r="AK183" s="2201"/>
      <c r="AL183" s="2201"/>
      <c r="AM183" s="2201"/>
      <c r="AN183" s="2201"/>
      <c r="AO183" s="2201"/>
      <c r="AP183" s="2201"/>
      <c r="AQ183" s="2201"/>
      <c r="AR183" s="2201"/>
      <c r="AS183" s="2201"/>
      <c r="AT183" s="2201"/>
      <c r="AU183" s="2201"/>
      <c r="AV183" s="2201"/>
      <c r="AW183" s="2201"/>
      <c r="AX183" s="2201"/>
      <c r="AY183" s="2201"/>
      <c r="AZ183" s="2201"/>
      <c r="BA183" s="2201"/>
      <c r="BB183" s="2201"/>
      <c r="BC183" s="2201"/>
      <c r="BD183" s="2201"/>
      <c r="BE183" s="2201"/>
    </row>
    <row r="184" spans="1:57" ht="15.75" customHeight="1">
      <c r="A184" s="1192"/>
      <c r="B184" s="1192"/>
      <c r="C184" s="2061" t="s">
        <v>2331</v>
      </c>
      <c r="D184" s="2062"/>
      <c r="E184" s="2062"/>
      <c r="F184" s="2062"/>
      <c r="G184" s="2062"/>
      <c r="H184" s="2062"/>
      <c r="I184" s="2062"/>
      <c r="J184" s="2062"/>
      <c r="K184" s="2062"/>
      <c r="L184" s="2062"/>
      <c r="M184" s="2062"/>
      <c r="N184" s="2062" t="s">
        <v>2332</v>
      </c>
      <c r="O184" s="2062"/>
      <c r="P184" s="2062"/>
      <c r="Q184" s="2062"/>
      <c r="R184" s="2062"/>
      <c r="S184" s="2062"/>
      <c r="T184" s="2062"/>
      <c r="U184" s="2013" t="s">
        <v>2331</v>
      </c>
      <c r="V184" s="2013"/>
      <c r="W184" s="2013"/>
      <c r="X184" s="2013"/>
      <c r="Y184" s="2013"/>
      <c r="Z184" s="2013"/>
      <c r="AA184" s="2013"/>
      <c r="AB184" s="2013"/>
      <c r="AC184" s="2013"/>
      <c r="AD184" s="2013"/>
      <c r="AE184" s="2014"/>
      <c r="AF184" s="1192"/>
      <c r="AG184" s="1192"/>
      <c r="AH184" s="2201"/>
      <c r="AI184" s="2201"/>
      <c r="AJ184" s="2201"/>
      <c r="AK184" s="2201"/>
      <c r="AL184" s="2201"/>
      <c r="AM184" s="2201"/>
      <c r="AN184" s="2201"/>
      <c r="AO184" s="2201"/>
      <c r="AP184" s="2201"/>
      <c r="AQ184" s="2201"/>
      <c r="AR184" s="2201"/>
      <c r="AS184" s="2201"/>
      <c r="AT184" s="2201"/>
      <c r="AU184" s="2201"/>
      <c r="AV184" s="2201"/>
      <c r="AW184" s="2201"/>
      <c r="AX184" s="2201"/>
      <c r="AY184" s="2201"/>
      <c r="AZ184" s="2201"/>
      <c r="BA184" s="2201"/>
      <c r="BB184" s="2201"/>
      <c r="BC184" s="2201"/>
      <c r="BD184" s="2201"/>
      <c r="BE184" s="2201"/>
    </row>
    <row r="185" spans="1:57" ht="15.75" customHeight="1">
      <c r="A185" s="1192"/>
      <c r="B185" s="1192"/>
      <c r="C185" s="2188" t="s">
        <v>2330</v>
      </c>
      <c r="D185" s="2189"/>
      <c r="E185" s="2189"/>
      <c r="F185" s="2189"/>
      <c r="G185" s="2189"/>
      <c r="H185" s="2189"/>
      <c r="I185" s="2189"/>
      <c r="J185" s="2189"/>
      <c r="K185" s="2189"/>
      <c r="L185" s="2189"/>
      <c r="M185" s="2189"/>
      <c r="N185" s="2190">
        <f>'Sources and Uses Budget'!B105</f>
        <v>33516886</v>
      </c>
      <c r="O185" s="2190"/>
      <c r="P185" s="2190"/>
      <c r="Q185" s="2190"/>
      <c r="R185" s="2190"/>
      <c r="S185" s="2190"/>
      <c r="T185" s="2190"/>
      <c r="U185" s="2202"/>
      <c r="V185" s="2202"/>
      <c r="W185" s="2202"/>
      <c r="X185" s="2202"/>
      <c r="Y185" s="2202"/>
      <c r="Z185" s="2202"/>
      <c r="AA185" s="2202"/>
      <c r="AB185" s="2202"/>
      <c r="AC185" s="2202"/>
      <c r="AD185" s="2202"/>
      <c r="AE185" s="2203"/>
      <c r="AF185" s="1192"/>
      <c r="AG185" s="1192"/>
      <c r="AH185" s="2201"/>
      <c r="AI185" s="2201"/>
      <c r="AJ185" s="2201"/>
      <c r="AK185" s="2201"/>
      <c r="AL185" s="2201"/>
      <c r="AM185" s="2201"/>
      <c r="AN185" s="2201"/>
      <c r="AO185" s="2201"/>
      <c r="AP185" s="2201"/>
      <c r="AQ185" s="2201"/>
      <c r="AR185" s="2201"/>
      <c r="AS185" s="2201"/>
      <c r="AT185" s="2201"/>
      <c r="AU185" s="2201"/>
      <c r="AV185" s="2201"/>
      <c r="AW185" s="2201"/>
      <c r="AX185" s="2201"/>
      <c r="AY185" s="2201"/>
      <c r="AZ185" s="2201"/>
      <c r="BA185" s="2201"/>
      <c r="BB185" s="2201"/>
      <c r="BC185" s="2201"/>
      <c r="BD185" s="2201"/>
      <c r="BE185" s="2201"/>
    </row>
    <row r="186" spans="1:57" ht="15.75" customHeight="1">
      <c r="A186" s="1192"/>
      <c r="B186" s="1192"/>
      <c r="C186" s="2188" t="s">
        <v>2329</v>
      </c>
      <c r="D186" s="2189"/>
      <c r="E186" s="2189"/>
      <c r="F186" s="2189"/>
      <c r="G186" s="2189"/>
      <c r="H186" s="2189"/>
      <c r="I186" s="2189"/>
      <c r="J186" s="2189"/>
      <c r="K186" s="2189"/>
      <c r="L186" s="2189"/>
      <c r="M186" s="2189"/>
      <c r="N186" s="2190">
        <f>N185/J29</f>
        <v>549457.14754098363</v>
      </c>
      <c r="O186" s="2190"/>
      <c r="P186" s="2190"/>
      <c r="Q186" s="2190"/>
      <c r="R186" s="2190"/>
      <c r="S186" s="2190"/>
      <c r="T186" s="2190"/>
      <c r="U186" s="1232"/>
      <c r="V186" s="1232"/>
      <c r="W186" s="1232"/>
      <c r="X186" s="1232"/>
      <c r="Y186" s="1232"/>
      <c r="Z186" s="1232"/>
      <c r="AA186" s="1232"/>
      <c r="AB186" s="1232"/>
      <c r="AC186" s="1232"/>
      <c r="AD186" s="1232"/>
      <c r="AE186" s="1233"/>
      <c r="AF186" s="1192"/>
      <c r="AG186" s="1192"/>
      <c r="AH186" s="2201"/>
      <c r="AI186" s="2201"/>
      <c r="AJ186" s="2201"/>
      <c r="AK186" s="2201"/>
      <c r="AL186" s="2201"/>
      <c r="AM186" s="2201"/>
      <c r="AN186" s="2201"/>
      <c r="AO186" s="2201"/>
      <c r="AP186" s="2201"/>
      <c r="AQ186" s="2201"/>
      <c r="AR186" s="2201"/>
      <c r="AS186" s="2201"/>
      <c r="AT186" s="2201"/>
      <c r="AU186" s="2201"/>
      <c r="AV186" s="2201"/>
      <c r="AW186" s="2201"/>
      <c r="AX186" s="2201"/>
      <c r="AY186" s="2201"/>
      <c r="AZ186" s="2201"/>
      <c r="BA186" s="2201"/>
      <c r="BB186" s="2201"/>
      <c r="BC186" s="2201"/>
      <c r="BD186" s="2201"/>
      <c r="BE186" s="2201"/>
    </row>
    <row r="187" spans="1:57" ht="15.75" customHeight="1">
      <c r="A187" s="1192"/>
      <c r="B187" s="1192"/>
      <c r="C187" s="2204" t="s">
        <v>2328</v>
      </c>
      <c r="D187" s="2205"/>
      <c r="E187" s="2205"/>
      <c r="F187" s="2205"/>
      <c r="G187" s="2205"/>
      <c r="H187" s="2205"/>
      <c r="I187" s="2205"/>
      <c r="J187" s="2205"/>
      <c r="K187" s="2205"/>
      <c r="L187" s="2205"/>
      <c r="M187" s="2205"/>
      <c r="N187" s="2055">
        <v>0</v>
      </c>
      <c r="O187" s="2055"/>
      <c r="P187" s="2055"/>
      <c r="Q187" s="2055"/>
      <c r="R187" s="2055"/>
      <c r="S187" s="2055"/>
      <c r="T187" s="2055"/>
      <c r="U187" s="2031"/>
      <c r="V187" s="2031"/>
      <c r="W187" s="2031"/>
      <c r="X187" s="2031"/>
      <c r="Y187" s="2031"/>
      <c r="Z187" s="2031"/>
      <c r="AA187" s="2031"/>
      <c r="AB187" s="2031"/>
      <c r="AC187" s="2031"/>
      <c r="AD187" s="2031"/>
      <c r="AE187" s="2032"/>
      <c r="AF187" s="1192"/>
      <c r="AG187" s="1192"/>
      <c r="AH187" s="2201"/>
      <c r="AI187" s="2201"/>
      <c r="AJ187" s="2201"/>
      <c r="AK187" s="2201"/>
      <c r="AL187" s="2201"/>
      <c r="AM187" s="2201"/>
      <c r="AN187" s="2201"/>
      <c r="AO187" s="2201"/>
      <c r="AP187" s="2201"/>
      <c r="AQ187" s="2201"/>
      <c r="AR187" s="2201"/>
      <c r="AS187" s="2201"/>
      <c r="AT187" s="2201"/>
      <c r="AU187" s="2201"/>
      <c r="AV187" s="2201"/>
      <c r="AW187" s="2201"/>
      <c r="AX187" s="2201"/>
      <c r="AY187" s="2201"/>
      <c r="AZ187" s="2201"/>
      <c r="BA187" s="2201"/>
      <c r="BB187" s="2201"/>
      <c r="BC187" s="2201"/>
      <c r="BD187" s="2201"/>
      <c r="BE187" s="2201"/>
    </row>
    <row r="188" spans="1:57" ht="15.75" customHeight="1" thickBot="1">
      <c r="A188" s="1192"/>
      <c r="B188" s="1192"/>
      <c r="C188" s="2188" t="s">
        <v>2327</v>
      </c>
      <c r="D188" s="2189"/>
      <c r="E188" s="2189"/>
      <c r="F188" s="2189"/>
      <c r="G188" s="2189"/>
      <c r="H188" s="2189"/>
      <c r="I188" s="2189"/>
      <c r="J188" s="2189"/>
      <c r="K188" s="2189"/>
      <c r="L188" s="2189"/>
      <c r="M188" s="2189"/>
      <c r="N188" s="2206">
        <f>SUM('Sources and Uses Budget'!B85:B86)</f>
        <v>150000</v>
      </c>
      <c r="O188" s="2206"/>
      <c r="P188" s="2206"/>
      <c r="Q188" s="2206"/>
      <c r="R188" s="2206"/>
      <c r="S188" s="2206"/>
      <c r="T188" s="2206"/>
      <c r="U188" s="2031"/>
      <c r="V188" s="2031"/>
      <c r="W188" s="2031"/>
      <c r="X188" s="2031"/>
      <c r="Y188" s="2031"/>
      <c r="Z188" s="2031"/>
      <c r="AA188" s="2031"/>
      <c r="AB188" s="2031"/>
      <c r="AC188" s="2031"/>
      <c r="AD188" s="2031"/>
      <c r="AE188" s="2032"/>
      <c r="AF188" s="1192"/>
      <c r="AG188" s="1192"/>
      <c r="AH188" s="2201"/>
      <c r="AI188" s="2201"/>
      <c r="AJ188" s="2201"/>
      <c r="AK188" s="2201"/>
      <c r="AL188" s="2201"/>
      <c r="AM188" s="2201"/>
      <c r="AN188" s="2201"/>
      <c r="AO188" s="2201"/>
      <c r="AP188" s="2201"/>
      <c r="AQ188" s="2201"/>
      <c r="AR188" s="2201"/>
      <c r="AS188" s="2201"/>
      <c r="AT188" s="2201"/>
      <c r="AU188" s="2201"/>
      <c r="AV188" s="2201"/>
      <c r="AW188" s="2201"/>
      <c r="AX188" s="2201"/>
      <c r="AY188" s="2201"/>
      <c r="AZ188" s="2201"/>
      <c r="BA188" s="2201"/>
      <c r="BB188" s="2201"/>
      <c r="BC188" s="2201"/>
      <c r="BD188" s="2201"/>
      <c r="BE188" s="2201"/>
    </row>
    <row r="189" spans="1:57" ht="15.75" customHeight="1" thickBot="1">
      <c r="A189" s="1192"/>
      <c r="B189" s="1192"/>
      <c r="C189" s="2188" t="s">
        <v>2326</v>
      </c>
      <c r="D189" s="2189"/>
      <c r="E189" s="2189"/>
      <c r="F189" s="2189"/>
      <c r="G189" s="2189"/>
      <c r="H189" s="2189"/>
      <c r="I189" s="2189"/>
      <c r="J189" s="2189"/>
      <c r="K189" s="2189"/>
      <c r="L189" s="2189"/>
      <c r="M189" s="2189"/>
      <c r="N189" s="2206">
        <f>'Sources and Uses Budget'!B8</f>
        <v>3010000</v>
      </c>
      <c r="O189" s="2206"/>
      <c r="P189" s="2206"/>
      <c r="Q189" s="2206"/>
      <c r="R189" s="2206"/>
      <c r="S189" s="2206"/>
      <c r="T189" s="2206"/>
      <c r="U189" s="2031"/>
      <c r="V189" s="2031"/>
      <c r="W189" s="2031"/>
      <c r="X189" s="2031"/>
      <c r="Y189" s="2031"/>
      <c r="Z189" s="2031"/>
      <c r="AA189" s="2031"/>
      <c r="AB189" s="2031"/>
      <c r="AC189" s="2031"/>
      <c r="AD189" s="2031"/>
      <c r="AE189" s="2032"/>
      <c r="AF189" s="1192"/>
      <c r="AG189" s="1192"/>
      <c r="AH189" s="2210" t="s">
        <v>2324</v>
      </c>
      <c r="AI189" s="2211"/>
      <c r="AJ189" s="2211"/>
      <c r="AK189" s="2211"/>
      <c r="AL189" s="2211"/>
      <c r="AM189" s="2211"/>
      <c r="AN189" s="2211"/>
      <c r="AO189" s="2211"/>
      <c r="AP189" s="2211"/>
      <c r="AQ189" s="2211"/>
      <c r="AR189" s="2211"/>
      <c r="AS189" s="2211"/>
      <c r="AT189" s="2211"/>
      <c r="AU189" s="2211"/>
      <c r="AV189" s="2211"/>
      <c r="AW189" s="2211"/>
      <c r="AX189" s="2211"/>
      <c r="AY189" s="2211"/>
      <c r="AZ189" s="2211"/>
      <c r="BA189" s="2211"/>
      <c r="BB189" s="2211"/>
      <c r="BC189" s="2211"/>
      <c r="BD189" s="2211"/>
      <c r="BE189" s="2212"/>
    </row>
    <row r="190" spans="1:57" ht="15.75" customHeight="1">
      <c r="A190" s="1192"/>
      <c r="B190" s="1192"/>
      <c r="C190" s="2188" t="s">
        <v>2325</v>
      </c>
      <c r="D190" s="2189"/>
      <c r="E190" s="2189"/>
      <c r="F190" s="2189"/>
      <c r="G190" s="2189"/>
      <c r="H190" s="2189"/>
      <c r="I190" s="2189"/>
      <c r="J190" s="2189"/>
      <c r="K190" s="2189"/>
      <c r="L190" s="2189"/>
      <c r="M190" s="2189"/>
      <c r="N190" s="2197">
        <v>0</v>
      </c>
      <c r="O190" s="2197"/>
      <c r="P190" s="2197"/>
      <c r="Q190" s="2197"/>
      <c r="R190" s="2197"/>
      <c r="S190" s="2197"/>
      <c r="T190" s="2197"/>
      <c r="U190" s="2031"/>
      <c r="V190" s="2031"/>
      <c r="W190" s="2031"/>
      <c r="X190" s="2031"/>
      <c r="Y190" s="2031"/>
      <c r="Z190" s="2031"/>
      <c r="AA190" s="2031"/>
      <c r="AB190" s="2031"/>
      <c r="AC190" s="2031"/>
      <c r="AD190" s="2031"/>
      <c r="AE190" s="2032"/>
      <c r="AF190" s="1192"/>
      <c r="AG190" s="1192"/>
      <c r="AH190" s="2213" t="s">
        <v>2324</v>
      </c>
      <c r="AI190" s="2214"/>
      <c r="AJ190" s="2214"/>
      <c r="AK190" s="2214"/>
      <c r="AL190" s="2214"/>
      <c r="AM190" s="2214"/>
      <c r="AN190" s="2214"/>
      <c r="AO190" s="2214"/>
      <c r="AP190" s="2214"/>
      <c r="AQ190" s="2214"/>
      <c r="AR190" s="2214"/>
      <c r="AS190" s="2214"/>
      <c r="AT190" s="2214"/>
      <c r="AU190" s="2215">
        <v>0</v>
      </c>
      <c r="AV190" s="2215"/>
      <c r="AW190" s="2215"/>
      <c r="AX190" s="2215"/>
      <c r="AY190" s="2215"/>
      <c r="AZ190" s="2215"/>
      <c r="BA190" s="2215"/>
      <c r="BB190" s="2215"/>
      <c r="BC190" s="2216"/>
      <c r="BD190" s="2217"/>
      <c r="BE190" s="2218"/>
    </row>
    <row r="191" spans="1:57" ht="15.75" customHeight="1">
      <c r="A191" s="1192"/>
      <c r="B191" s="1192"/>
      <c r="C191" s="2188" t="s">
        <v>2323</v>
      </c>
      <c r="D191" s="2189"/>
      <c r="E191" s="2189"/>
      <c r="F191" s="2189"/>
      <c r="G191" s="2189"/>
      <c r="H191" s="2189"/>
      <c r="I191" s="2189"/>
      <c r="J191" s="2189"/>
      <c r="K191" s="2189"/>
      <c r="L191" s="2189"/>
      <c r="M191" s="2189"/>
      <c r="N191" s="2197">
        <v>0</v>
      </c>
      <c r="O191" s="2197"/>
      <c r="P191" s="2197"/>
      <c r="Q191" s="2197"/>
      <c r="R191" s="2197"/>
      <c r="S191" s="2197"/>
      <c r="T191" s="2197"/>
      <c r="U191" s="2031"/>
      <c r="V191" s="2031"/>
      <c r="W191" s="2031"/>
      <c r="X191" s="2031"/>
      <c r="Y191" s="2031"/>
      <c r="Z191" s="2031"/>
      <c r="AA191" s="2031"/>
      <c r="AB191" s="2031"/>
      <c r="AC191" s="2031"/>
      <c r="AD191" s="2031"/>
      <c r="AE191" s="2032"/>
      <c r="AF191" s="1192"/>
      <c r="AG191" s="1192"/>
      <c r="AH191" s="2198" t="s">
        <v>2322</v>
      </c>
      <c r="AI191" s="2199"/>
      <c r="AJ191" s="2199"/>
      <c r="AK191" s="2199"/>
      <c r="AL191" s="2199"/>
      <c r="AM191" s="2199"/>
      <c r="AN191" s="2199"/>
      <c r="AO191" s="2199"/>
      <c r="AP191" s="2199"/>
      <c r="AQ191" s="2199"/>
      <c r="AR191" s="2199"/>
      <c r="AS191" s="2199"/>
      <c r="AT191" s="2199"/>
      <c r="AU191" s="2200"/>
      <c r="AV191" s="2200"/>
      <c r="AW191" s="2200"/>
      <c r="AX191" s="2200"/>
      <c r="AY191" s="2200"/>
      <c r="AZ191" s="2200"/>
      <c r="BA191" s="2200"/>
      <c r="BB191" s="2200"/>
      <c r="BC191" s="2207"/>
      <c r="BD191" s="2208"/>
      <c r="BE191" s="2209"/>
    </row>
    <row r="192" spans="1:57" ht="15.75" customHeight="1">
      <c r="A192" s="1192"/>
      <c r="B192" s="1192"/>
      <c r="C192" s="2223" t="s">
        <v>300</v>
      </c>
      <c r="D192" s="2166"/>
      <c r="E192" s="2219" t="s">
        <v>2320</v>
      </c>
      <c r="F192" s="2219"/>
      <c r="G192" s="2219"/>
      <c r="H192" s="2219"/>
      <c r="I192" s="2219"/>
      <c r="J192" s="2219"/>
      <c r="K192" s="2219"/>
      <c r="L192" s="2219"/>
      <c r="M192" s="2219"/>
      <c r="N192" s="2197">
        <v>0</v>
      </c>
      <c r="O192" s="2197"/>
      <c r="P192" s="2197"/>
      <c r="Q192" s="2197"/>
      <c r="R192" s="2197"/>
      <c r="S192" s="2197"/>
      <c r="T192" s="2197"/>
      <c r="U192" s="2031"/>
      <c r="V192" s="2031"/>
      <c r="W192" s="2031"/>
      <c r="X192" s="2031"/>
      <c r="Y192" s="2031"/>
      <c r="Z192" s="2031"/>
      <c r="AA192" s="2031"/>
      <c r="AB192" s="2031"/>
      <c r="AC192" s="2031"/>
      <c r="AD192" s="2031"/>
      <c r="AE192" s="2032"/>
      <c r="AF192" s="1192"/>
      <c r="AG192" s="1192"/>
      <c r="AH192" s="2224" t="s">
        <v>2321</v>
      </c>
      <c r="AI192" s="2225"/>
      <c r="AJ192" s="2225"/>
      <c r="AK192" s="2225"/>
      <c r="AL192" s="2225"/>
      <c r="AM192" s="2225"/>
      <c r="AN192" s="2225"/>
      <c r="AO192" s="2225"/>
      <c r="AP192" s="2225"/>
      <c r="AQ192" s="2225"/>
      <c r="AR192" s="2225"/>
      <c r="AS192" s="2225"/>
      <c r="AT192" s="2225"/>
      <c r="AU192" s="2226">
        <f>SUM(AU190:BB191)</f>
        <v>0</v>
      </c>
      <c r="AV192" s="2226"/>
      <c r="AW192" s="2226"/>
      <c r="AX192" s="2226"/>
      <c r="AY192" s="2226"/>
      <c r="AZ192" s="2226"/>
      <c r="BA192" s="2226"/>
      <c r="BB192" s="2226"/>
      <c r="BC192" s="2207"/>
      <c r="BD192" s="2208"/>
      <c r="BE192" s="2209"/>
    </row>
    <row r="193" spans="1:57" ht="15.75" customHeight="1" thickBot="1">
      <c r="A193" s="1192"/>
      <c r="B193" s="1192"/>
      <c r="C193" s="2087" t="s">
        <v>300</v>
      </c>
      <c r="D193" s="2019"/>
      <c r="E193" s="2219" t="s">
        <v>2320</v>
      </c>
      <c r="F193" s="2219"/>
      <c r="G193" s="2219"/>
      <c r="H193" s="2219"/>
      <c r="I193" s="2219"/>
      <c r="J193" s="2219"/>
      <c r="K193" s="2219"/>
      <c r="L193" s="2219"/>
      <c r="M193" s="2219"/>
      <c r="N193" s="2197">
        <v>0</v>
      </c>
      <c r="O193" s="2197"/>
      <c r="P193" s="2197"/>
      <c r="Q193" s="2197"/>
      <c r="R193" s="2197"/>
      <c r="S193" s="2197"/>
      <c r="T193" s="2197"/>
      <c r="U193" s="2031"/>
      <c r="V193" s="2031"/>
      <c r="W193" s="2031"/>
      <c r="X193" s="2031"/>
      <c r="Y193" s="2031"/>
      <c r="Z193" s="2031"/>
      <c r="AA193" s="2031"/>
      <c r="AB193" s="2031"/>
      <c r="AC193" s="2031"/>
      <c r="AD193" s="2031"/>
      <c r="AE193" s="2032"/>
      <c r="AF193" s="1192"/>
      <c r="AG193" s="1192"/>
      <c r="AH193" s="1234"/>
      <c r="AI193" s="1235"/>
      <c r="AJ193" s="1235"/>
      <c r="AK193" s="1235"/>
      <c r="AL193" s="1235"/>
      <c r="AM193" s="1235"/>
      <c r="AN193" s="1235"/>
      <c r="AO193" s="1235"/>
      <c r="AP193" s="1235"/>
      <c r="AQ193" s="1235"/>
      <c r="AR193" s="1235"/>
      <c r="AS193" s="1235"/>
      <c r="AT193" s="1235"/>
      <c r="AU193" s="1235"/>
      <c r="AV193" s="1235"/>
      <c r="AW193" s="1235"/>
      <c r="AX193" s="1235"/>
      <c r="AY193" s="1235"/>
      <c r="AZ193" s="1235"/>
      <c r="BA193" s="1235"/>
      <c r="BB193" s="1235"/>
      <c r="BC193" s="2220"/>
      <c r="BD193" s="2221"/>
      <c r="BE193" s="2222"/>
    </row>
    <row r="194" spans="1:57" ht="15.75" customHeight="1" thickBot="1">
      <c r="A194" s="1192"/>
      <c r="B194" s="1192"/>
      <c r="C194" s="2244" t="s">
        <v>300</v>
      </c>
      <c r="D194" s="2245"/>
      <c r="E194" s="2246" t="s">
        <v>2320</v>
      </c>
      <c r="F194" s="2246"/>
      <c r="G194" s="2246"/>
      <c r="H194" s="2246"/>
      <c r="I194" s="2246"/>
      <c r="J194" s="2246"/>
      <c r="K194" s="2246"/>
      <c r="L194" s="2246"/>
      <c r="M194" s="2247"/>
      <c r="N194" s="2248">
        <v>0</v>
      </c>
      <c r="O194" s="2248"/>
      <c r="P194" s="2248"/>
      <c r="Q194" s="2248"/>
      <c r="R194" s="2248"/>
      <c r="S194" s="2248"/>
      <c r="T194" s="2249"/>
      <c r="U194" s="2250"/>
      <c r="V194" s="2251"/>
      <c r="W194" s="2251"/>
      <c r="X194" s="2251"/>
      <c r="Y194" s="2251"/>
      <c r="Z194" s="2251"/>
      <c r="AA194" s="2251"/>
      <c r="AB194" s="2251"/>
      <c r="AC194" s="2251"/>
      <c r="AD194" s="2251"/>
      <c r="AE194" s="2252"/>
      <c r="AF194" s="1192"/>
      <c r="AG194" s="1192"/>
      <c r="AH194" s="2253" t="s">
        <v>2319</v>
      </c>
      <c r="AI194" s="2254"/>
      <c r="AJ194" s="2254"/>
      <c r="AK194" s="2254"/>
      <c r="AL194" s="2254"/>
      <c r="AM194" s="2254"/>
      <c r="AN194" s="2254"/>
      <c r="AO194" s="2254"/>
      <c r="AP194" s="2254"/>
      <c r="AQ194" s="2254"/>
      <c r="AR194" s="2254"/>
      <c r="AS194" s="2254"/>
      <c r="AT194" s="2254"/>
      <c r="AU194" s="2255"/>
      <c r="AV194" s="2255"/>
      <c r="AW194" s="2255"/>
      <c r="AX194" s="2255"/>
      <c r="AY194" s="2255"/>
      <c r="AZ194" s="2255"/>
      <c r="BA194" s="2255"/>
      <c r="BB194" s="2255"/>
      <c r="BC194" s="1173"/>
      <c r="BD194" s="1173"/>
      <c r="BE194" s="1236"/>
    </row>
    <row r="195" spans="1:57" ht="15.75" customHeight="1">
      <c r="A195" s="1192"/>
      <c r="B195" s="1192"/>
      <c r="C195" s="2227" t="s">
        <v>2318</v>
      </c>
      <c r="D195" s="2228"/>
      <c r="E195" s="2228"/>
      <c r="F195" s="2228"/>
      <c r="G195" s="2228"/>
      <c r="H195" s="2228"/>
      <c r="I195" s="2228"/>
      <c r="J195" s="2228"/>
      <c r="K195" s="2228"/>
      <c r="L195" s="2228"/>
      <c r="M195" s="2228"/>
      <c r="N195" s="2229">
        <f>SUM(N187:T194)</f>
        <v>3160000</v>
      </c>
      <c r="O195" s="2229"/>
      <c r="P195" s="2229"/>
      <c r="Q195" s="2229"/>
      <c r="R195" s="2229"/>
      <c r="S195" s="2229"/>
      <c r="T195" s="2230"/>
      <c r="U195" s="1192"/>
      <c r="V195" s="1192"/>
      <c r="W195" s="1192"/>
      <c r="X195" s="1192"/>
      <c r="Y195" s="1192"/>
      <c r="Z195" s="1192"/>
      <c r="AA195" s="1192"/>
      <c r="AB195" s="1192"/>
      <c r="AC195" s="1192"/>
      <c r="AD195" s="1192"/>
      <c r="AE195" s="1192"/>
      <c r="AF195" s="1192"/>
      <c r="AG195" s="1192"/>
      <c r="AH195" s="2231" t="s">
        <v>2317</v>
      </c>
      <c r="AI195" s="2232"/>
      <c r="AJ195" s="2232"/>
      <c r="AK195" s="2232"/>
      <c r="AL195" s="2232"/>
      <c r="AM195" s="2232"/>
      <c r="AN195" s="2232"/>
      <c r="AO195" s="2232"/>
      <c r="AP195" s="2232"/>
      <c r="AQ195" s="2232"/>
      <c r="AR195" s="2232"/>
      <c r="AS195" s="2232"/>
      <c r="AT195" s="2232"/>
      <c r="AU195" s="2232"/>
      <c r="AV195" s="2232"/>
      <c r="AW195" s="2232"/>
      <c r="AX195" s="2232"/>
      <c r="AY195" s="2232"/>
      <c r="AZ195" s="2232"/>
      <c r="BA195" s="2232"/>
      <c r="BB195" s="2232"/>
      <c r="BC195" s="2232"/>
      <c r="BD195" s="2232"/>
      <c r="BE195" s="2233"/>
    </row>
    <row r="196" spans="1:57" ht="15.75" customHeight="1" thickBot="1">
      <c r="A196" s="1192"/>
      <c r="B196" s="1192"/>
      <c r="C196" s="2237" t="s">
        <v>2316</v>
      </c>
      <c r="D196" s="2238"/>
      <c r="E196" s="2238"/>
      <c r="F196" s="2238"/>
      <c r="G196" s="2238"/>
      <c r="H196" s="2238"/>
      <c r="I196" s="2238"/>
      <c r="J196" s="2238"/>
      <c r="K196" s="2238"/>
      <c r="L196" s="2238"/>
      <c r="M196" s="2238"/>
      <c r="N196" s="2239">
        <f>(N185-N195)/J29</f>
        <v>497653.86885245901</v>
      </c>
      <c r="O196" s="2240"/>
      <c r="P196" s="2240"/>
      <c r="Q196" s="2240"/>
      <c r="R196" s="2240"/>
      <c r="S196" s="2240"/>
      <c r="T196" s="2241"/>
      <c r="U196" s="1197"/>
      <c r="V196" s="1192"/>
      <c r="W196" s="1192"/>
      <c r="X196" s="1192"/>
      <c r="Y196" s="1192"/>
      <c r="Z196" s="1192"/>
      <c r="AA196" s="1192"/>
      <c r="AB196" s="1192"/>
      <c r="AC196" s="1192"/>
      <c r="AD196" s="1192"/>
      <c r="AE196" s="1192"/>
      <c r="AF196" s="1192"/>
      <c r="AG196" s="1192"/>
      <c r="AH196" s="2234"/>
      <c r="AI196" s="2235"/>
      <c r="AJ196" s="2235"/>
      <c r="AK196" s="2235"/>
      <c r="AL196" s="2235"/>
      <c r="AM196" s="2235"/>
      <c r="AN196" s="2235"/>
      <c r="AO196" s="2235"/>
      <c r="AP196" s="2235"/>
      <c r="AQ196" s="2235"/>
      <c r="AR196" s="2235"/>
      <c r="AS196" s="2235"/>
      <c r="AT196" s="2235"/>
      <c r="AU196" s="2235"/>
      <c r="AV196" s="2235"/>
      <c r="AW196" s="2235"/>
      <c r="AX196" s="2235"/>
      <c r="AY196" s="2235"/>
      <c r="AZ196" s="2235"/>
      <c r="BA196" s="2235"/>
      <c r="BB196" s="2235"/>
      <c r="BC196" s="2235"/>
      <c r="BD196" s="2235"/>
      <c r="BE196" s="2236"/>
    </row>
    <row r="197" spans="1:57" ht="15.75" customHeight="1">
      <c r="A197" s="1192"/>
      <c r="B197" s="1192"/>
      <c r="C197" s="1192"/>
      <c r="D197" s="1192"/>
      <c r="E197" s="1192"/>
      <c r="F197" s="1192"/>
      <c r="G197" s="1192"/>
      <c r="H197" s="1192"/>
      <c r="I197" s="1192"/>
      <c r="J197" s="1192"/>
      <c r="K197" s="1192"/>
      <c r="L197" s="1192"/>
      <c r="M197" s="1192"/>
      <c r="N197" s="1192"/>
      <c r="O197" s="1192"/>
      <c r="P197" s="1192"/>
      <c r="Q197" s="1192"/>
      <c r="R197" s="1192"/>
      <c r="S197" s="1192"/>
      <c r="T197" s="1192"/>
      <c r="U197" s="1192"/>
      <c r="V197" s="1192"/>
      <c r="W197" s="1192"/>
      <c r="X197" s="1192"/>
      <c r="Y197" s="1192"/>
      <c r="Z197" s="1192"/>
      <c r="AA197" s="1192"/>
      <c r="AB197" s="1192"/>
      <c r="AC197" s="1192"/>
      <c r="AD197" s="1192"/>
      <c r="AE197" s="1192"/>
      <c r="AF197" s="1192"/>
      <c r="AG197" s="1192"/>
      <c r="AH197" s="2242"/>
      <c r="AI197" s="2242"/>
      <c r="AJ197" s="2242"/>
      <c r="AK197" s="2242"/>
      <c r="AL197" s="2242"/>
      <c r="AM197" s="2242"/>
      <c r="AN197" s="2242"/>
      <c r="AO197" s="2242"/>
      <c r="AP197" s="2242"/>
      <c r="AQ197" s="2242"/>
      <c r="AR197" s="2242"/>
      <c r="AS197" s="2243"/>
      <c r="AT197" s="2243"/>
      <c r="AU197" s="2243"/>
      <c r="AV197" s="2243"/>
      <c r="AW197" s="2243"/>
      <c r="AX197" s="2243"/>
      <c r="AY197" s="2243"/>
      <c r="AZ197" s="2243"/>
      <c r="BA197" s="2243"/>
      <c r="BB197" s="2243"/>
      <c r="BC197" s="2243"/>
      <c r="BD197" s="2243"/>
      <c r="BE197" s="1196"/>
    </row>
    <row r="198" spans="1:57" ht="15.75" customHeight="1" thickBot="1">
      <c r="A198" s="1192"/>
      <c r="B198" s="1192"/>
      <c r="C198" s="1192"/>
      <c r="D198" s="1192"/>
      <c r="E198" s="1192"/>
      <c r="F198" s="1192"/>
      <c r="G198" s="1192"/>
      <c r="H198" s="1192"/>
      <c r="I198" s="1192"/>
      <c r="J198" s="1192"/>
      <c r="K198" s="1192"/>
      <c r="L198" s="1192"/>
      <c r="M198" s="1192"/>
      <c r="N198" s="1192"/>
      <c r="O198" s="1192"/>
      <c r="P198" s="1192"/>
      <c r="Q198" s="1192"/>
      <c r="R198" s="1192"/>
      <c r="S198" s="1192"/>
      <c r="T198" s="1192"/>
      <c r="U198" s="1192"/>
      <c r="V198" s="1192"/>
      <c r="W198" s="1192"/>
      <c r="X198" s="1192"/>
      <c r="Y198" s="1192"/>
      <c r="Z198" s="1192"/>
      <c r="AA198" s="1192"/>
      <c r="AB198" s="1192"/>
      <c r="AC198" s="1192"/>
      <c r="AD198" s="1192"/>
      <c r="AE198" s="1192"/>
      <c r="AF198" s="1192"/>
      <c r="AG198" s="1192"/>
      <c r="AH198" s="1192"/>
      <c r="AI198" s="1192"/>
      <c r="AJ198" s="1192"/>
      <c r="AK198" s="1192"/>
      <c r="AL198" s="1192"/>
      <c r="AM198" s="1192"/>
      <c r="AN198" s="1192"/>
      <c r="AO198" s="1192"/>
      <c r="AP198" s="1192"/>
      <c r="AQ198" s="1192"/>
      <c r="AR198" s="1192"/>
      <c r="AS198" s="1192"/>
      <c r="AT198" s="1192"/>
      <c r="AU198" s="1192"/>
      <c r="AV198" s="1192"/>
      <c r="AW198" s="1192"/>
      <c r="AX198" s="1192"/>
      <c r="AY198" s="1192"/>
      <c r="AZ198" s="1192"/>
      <c r="BA198" s="1192"/>
      <c r="BB198" s="1192"/>
      <c r="BC198" s="1192"/>
      <c r="BD198" s="1192"/>
      <c r="BE198" s="1196"/>
    </row>
    <row r="199" spans="1:57" ht="15.75" customHeight="1" thickBot="1">
      <c r="A199" s="1192"/>
      <c r="B199" s="1192"/>
      <c r="C199" s="2261" t="s">
        <v>2315</v>
      </c>
      <c r="D199" s="2262"/>
      <c r="E199" s="2262"/>
      <c r="F199" s="2262"/>
      <c r="G199" s="2262"/>
      <c r="H199" s="2262"/>
      <c r="I199" s="2262"/>
      <c r="J199" s="2262"/>
      <c r="K199" s="2262"/>
      <c r="L199" s="2262"/>
      <c r="M199" s="2262"/>
      <c r="N199" s="2262"/>
      <c r="O199" s="2262"/>
      <c r="P199" s="2262"/>
      <c r="Q199" s="2262"/>
      <c r="R199" s="2262"/>
      <c r="S199" s="2262"/>
      <c r="T199" s="2262"/>
      <c r="U199" s="2262"/>
      <c r="V199" s="2262"/>
      <c r="W199" s="2262"/>
      <c r="X199" s="2262"/>
      <c r="Y199" s="2262"/>
      <c r="Z199" s="2262"/>
      <c r="AA199" s="2262"/>
      <c r="AB199" s="2262"/>
      <c r="AC199" s="2262"/>
      <c r="AD199" s="2262"/>
      <c r="AE199" s="2263"/>
      <c r="AF199" s="1192"/>
      <c r="AG199" s="1192"/>
      <c r="AH199" s="1192"/>
      <c r="AI199" s="1192"/>
      <c r="AJ199" s="1192"/>
      <c r="AK199" s="1192"/>
      <c r="AL199" s="1192"/>
      <c r="AM199" s="1192"/>
      <c r="AN199" s="1192"/>
      <c r="AO199" s="1192"/>
      <c r="AP199" s="1192"/>
      <c r="AQ199" s="1192"/>
      <c r="AR199" s="1192"/>
      <c r="AS199" s="1192"/>
      <c r="AT199" s="1192"/>
      <c r="AU199" s="1192"/>
      <c r="AV199" s="1192"/>
      <c r="AW199" s="1192"/>
      <c r="AX199" s="1192"/>
      <c r="AY199" s="1192"/>
      <c r="AZ199" s="1192"/>
      <c r="BA199" s="1192"/>
      <c r="BB199" s="1192"/>
      <c r="BC199" s="1192"/>
      <c r="BD199" s="1192"/>
      <c r="BE199" s="1196"/>
    </row>
    <row r="200" spans="1:57" ht="15.75" customHeight="1">
      <c r="A200" s="1192"/>
      <c r="B200" s="1192"/>
      <c r="C200" s="2264" t="s">
        <v>2314</v>
      </c>
      <c r="D200" s="2264"/>
      <c r="E200" s="2264"/>
      <c r="F200" s="2264"/>
      <c r="G200" s="2264"/>
      <c r="H200" s="2264"/>
      <c r="I200" s="2264"/>
      <c r="J200" s="2264"/>
      <c r="K200" s="2264"/>
      <c r="L200" s="2264"/>
      <c r="M200" s="2264"/>
      <c r="N200" s="2264"/>
      <c r="O200" s="2265" t="s">
        <v>2313</v>
      </c>
      <c r="P200" s="2265"/>
      <c r="Q200" s="2265"/>
      <c r="R200" s="2265"/>
      <c r="S200" s="2265"/>
      <c r="T200" s="2265"/>
      <c r="U200" s="2265"/>
      <c r="V200" s="2265"/>
      <c r="W200" s="2265"/>
      <c r="X200" s="2265" t="s">
        <v>2312</v>
      </c>
      <c r="Y200" s="2265"/>
      <c r="Z200" s="2265"/>
      <c r="AA200" s="2265"/>
      <c r="AB200" s="2265"/>
      <c r="AC200" s="2265"/>
      <c r="AD200" s="2265"/>
      <c r="AE200" s="2265"/>
      <c r="AF200" s="1192"/>
      <c r="AG200" s="1192"/>
      <c r="AH200" s="1192"/>
      <c r="AI200" s="1192"/>
      <c r="AJ200" s="1192"/>
      <c r="AK200" s="1192"/>
      <c r="AL200" s="1192"/>
      <c r="AM200" s="1192"/>
      <c r="AN200" s="1192"/>
      <c r="AO200" s="1192"/>
      <c r="AP200" s="1192"/>
      <c r="AQ200" s="1192"/>
      <c r="AR200" s="1192"/>
      <c r="AS200" s="1192"/>
      <c r="AT200" s="1192"/>
      <c r="AU200" s="1192"/>
      <c r="AV200" s="1192"/>
      <c r="AW200" s="1192"/>
      <c r="AX200" s="1192"/>
      <c r="AY200" s="1192"/>
      <c r="AZ200" s="1192"/>
      <c r="BA200" s="1192"/>
      <c r="BB200" s="1192"/>
      <c r="BC200" s="1192"/>
      <c r="BD200" s="1192"/>
      <c r="BE200" s="1196"/>
    </row>
    <row r="201" spans="1:57" ht="15.75" customHeight="1">
      <c r="A201" s="1192"/>
      <c r="B201" s="1192"/>
      <c r="C201" s="2256" t="s">
        <v>2311</v>
      </c>
      <c r="D201" s="2256"/>
      <c r="E201" s="2256"/>
      <c r="F201" s="2256"/>
      <c r="G201" s="2256"/>
      <c r="H201" s="2256"/>
      <c r="I201" s="2256"/>
      <c r="J201" s="2256"/>
      <c r="K201" s="2256"/>
      <c r="L201" s="2256"/>
      <c r="M201" s="2256"/>
      <c r="N201" s="2256"/>
      <c r="O201" s="2257" t="s">
        <v>2310</v>
      </c>
      <c r="P201" s="2257"/>
      <c r="Q201" s="2257"/>
      <c r="R201" s="2257"/>
      <c r="S201" s="2257"/>
      <c r="T201" s="2257"/>
      <c r="U201" s="2257"/>
      <c r="V201" s="2257"/>
      <c r="W201" s="2257"/>
      <c r="X201" s="2258">
        <v>0.03</v>
      </c>
      <c r="Y201" s="2258"/>
      <c r="Z201" s="2258"/>
      <c r="AA201" s="2258"/>
      <c r="AB201" s="2258"/>
      <c r="AC201" s="2258"/>
      <c r="AD201" s="2258"/>
      <c r="AE201" s="2258"/>
      <c r="AF201" s="1192"/>
      <c r="AG201" s="1192"/>
      <c r="AH201" s="1192"/>
      <c r="AI201" s="1192"/>
      <c r="AJ201" s="1192"/>
      <c r="AK201" s="1192"/>
      <c r="AL201" s="1192"/>
      <c r="AM201" s="1192"/>
      <c r="AN201" s="1192"/>
      <c r="AO201" s="1192"/>
      <c r="AP201" s="1192"/>
      <c r="AQ201" s="1192"/>
      <c r="AR201" s="1192"/>
      <c r="AS201" s="1192"/>
      <c r="AT201" s="1192"/>
      <c r="AU201" s="1192"/>
      <c r="AV201" s="1192"/>
      <c r="AW201" s="1192"/>
      <c r="AX201" s="1192"/>
      <c r="AY201" s="1192"/>
      <c r="AZ201" s="1192"/>
      <c r="BA201" s="1192"/>
      <c r="BB201" s="1192"/>
      <c r="BC201" s="1192"/>
      <c r="BD201" s="1192"/>
      <c r="BE201" s="1196"/>
    </row>
    <row r="202" spans="1:57" ht="15.75" customHeight="1">
      <c r="A202" s="1192"/>
      <c r="B202" s="1192"/>
      <c r="C202" s="2256" t="s">
        <v>854</v>
      </c>
      <c r="D202" s="2256"/>
      <c r="E202" s="2256"/>
      <c r="F202" s="2256"/>
      <c r="G202" s="2256"/>
      <c r="H202" s="2256"/>
      <c r="I202" s="2256"/>
      <c r="J202" s="2256"/>
      <c r="K202" s="2256"/>
      <c r="L202" s="2256"/>
      <c r="M202" s="2256"/>
      <c r="N202" s="2256"/>
      <c r="O202" s="2257" t="s">
        <v>2310</v>
      </c>
      <c r="P202" s="2257"/>
      <c r="Q202" s="2257"/>
      <c r="R202" s="2257"/>
      <c r="S202" s="2257"/>
      <c r="T202" s="2257"/>
      <c r="U202" s="2257"/>
      <c r="V202" s="2257"/>
      <c r="W202" s="2257"/>
      <c r="X202" s="2258">
        <v>0.03</v>
      </c>
      <c r="Y202" s="2258"/>
      <c r="Z202" s="2258"/>
      <c r="AA202" s="2258"/>
      <c r="AB202" s="2258"/>
      <c r="AC202" s="2258"/>
      <c r="AD202" s="2258"/>
      <c r="AE202" s="2258"/>
      <c r="AF202" s="1192"/>
      <c r="AG202" s="1192"/>
      <c r="AH202" s="1192"/>
      <c r="AI202" s="1192"/>
      <c r="AJ202" s="1192"/>
      <c r="AK202" s="1192"/>
      <c r="AL202" s="1192"/>
      <c r="AM202" s="1192"/>
      <c r="AN202" s="1192"/>
      <c r="AO202" s="1192"/>
      <c r="AP202" s="1192"/>
      <c r="AQ202" s="1192"/>
      <c r="AR202" s="1192"/>
      <c r="AS202" s="1192"/>
      <c r="AT202" s="1192"/>
      <c r="AU202" s="1192"/>
      <c r="AV202" s="1192"/>
      <c r="AW202" s="1192"/>
      <c r="AX202" s="1192"/>
      <c r="AY202" s="1192"/>
      <c r="AZ202" s="1192"/>
      <c r="BA202" s="1192"/>
      <c r="BB202" s="1192"/>
      <c r="BC202" s="1192"/>
      <c r="BD202" s="1192"/>
      <c r="BE202" s="1196"/>
    </row>
    <row r="203" spans="1:57" ht="15.75" customHeight="1">
      <c r="A203" s="1192"/>
      <c r="B203" s="1192"/>
      <c r="C203" s="2256" t="s">
        <v>2309</v>
      </c>
      <c r="D203" s="2256"/>
      <c r="E203" s="2256"/>
      <c r="F203" s="2256"/>
      <c r="G203" s="2256"/>
      <c r="H203" s="2256"/>
      <c r="I203" s="2256"/>
      <c r="J203" s="2256"/>
      <c r="K203" s="2256"/>
      <c r="L203" s="2256"/>
      <c r="M203" s="2256"/>
      <c r="N203" s="2256"/>
      <c r="O203" s="2259">
        <f>SUM(O201:W202)</f>
        <v>0</v>
      </c>
      <c r="P203" s="2260"/>
      <c r="Q203" s="2260"/>
      <c r="R203" s="2260"/>
      <c r="S203" s="2260"/>
      <c r="T203" s="2260"/>
      <c r="U203" s="2260"/>
      <c r="V203" s="2260"/>
      <c r="W203" s="2260"/>
      <c r="X203" s="2260" t="s">
        <v>2308</v>
      </c>
      <c r="Y203" s="2260"/>
      <c r="Z203" s="2260"/>
      <c r="AA203" s="2260"/>
      <c r="AB203" s="2260"/>
      <c r="AC203" s="2260"/>
      <c r="AD203" s="2260"/>
      <c r="AE203" s="2260"/>
      <c r="AF203" s="1192"/>
      <c r="AG203" s="1192"/>
      <c r="AH203" s="1192"/>
      <c r="AI203" s="1192"/>
      <c r="AJ203" s="1192"/>
      <c r="AK203" s="1192"/>
      <c r="AL203" s="1192"/>
      <c r="AM203" s="1192"/>
      <c r="AN203" s="1192"/>
      <c r="AO203" s="1192"/>
      <c r="AP203" s="1192"/>
      <c r="AQ203" s="1192"/>
      <c r="AR203" s="1192"/>
      <c r="AS203" s="1192"/>
      <c r="AT203" s="1192"/>
      <c r="AU203" s="1192"/>
      <c r="AV203" s="1192"/>
      <c r="AW203" s="1192"/>
      <c r="AX203" s="1192"/>
      <c r="AY203" s="1192"/>
      <c r="AZ203" s="1192"/>
      <c r="BA203" s="1192"/>
      <c r="BB203" s="1192"/>
      <c r="BC203" s="1192"/>
      <c r="BD203" s="1192"/>
      <c r="BE203" s="1196"/>
    </row>
    <row r="204" spans="1:57" ht="15.75" customHeight="1">
      <c r="A204" s="1192"/>
      <c r="B204" s="1192"/>
      <c r="C204" s="2266" t="s">
        <v>2307</v>
      </c>
      <c r="D204" s="2266"/>
      <c r="E204" s="2266"/>
      <c r="F204" s="2266"/>
      <c r="G204" s="2266"/>
      <c r="H204" s="2266"/>
      <c r="I204" s="2266"/>
      <c r="J204" s="2266"/>
      <c r="K204" s="2266"/>
      <c r="L204" s="2266"/>
      <c r="M204" s="2266"/>
      <c r="N204" s="2266"/>
      <c r="O204" s="2266"/>
      <c r="P204" s="2266"/>
      <c r="Q204" s="2266"/>
      <c r="R204" s="2266"/>
      <c r="S204" s="2266"/>
      <c r="T204" s="2266"/>
      <c r="U204" s="2266"/>
      <c r="V204" s="2266"/>
      <c r="W204" s="2266"/>
      <c r="X204" s="2266"/>
      <c r="Y204" s="2266"/>
      <c r="Z204" s="2266"/>
      <c r="AA204" s="2266"/>
      <c r="AB204" s="2266"/>
      <c r="AC204" s="2266"/>
      <c r="AD204" s="2266"/>
      <c r="AE204" s="2266"/>
      <c r="AF204" s="1192"/>
      <c r="AG204" s="1192"/>
      <c r="AH204" s="1192"/>
      <c r="AI204" s="1192"/>
      <c r="AJ204" s="1192"/>
      <c r="AK204" s="1192"/>
      <c r="AL204" s="1192"/>
      <c r="AM204" s="1192"/>
      <c r="AN204" s="1192"/>
      <c r="AO204" s="1192"/>
      <c r="AP204" s="1192"/>
      <c r="AQ204" s="1192"/>
      <c r="AR204" s="1192"/>
      <c r="AS204" s="1192"/>
      <c r="AT204" s="1192"/>
      <c r="AU204" s="1192"/>
      <c r="AV204" s="1192"/>
      <c r="AW204" s="1192"/>
      <c r="AX204" s="1192"/>
      <c r="AY204" s="1192"/>
      <c r="AZ204" s="1192"/>
      <c r="BA204" s="1192"/>
      <c r="BB204" s="1192"/>
      <c r="BC204" s="1192"/>
      <c r="BD204" s="1192"/>
      <c r="BE204" s="1196"/>
    </row>
    <row r="205" spans="1:57" ht="15.75" customHeight="1" thickBot="1">
      <c r="A205" s="1192"/>
      <c r="B205" s="1192"/>
      <c r="C205" s="1192"/>
      <c r="D205" s="1192"/>
      <c r="E205" s="1192"/>
      <c r="F205" s="1192"/>
      <c r="G205" s="1192"/>
      <c r="H205" s="1192"/>
      <c r="I205" s="1192"/>
      <c r="J205" s="1192"/>
      <c r="K205" s="1192"/>
      <c r="L205" s="1192"/>
      <c r="M205" s="1192"/>
      <c r="N205" s="1192"/>
      <c r="O205" s="1192"/>
      <c r="P205" s="1192"/>
      <c r="Q205" s="1192"/>
      <c r="R205" s="1192"/>
      <c r="S205" s="1192"/>
      <c r="T205" s="1192"/>
      <c r="U205" s="1192"/>
      <c r="V205" s="1192"/>
      <c r="W205" s="1192"/>
      <c r="X205" s="1192"/>
      <c r="Y205" s="1192"/>
      <c r="Z205" s="1192"/>
      <c r="AA205" s="1192"/>
      <c r="AB205" s="1192"/>
      <c r="AC205" s="1192"/>
      <c r="AD205" s="1192"/>
      <c r="AE205" s="1192"/>
      <c r="AF205" s="1192"/>
      <c r="AG205" s="1192"/>
      <c r="AH205" s="1192"/>
      <c r="AI205" s="1192"/>
      <c r="AJ205" s="1192"/>
      <c r="AK205" s="1192"/>
      <c r="AL205" s="1192"/>
      <c r="AM205" s="1192"/>
      <c r="AN205" s="1192"/>
      <c r="AO205" s="1192"/>
      <c r="AP205" s="1192"/>
      <c r="AQ205" s="1192"/>
      <c r="AR205" s="1192"/>
      <c r="AS205" s="1192"/>
      <c r="AT205" s="1192"/>
      <c r="AU205" s="1192"/>
      <c r="AV205" s="1192"/>
      <c r="AW205" s="1192"/>
      <c r="AX205" s="1192"/>
      <c r="AY205" s="1192"/>
      <c r="AZ205" s="1192"/>
      <c r="BA205" s="1192"/>
      <c r="BB205" s="1192"/>
      <c r="BC205" s="1192"/>
      <c r="BD205" s="1192"/>
      <c r="BE205" s="1196"/>
    </row>
    <row r="206" spans="1:57" ht="15.75" customHeight="1" thickBot="1">
      <c r="A206" s="1192"/>
      <c r="B206" s="1192"/>
      <c r="C206" s="2267" t="s">
        <v>2306</v>
      </c>
      <c r="D206" s="2268"/>
      <c r="E206" s="2268"/>
      <c r="F206" s="2268"/>
      <c r="G206" s="2268"/>
      <c r="H206" s="2268"/>
      <c r="I206" s="2268"/>
      <c r="J206" s="2268"/>
      <c r="K206" s="2268"/>
      <c r="L206" s="2268"/>
      <c r="M206" s="2268"/>
      <c r="N206" s="2268"/>
      <c r="O206" s="2268"/>
      <c r="P206" s="2268"/>
      <c r="Q206" s="2268"/>
      <c r="R206" s="2268"/>
      <c r="S206" s="2268"/>
      <c r="T206" s="2268"/>
      <c r="U206" s="2268"/>
      <c r="V206" s="2268"/>
      <c r="W206" s="2268"/>
      <c r="X206" s="2268"/>
      <c r="Y206" s="2268"/>
      <c r="Z206" s="2268"/>
      <c r="AA206" s="2268"/>
      <c r="AB206" s="2268"/>
      <c r="AC206" s="2268"/>
      <c r="AD206" s="2268"/>
      <c r="AE206" s="2268"/>
      <c r="AF206" s="2268"/>
      <c r="AG206" s="2268"/>
      <c r="AH206" s="2268"/>
      <c r="AI206" s="2268"/>
      <c r="AJ206" s="2268"/>
      <c r="AK206" s="2269"/>
      <c r="AL206" s="1192"/>
      <c r="AM206" s="1192"/>
      <c r="AN206" s="1192"/>
      <c r="AO206" s="1192"/>
      <c r="AP206" s="1192"/>
      <c r="AQ206" s="1192"/>
      <c r="AR206" s="1192"/>
      <c r="AS206" s="1192"/>
      <c r="AT206" s="1192"/>
      <c r="AU206" s="1192"/>
      <c r="AV206" s="1192"/>
      <c r="AW206" s="1192"/>
      <c r="AX206" s="1192"/>
      <c r="AY206" s="1192"/>
      <c r="AZ206" s="1192"/>
      <c r="BA206" s="1192"/>
      <c r="BB206" s="1192"/>
      <c r="BC206" s="1192"/>
      <c r="BD206" s="1192"/>
      <c r="BE206" s="1196"/>
    </row>
    <row r="207" spans="1:57" ht="15.75" customHeight="1">
      <c r="A207" s="1192"/>
      <c r="B207" s="1192"/>
      <c r="C207" s="2270" t="s">
        <v>2305</v>
      </c>
      <c r="D207" s="2271"/>
      <c r="E207" s="2271"/>
      <c r="F207" s="2272"/>
      <c r="G207" s="2276" t="s">
        <v>2304</v>
      </c>
      <c r="H207" s="2271"/>
      <c r="I207" s="2271"/>
      <c r="J207" s="2271"/>
      <c r="K207" s="2271"/>
      <c r="L207" s="2271"/>
      <c r="M207" s="2271"/>
      <c r="N207" s="2271"/>
      <c r="O207" s="2272"/>
      <c r="P207" s="2278" t="s">
        <v>2303</v>
      </c>
      <c r="Q207" s="2279"/>
      <c r="R207" s="2279"/>
      <c r="S207" s="2279"/>
      <c r="T207" s="2280"/>
      <c r="U207" s="2284" t="s">
        <v>2302</v>
      </c>
      <c r="V207" s="2285"/>
      <c r="W207" s="2285"/>
      <c r="X207" s="2286"/>
      <c r="Y207" s="2284" t="s">
        <v>2301</v>
      </c>
      <c r="Z207" s="2285"/>
      <c r="AA207" s="2285"/>
      <c r="AB207" s="2286"/>
      <c r="AC207" s="2284" t="s">
        <v>2300</v>
      </c>
      <c r="AD207" s="2285"/>
      <c r="AE207" s="2285"/>
      <c r="AF207" s="2286"/>
      <c r="AG207" s="2276" t="s">
        <v>2299</v>
      </c>
      <c r="AH207" s="2271"/>
      <c r="AI207" s="2271"/>
      <c r="AJ207" s="2271"/>
      <c r="AK207" s="2290"/>
      <c r="AL207" s="1192"/>
      <c r="AM207" s="1192"/>
      <c r="AN207" s="1192"/>
      <c r="AO207" s="1192"/>
      <c r="AP207" s="1192"/>
      <c r="AQ207" s="1192"/>
      <c r="AR207" s="1192"/>
      <c r="AS207" s="1192"/>
      <c r="AT207" s="1192"/>
      <c r="AU207" s="1192"/>
      <c r="AV207" s="1192"/>
      <c r="AW207" s="1192"/>
      <c r="AX207" s="1192"/>
      <c r="AY207" s="1192"/>
      <c r="AZ207" s="1192"/>
      <c r="BA207" s="1192"/>
      <c r="BB207" s="1192"/>
      <c r="BC207" s="1192"/>
      <c r="BD207" s="1192"/>
      <c r="BE207" s="1196"/>
    </row>
    <row r="208" spans="1:57" ht="15.75" customHeight="1">
      <c r="A208" s="1192"/>
      <c r="B208" s="1192"/>
      <c r="C208" s="2273"/>
      <c r="D208" s="2274"/>
      <c r="E208" s="2274"/>
      <c r="F208" s="2275"/>
      <c r="G208" s="2277"/>
      <c r="H208" s="2274"/>
      <c r="I208" s="2274"/>
      <c r="J208" s="2274"/>
      <c r="K208" s="2274"/>
      <c r="L208" s="2274"/>
      <c r="M208" s="2274"/>
      <c r="N208" s="2274"/>
      <c r="O208" s="2275"/>
      <c r="P208" s="2281"/>
      <c r="Q208" s="2282"/>
      <c r="R208" s="2282"/>
      <c r="S208" s="2282"/>
      <c r="T208" s="2283"/>
      <c r="U208" s="2287"/>
      <c r="V208" s="2288"/>
      <c r="W208" s="2288"/>
      <c r="X208" s="2289"/>
      <c r="Y208" s="2287"/>
      <c r="Z208" s="2288"/>
      <c r="AA208" s="2288"/>
      <c r="AB208" s="2289"/>
      <c r="AC208" s="2287"/>
      <c r="AD208" s="2288"/>
      <c r="AE208" s="2288"/>
      <c r="AF208" s="2289"/>
      <c r="AG208" s="2277"/>
      <c r="AH208" s="2274"/>
      <c r="AI208" s="2274"/>
      <c r="AJ208" s="2274"/>
      <c r="AK208" s="2291"/>
      <c r="AL208" s="1192"/>
      <c r="AM208" s="1192"/>
      <c r="AN208" s="1192"/>
      <c r="AO208" s="1192"/>
      <c r="AP208" s="1192"/>
      <c r="AQ208" s="1192"/>
      <c r="AR208" s="1192"/>
      <c r="AS208" s="1192"/>
      <c r="AT208" s="1192"/>
      <c r="AU208" s="1192"/>
      <c r="AV208" s="1192"/>
      <c r="AW208" s="1192"/>
      <c r="AX208" s="1192"/>
      <c r="AY208" s="1192"/>
      <c r="AZ208" s="1192"/>
      <c r="BA208" s="1192"/>
      <c r="BB208" s="1192"/>
      <c r="BC208" s="1192"/>
      <c r="BD208" s="1192"/>
      <c r="BE208" s="1196"/>
    </row>
    <row r="209" spans="1:57" ht="15.75" customHeight="1">
      <c r="A209" s="1192"/>
      <c r="B209" s="1192"/>
      <c r="C209" s="2295">
        <v>1</v>
      </c>
      <c r="D209" s="2296"/>
      <c r="E209" s="2296"/>
      <c r="F209" s="2296"/>
      <c r="G209" s="2297" t="s">
        <v>1885</v>
      </c>
      <c r="H209" s="2297"/>
      <c r="I209" s="2297"/>
      <c r="J209" s="2297"/>
      <c r="K209" s="2297"/>
      <c r="L209" s="2297"/>
      <c r="M209" s="2297"/>
      <c r="N209" s="2297"/>
      <c r="O209" s="2297"/>
      <c r="P209" s="2298"/>
      <c r="Q209" s="2301"/>
      <c r="R209" s="2301"/>
      <c r="S209" s="2301"/>
      <c r="T209" s="2301"/>
      <c r="U209" s="2299" t="s">
        <v>1885</v>
      </c>
      <c r="V209" s="2299"/>
      <c r="W209" s="2299"/>
      <c r="X209" s="2299"/>
      <c r="Y209" s="2299" t="s">
        <v>1885</v>
      </c>
      <c r="Z209" s="2299"/>
      <c r="AA209" s="2299"/>
      <c r="AB209" s="2299"/>
      <c r="AC209" s="2300" t="s">
        <v>1885</v>
      </c>
      <c r="AD209" s="2300"/>
      <c r="AE209" s="2300"/>
      <c r="AF209" s="2300"/>
      <c r="AG209" s="2292"/>
      <c r="AH209" s="2293"/>
      <c r="AI209" s="2293"/>
      <c r="AJ209" s="2293"/>
      <c r="AK209" s="2294"/>
      <c r="AL209" s="1192"/>
      <c r="AM209" s="1192"/>
      <c r="AN209" s="1192"/>
      <c r="AO209" s="1192"/>
      <c r="AP209" s="1192"/>
      <c r="AQ209" s="1192"/>
      <c r="AR209" s="1192"/>
      <c r="AS209" s="1192"/>
      <c r="AT209" s="1192"/>
      <c r="AU209" s="1192"/>
      <c r="AV209" s="1192"/>
      <c r="AW209" s="1192"/>
      <c r="AX209" s="1192"/>
      <c r="AY209" s="1192"/>
      <c r="AZ209" s="1192"/>
      <c r="BA209" s="1192"/>
      <c r="BB209" s="1192"/>
      <c r="BC209" s="1192"/>
      <c r="BD209" s="1192"/>
      <c r="BE209" s="1196"/>
    </row>
    <row r="210" spans="1:57" ht="15.75" customHeight="1">
      <c r="A210" s="1192"/>
      <c r="B210" s="1192"/>
      <c r="C210" s="2295">
        <v>2</v>
      </c>
      <c r="D210" s="2296"/>
      <c r="E210" s="2296"/>
      <c r="F210" s="2296"/>
      <c r="G210" s="2297" t="s">
        <v>1885</v>
      </c>
      <c r="H210" s="2297"/>
      <c r="I210" s="2297"/>
      <c r="J210" s="2297"/>
      <c r="K210" s="2297"/>
      <c r="L210" s="2297"/>
      <c r="M210" s="2297"/>
      <c r="N210" s="2297"/>
      <c r="O210" s="2297"/>
      <c r="P210" s="2298"/>
      <c r="Q210" s="2298"/>
      <c r="R210" s="2298"/>
      <c r="S210" s="2298"/>
      <c r="T210" s="2298"/>
      <c r="U210" s="2299" t="s">
        <v>1885</v>
      </c>
      <c r="V210" s="2299"/>
      <c r="W210" s="2299"/>
      <c r="X210" s="2299"/>
      <c r="Y210" s="2299" t="s">
        <v>1885</v>
      </c>
      <c r="Z210" s="2299"/>
      <c r="AA210" s="2299"/>
      <c r="AB210" s="2299"/>
      <c r="AC210" s="2300" t="s">
        <v>1885</v>
      </c>
      <c r="AD210" s="2300"/>
      <c r="AE210" s="2300"/>
      <c r="AF210" s="2300"/>
      <c r="AG210" s="2292"/>
      <c r="AH210" s="2293"/>
      <c r="AI210" s="2293"/>
      <c r="AJ210" s="2293"/>
      <c r="AK210" s="2294"/>
      <c r="AL210" s="1192"/>
      <c r="AM210" s="1192"/>
      <c r="AN210" s="1192"/>
      <c r="AO210" s="1192"/>
      <c r="AP210" s="1192"/>
      <c r="AQ210" s="1192"/>
      <c r="AR210" s="1192"/>
      <c r="AS210" s="1192"/>
      <c r="AT210" s="1192"/>
      <c r="AU210" s="1192"/>
      <c r="AV210" s="1192"/>
      <c r="AW210" s="1192"/>
      <c r="AX210" s="1192"/>
      <c r="AY210" s="1192"/>
      <c r="AZ210" s="1192"/>
      <c r="BA210" s="1192"/>
      <c r="BB210" s="1192"/>
      <c r="BC210" s="1192"/>
      <c r="BD210" s="1192"/>
      <c r="BE210" s="1196"/>
    </row>
    <row r="211" spans="1:57" ht="15.75" customHeight="1">
      <c r="A211" s="1192"/>
      <c r="B211" s="1192"/>
      <c r="C211" s="2295">
        <v>3</v>
      </c>
      <c r="D211" s="2296"/>
      <c r="E211" s="2296"/>
      <c r="F211" s="2296"/>
      <c r="G211" s="2297" t="s">
        <v>1885</v>
      </c>
      <c r="H211" s="2297"/>
      <c r="I211" s="2297"/>
      <c r="J211" s="2297"/>
      <c r="K211" s="2297"/>
      <c r="L211" s="2297"/>
      <c r="M211" s="2297"/>
      <c r="N211" s="2297"/>
      <c r="O211" s="2297"/>
      <c r="P211" s="2298"/>
      <c r="Q211" s="2298"/>
      <c r="R211" s="2298"/>
      <c r="S211" s="2298"/>
      <c r="T211" s="2298"/>
      <c r="U211" s="2299" t="s">
        <v>1885</v>
      </c>
      <c r="V211" s="2299"/>
      <c r="W211" s="2299"/>
      <c r="X211" s="2299"/>
      <c r="Y211" s="2299" t="s">
        <v>1885</v>
      </c>
      <c r="Z211" s="2299"/>
      <c r="AA211" s="2299"/>
      <c r="AB211" s="2299"/>
      <c r="AC211" s="2300" t="s">
        <v>1885</v>
      </c>
      <c r="AD211" s="2300"/>
      <c r="AE211" s="2300"/>
      <c r="AF211" s="2300"/>
      <c r="AG211" s="2292"/>
      <c r="AH211" s="2293"/>
      <c r="AI211" s="2293"/>
      <c r="AJ211" s="2293"/>
      <c r="AK211" s="2294"/>
      <c r="AL211" s="1192"/>
      <c r="AM211" s="1192"/>
      <c r="AN211" s="1192"/>
      <c r="AO211" s="1192"/>
      <c r="AP211" s="1192"/>
      <c r="AQ211" s="1192"/>
      <c r="AR211" s="1192"/>
      <c r="AS211" s="1192"/>
      <c r="AT211" s="1192"/>
      <c r="AU211" s="1192"/>
      <c r="AV211" s="1192"/>
      <c r="AW211" s="1192"/>
      <c r="AX211" s="1192"/>
      <c r="AY211" s="1192"/>
      <c r="AZ211" s="1192"/>
      <c r="BA211" s="1192"/>
      <c r="BB211" s="1192"/>
      <c r="BC211" s="1192"/>
      <c r="BD211" s="1192"/>
      <c r="BE211" s="1196"/>
    </row>
    <row r="212" spans="1:57" ht="15.75" customHeight="1">
      <c r="A212" s="1192"/>
      <c r="B212" s="1192"/>
      <c r="C212" s="2295">
        <v>4</v>
      </c>
      <c r="D212" s="2296"/>
      <c r="E212" s="2296"/>
      <c r="F212" s="2296"/>
      <c r="G212" s="2297" t="s">
        <v>1885</v>
      </c>
      <c r="H212" s="2297"/>
      <c r="I212" s="2297"/>
      <c r="J212" s="2297"/>
      <c r="K212" s="2297"/>
      <c r="L212" s="2297"/>
      <c r="M212" s="2297"/>
      <c r="N212" s="2297"/>
      <c r="O212" s="2297"/>
      <c r="P212" s="2298"/>
      <c r="Q212" s="2298"/>
      <c r="R212" s="2298"/>
      <c r="S212" s="2298"/>
      <c r="T212" s="2298"/>
      <c r="U212" s="2299" t="s">
        <v>1885</v>
      </c>
      <c r="V212" s="2299"/>
      <c r="W212" s="2299"/>
      <c r="X212" s="2299"/>
      <c r="Y212" s="2299" t="s">
        <v>1885</v>
      </c>
      <c r="Z212" s="2299"/>
      <c r="AA212" s="2299"/>
      <c r="AB212" s="2299"/>
      <c r="AC212" s="2300" t="s">
        <v>1885</v>
      </c>
      <c r="AD212" s="2300"/>
      <c r="AE212" s="2300"/>
      <c r="AF212" s="2300"/>
      <c r="AG212" s="2292"/>
      <c r="AH212" s="2293"/>
      <c r="AI212" s="2293"/>
      <c r="AJ212" s="2293"/>
      <c r="AK212" s="2294"/>
      <c r="AL212" s="1192"/>
      <c r="AM212" s="1192"/>
      <c r="AN212" s="1192"/>
      <c r="AO212" s="1192"/>
      <c r="AP212" s="1192"/>
      <c r="AQ212" s="1192"/>
      <c r="AR212" s="1192"/>
      <c r="AS212" s="1192"/>
      <c r="AT212" s="1192"/>
      <c r="AU212" s="1192"/>
      <c r="AV212" s="1192"/>
      <c r="AW212" s="1192"/>
      <c r="AX212" s="1192"/>
      <c r="AY212" s="1192"/>
      <c r="AZ212" s="1192"/>
      <c r="BA212" s="1192"/>
      <c r="BB212" s="1192"/>
      <c r="BC212" s="1192"/>
      <c r="BD212" s="1192"/>
      <c r="BE212" s="1196"/>
    </row>
    <row r="213" spans="1:57" ht="15.75" customHeight="1">
      <c r="A213" s="1192"/>
      <c r="B213" s="1192"/>
      <c r="C213" s="2295">
        <v>5</v>
      </c>
      <c r="D213" s="2296"/>
      <c r="E213" s="2296"/>
      <c r="F213" s="2296"/>
      <c r="G213" s="2297" t="s">
        <v>1885</v>
      </c>
      <c r="H213" s="2297"/>
      <c r="I213" s="2297"/>
      <c r="J213" s="2297"/>
      <c r="K213" s="2297"/>
      <c r="L213" s="2297"/>
      <c r="M213" s="2297"/>
      <c r="N213" s="2297"/>
      <c r="O213" s="2297"/>
      <c r="P213" s="2298"/>
      <c r="Q213" s="2298"/>
      <c r="R213" s="2298"/>
      <c r="S213" s="2298"/>
      <c r="T213" s="2298"/>
      <c r="U213" s="2299" t="s">
        <v>1885</v>
      </c>
      <c r="V213" s="2299"/>
      <c r="W213" s="2299"/>
      <c r="X213" s="2299"/>
      <c r="Y213" s="2299" t="s">
        <v>1885</v>
      </c>
      <c r="Z213" s="2299"/>
      <c r="AA213" s="2299"/>
      <c r="AB213" s="2299"/>
      <c r="AC213" s="2300" t="s">
        <v>1885</v>
      </c>
      <c r="AD213" s="2300"/>
      <c r="AE213" s="2300"/>
      <c r="AF213" s="2300"/>
      <c r="AG213" s="2292"/>
      <c r="AH213" s="2293"/>
      <c r="AI213" s="2293"/>
      <c r="AJ213" s="2293"/>
      <c r="AK213" s="2294"/>
      <c r="AL213" s="1192"/>
      <c r="AM213" s="1192"/>
      <c r="AN213" s="1192"/>
      <c r="AO213" s="1192"/>
      <c r="AP213" s="1192"/>
      <c r="AQ213" s="1192"/>
      <c r="AR213" s="1192"/>
      <c r="AS213" s="1192"/>
      <c r="AT213" s="1192"/>
      <c r="AU213" s="1192"/>
      <c r="AV213" s="1192"/>
      <c r="AW213" s="1192"/>
      <c r="AX213" s="1192"/>
      <c r="AY213" s="1192"/>
      <c r="AZ213" s="1192"/>
      <c r="BA213" s="1192"/>
      <c r="BB213" s="1192"/>
      <c r="BC213" s="1192"/>
      <c r="BD213" s="1192"/>
      <c r="BE213" s="1196"/>
    </row>
    <row r="214" spans="1:57" ht="15.75" customHeight="1">
      <c r="A214" s="1192"/>
      <c r="B214" s="1192"/>
      <c r="C214" s="2295">
        <v>6</v>
      </c>
      <c r="D214" s="2296"/>
      <c r="E214" s="2296"/>
      <c r="F214" s="2296"/>
      <c r="G214" s="2297" t="s">
        <v>1885</v>
      </c>
      <c r="H214" s="2297"/>
      <c r="I214" s="2297"/>
      <c r="J214" s="2297"/>
      <c r="K214" s="2297"/>
      <c r="L214" s="2297"/>
      <c r="M214" s="2297"/>
      <c r="N214" s="2297"/>
      <c r="O214" s="2297"/>
      <c r="P214" s="2298"/>
      <c r="Q214" s="2298"/>
      <c r="R214" s="2298"/>
      <c r="S214" s="2298"/>
      <c r="T214" s="2298"/>
      <c r="U214" s="2299"/>
      <c r="V214" s="2299"/>
      <c r="W214" s="2299"/>
      <c r="X214" s="2299"/>
      <c r="Y214" s="2299"/>
      <c r="Z214" s="2299"/>
      <c r="AA214" s="2299"/>
      <c r="AB214" s="2299"/>
      <c r="AC214" s="2300" t="s">
        <v>1885</v>
      </c>
      <c r="AD214" s="2300"/>
      <c r="AE214" s="2300"/>
      <c r="AF214" s="2300"/>
      <c r="AG214" s="2292"/>
      <c r="AH214" s="2293"/>
      <c r="AI214" s="2293"/>
      <c r="AJ214" s="2293"/>
      <c r="AK214" s="2294"/>
      <c r="AL214" s="1192"/>
      <c r="AM214" s="1192"/>
      <c r="AN214" s="1192"/>
      <c r="AO214" s="1192"/>
      <c r="AP214" s="1192"/>
      <c r="AQ214" s="1192"/>
      <c r="AR214" s="1192"/>
      <c r="AS214" s="1192"/>
      <c r="AT214" s="1192"/>
      <c r="AU214" s="1192"/>
      <c r="AV214" s="1192"/>
      <c r="AW214" s="1192"/>
      <c r="AX214" s="1192"/>
      <c r="AY214" s="1192"/>
      <c r="AZ214" s="1192"/>
      <c r="BA214" s="1192"/>
      <c r="BB214" s="1192"/>
      <c r="BC214" s="1192"/>
      <c r="BD214" s="1192"/>
      <c r="BE214" s="1196"/>
    </row>
    <row r="215" spans="1:57" ht="15.75" customHeight="1">
      <c r="A215" s="1192"/>
      <c r="B215" s="1192"/>
      <c r="C215" s="2295">
        <v>7</v>
      </c>
      <c r="D215" s="2296"/>
      <c r="E215" s="2296"/>
      <c r="F215" s="2296"/>
      <c r="G215" s="2297"/>
      <c r="H215" s="2297"/>
      <c r="I215" s="2297"/>
      <c r="J215" s="2297"/>
      <c r="K215" s="2297"/>
      <c r="L215" s="2297"/>
      <c r="M215" s="2297"/>
      <c r="N215" s="2297"/>
      <c r="O215" s="2297"/>
      <c r="P215" s="2298"/>
      <c r="Q215" s="2298"/>
      <c r="R215" s="2298"/>
      <c r="S215" s="2298"/>
      <c r="T215" s="2298"/>
      <c r="U215" s="2299"/>
      <c r="V215" s="2299"/>
      <c r="W215" s="2299"/>
      <c r="X215" s="2299"/>
      <c r="Y215" s="2299"/>
      <c r="Z215" s="2299"/>
      <c r="AA215" s="2299"/>
      <c r="AB215" s="2299"/>
      <c r="AC215" s="2300" t="s">
        <v>1885</v>
      </c>
      <c r="AD215" s="2300"/>
      <c r="AE215" s="2300"/>
      <c r="AF215" s="2300"/>
      <c r="AG215" s="2292"/>
      <c r="AH215" s="2293"/>
      <c r="AI215" s="2293"/>
      <c r="AJ215" s="2293"/>
      <c r="AK215" s="2294"/>
      <c r="AL215" s="1192"/>
      <c r="AM215" s="1192"/>
      <c r="AN215" s="1192"/>
      <c r="AO215" s="1192"/>
      <c r="AP215" s="1192"/>
      <c r="AQ215" s="1192"/>
      <c r="AR215" s="1192"/>
      <c r="AS215" s="1192"/>
      <c r="AT215" s="1192"/>
      <c r="AU215" s="1192"/>
      <c r="AV215" s="1192"/>
      <c r="AW215" s="1192"/>
      <c r="AX215" s="1192"/>
      <c r="AY215" s="1192"/>
      <c r="AZ215" s="1192"/>
      <c r="BA215" s="1192"/>
      <c r="BB215" s="1192"/>
      <c r="BC215" s="1192"/>
      <c r="BD215" s="1192"/>
      <c r="BE215" s="1196"/>
    </row>
    <row r="216" spans="1:57" ht="15.75" customHeight="1">
      <c r="A216" s="1192"/>
      <c r="B216" s="1192"/>
      <c r="C216" s="2314" t="s">
        <v>2298</v>
      </c>
      <c r="D216" s="2315"/>
      <c r="E216" s="2315"/>
      <c r="F216" s="2315"/>
      <c r="G216" s="2315"/>
      <c r="H216" s="2315"/>
      <c r="I216" s="2315"/>
      <c r="J216" s="2315"/>
      <c r="K216" s="2315"/>
      <c r="L216" s="2315"/>
      <c r="M216" s="2315"/>
      <c r="N216" s="2315"/>
      <c r="O216" s="2315"/>
      <c r="P216" s="2316"/>
      <c r="Q216" s="2316"/>
      <c r="R216" s="2316"/>
      <c r="S216" s="2316"/>
      <c r="T216" s="2316"/>
      <c r="U216" s="2317">
        <v>0</v>
      </c>
      <c r="V216" s="2317"/>
      <c r="W216" s="2317"/>
      <c r="X216" s="2317"/>
      <c r="Y216" s="2317">
        <v>0</v>
      </c>
      <c r="Z216" s="2317"/>
      <c r="AA216" s="2317"/>
      <c r="AB216" s="2317"/>
      <c r="AC216" s="2318">
        <v>0</v>
      </c>
      <c r="AD216" s="2318"/>
      <c r="AE216" s="2318"/>
      <c r="AF216" s="2318"/>
      <c r="AG216" s="2319"/>
      <c r="AH216" s="2320"/>
      <c r="AI216" s="2320"/>
      <c r="AJ216" s="2320"/>
      <c r="AK216" s="2321"/>
      <c r="AL216" s="1192"/>
      <c r="AM216" s="1192"/>
      <c r="AN216" s="1192"/>
      <c r="AO216" s="1192"/>
      <c r="AP216" s="1192"/>
      <c r="AQ216" s="1192"/>
      <c r="AR216" s="1192"/>
      <c r="AS216" s="1192"/>
      <c r="AT216" s="1192"/>
      <c r="AU216" s="1192"/>
      <c r="AV216" s="1192"/>
      <c r="AW216" s="1192"/>
      <c r="AX216" s="1192"/>
      <c r="AY216" s="1192"/>
      <c r="AZ216" s="1192"/>
      <c r="BA216" s="1192"/>
      <c r="BB216" s="1192"/>
      <c r="BC216" s="1192"/>
      <c r="BD216" s="1192"/>
      <c r="BE216" s="1196"/>
    </row>
    <row r="217" spans="1:57" ht="15.75" customHeight="1">
      <c r="A217" s="1192"/>
      <c r="B217" s="1192"/>
      <c r="C217" s="1192" t="s">
        <v>2297</v>
      </c>
      <c r="D217" s="1192"/>
      <c r="E217" s="1192"/>
      <c r="F217" s="1192"/>
      <c r="G217" s="1192"/>
      <c r="H217" s="1192"/>
      <c r="I217" s="1192"/>
      <c r="J217" s="1192"/>
      <c r="K217" s="1192"/>
      <c r="L217" s="1192"/>
      <c r="M217" s="1192"/>
      <c r="N217" s="1192"/>
      <c r="O217" s="1192"/>
      <c r="P217" s="1192"/>
      <c r="Q217" s="1192"/>
      <c r="R217" s="1192"/>
      <c r="S217" s="1192"/>
      <c r="T217" s="1192"/>
      <c r="U217" s="1192"/>
      <c r="V217" s="1192"/>
      <c r="W217" s="1192"/>
      <c r="X217" s="1192"/>
      <c r="Y217" s="1192"/>
      <c r="Z217" s="1192"/>
      <c r="AA217" s="1192"/>
      <c r="AB217" s="1192"/>
      <c r="AC217" s="1192"/>
      <c r="AD217" s="1192"/>
      <c r="AE217" s="1192"/>
      <c r="AF217" s="1192"/>
      <c r="AG217" s="1192"/>
      <c r="AH217" s="1192"/>
      <c r="AI217" s="1192"/>
      <c r="AJ217" s="1192"/>
      <c r="AK217" s="1192"/>
      <c r="AL217" s="1192"/>
      <c r="AM217" s="1192"/>
      <c r="AN217" s="1192"/>
      <c r="AO217" s="1192"/>
      <c r="AP217" s="1192"/>
      <c r="AQ217" s="1192"/>
      <c r="AR217" s="1192"/>
      <c r="AS217" s="1192"/>
      <c r="AT217" s="1192"/>
      <c r="AU217" s="1192"/>
      <c r="AV217" s="1192"/>
      <c r="AW217" s="1192"/>
      <c r="AX217" s="1192"/>
      <c r="AY217" s="1192"/>
      <c r="AZ217" s="1192"/>
      <c r="BA217" s="1192"/>
      <c r="BB217" s="1192"/>
      <c r="BC217" s="1192"/>
      <c r="BD217" s="1192"/>
      <c r="BE217" s="1196"/>
    </row>
    <row r="218" spans="1:57" ht="15.75" customHeight="1">
      <c r="A218" s="1192"/>
      <c r="B218" s="1192"/>
      <c r="C218" s="1192"/>
      <c r="D218" s="1192"/>
      <c r="E218" s="1192"/>
      <c r="F218" s="1192"/>
      <c r="G218" s="1192"/>
      <c r="H218" s="1192"/>
      <c r="I218" s="1192"/>
      <c r="J218" s="1192"/>
      <c r="K218" s="1192"/>
      <c r="L218" s="1192"/>
      <c r="M218" s="1192"/>
      <c r="N218" s="1192"/>
      <c r="O218" s="1192"/>
      <c r="P218" s="1192"/>
      <c r="Q218" s="1192"/>
      <c r="R218" s="1192"/>
      <c r="S218" s="1192"/>
      <c r="T218" s="1192"/>
      <c r="U218" s="1192"/>
      <c r="V218" s="1192"/>
      <c r="W218" s="1192"/>
      <c r="X218" s="1192"/>
      <c r="Y218" s="1192"/>
      <c r="Z218" s="1192"/>
      <c r="AA218" s="1192"/>
      <c r="AB218" s="1192"/>
      <c r="AC218" s="1192"/>
      <c r="AD218" s="1192"/>
      <c r="AE218" s="1192"/>
      <c r="AF218" s="1192"/>
      <c r="AG218" s="1192"/>
      <c r="AH218" s="1192"/>
      <c r="AI218" s="1192"/>
      <c r="AJ218" s="1192"/>
      <c r="AK218" s="1192"/>
      <c r="AL218" s="1192"/>
      <c r="AM218" s="1192"/>
      <c r="AN218" s="1192"/>
      <c r="AO218" s="1192"/>
      <c r="AP218" s="1192"/>
      <c r="AQ218" s="1192"/>
      <c r="AR218" s="1192"/>
      <c r="AS218" s="1192"/>
      <c r="AT218" s="1192"/>
      <c r="AU218" s="1192"/>
      <c r="AV218" s="1192"/>
      <c r="AW218" s="1192"/>
      <c r="AX218" s="1192"/>
      <c r="AY218" s="1192"/>
      <c r="AZ218" s="1192"/>
      <c r="BA218" s="1192"/>
      <c r="BB218" s="1192"/>
      <c r="BC218" s="1192"/>
      <c r="BD218" s="1192"/>
      <c r="BE218" s="1196"/>
    </row>
    <row r="219" spans="1:57" ht="15.75" customHeight="1">
      <c r="A219" s="1192"/>
      <c r="B219" s="1192"/>
      <c r="C219" s="1192"/>
      <c r="D219" s="1192"/>
      <c r="E219" s="1192"/>
      <c r="F219" s="1192"/>
      <c r="G219" s="1192"/>
      <c r="H219" s="1192"/>
      <c r="I219" s="1192"/>
      <c r="J219" s="1192"/>
      <c r="K219" s="1192"/>
      <c r="L219" s="1192"/>
      <c r="M219" s="1192"/>
      <c r="N219" s="1192"/>
      <c r="O219" s="1192"/>
      <c r="P219" s="1192"/>
      <c r="Q219" s="1192"/>
      <c r="R219" s="1192"/>
      <c r="S219" s="1192"/>
      <c r="T219" s="1192"/>
      <c r="U219" s="1192"/>
      <c r="V219" s="1192"/>
      <c r="W219" s="1192"/>
      <c r="X219" s="1192"/>
      <c r="Y219" s="1192"/>
      <c r="Z219" s="1192"/>
      <c r="AA219" s="1192"/>
      <c r="AB219" s="1192"/>
      <c r="AC219" s="1192"/>
      <c r="AD219" s="1192"/>
      <c r="AE219" s="1192"/>
      <c r="AF219" s="1192"/>
      <c r="AG219" s="1192"/>
      <c r="AH219" s="1192"/>
      <c r="AI219" s="1192"/>
      <c r="AJ219" s="1192"/>
      <c r="AK219" s="1192"/>
      <c r="AL219" s="1192"/>
      <c r="AM219" s="1192"/>
      <c r="AN219" s="1192"/>
      <c r="AO219" s="1192"/>
      <c r="AP219" s="1192"/>
      <c r="AQ219" s="1192"/>
      <c r="AR219" s="1192"/>
      <c r="AS219" s="1192"/>
      <c r="AT219" s="1192"/>
      <c r="AU219" s="1192"/>
      <c r="AV219" s="1192"/>
      <c r="AW219" s="1192"/>
      <c r="AX219" s="1192"/>
      <c r="AY219" s="1192"/>
      <c r="AZ219" s="1192"/>
      <c r="BA219" s="1192"/>
      <c r="BB219" s="1192"/>
      <c r="BC219" s="1192"/>
      <c r="BD219" s="1192"/>
      <c r="BE219" s="1196"/>
    </row>
    <row r="220" spans="1:57" ht="15.75" customHeight="1" thickBot="1">
      <c r="A220" s="1192"/>
      <c r="B220" s="1192"/>
      <c r="C220" s="1192"/>
      <c r="D220" s="1192"/>
      <c r="E220" s="1192"/>
      <c r="F220" s="1192"/>
      <c r="G220" s="1192"/>
      <c r="H220" s="1192"/>
      <c r="I220" s="1192"/>
      <c r="J220" s="1192"/>
      <c r="K220" s="1192"/>
      <c r="L220" s="1192"/>
      <c r="M220" s="1192"/>
      <c r="N220" s="1192"/>
      <c r="O220" s="1192"/>
      <c r="P220" s="1192"/>
      <c r="Q220" s="1192"/>
      <c r="R220" s="1192"/>
      <c r="S220" s="1192"/>
      <c r="T220" s="1192"/>
      <c r="U220" s="1192"/>
      <c r="V220" s="1192"/>
      <c r="W220" s="1192"/>
      <c r="X220" s="1192"/>
      <c r="Y220" s="1192"/>
      <c r="Z220" s="1192"/>
      <c r="AA220" s="1192"/>
      <c r="AB220" s="1192"/>
      <c r="AC220" s="1192"/>
      <c r="AD220" s="1192"/>
      <c r="AE220" s="1192"/>
      <c r="AF220" s="1192"/>
      <c r="AG220" s="1192"/>
      <c r="AH220" s="1192"/>
      <c r="AI220" s="1192"/>
      <c r="AJ220" s="1192"/>
      <c r="AK220" s="1192"/>
      <c r="AL220" s="1192"/>
      <c r="AM220" s="1192"/>
      <c r="AN220" s="1192"/>
      <c r="AO220" s="1192"/>
      <c r="AP220" s="1192"/>
      <c r="AQ220" s="1192"/>
      <c r="AR220" s="1192"/>
      <c r="AS220" s="1192"/>
      <c r="AT220" s="1192"/>
      <c r="AU220" s="1192"/>
      <c r="AV220" s="1192"/>
      <c r="AW220" s="1192"/>
      <c r="AX220" s="1192"/>
      <c r="AY220" s="1192"/>
      <c r="AZ220" s="1192"/>
      <c r="BA220" s="1192"/>
      <c r="BB220" s="1192"/>
      <c r="BC220" s="1192"/>
      <c r="BD220" s="1192"/>
      <c r="BE220" s="1196"/>
    </row>
    <row r="221" spans="1:57" ht="15.75" customHeight="1">
      <c r="A221" s="1192"/>
      <c r="B221" s="2302" t="s">
        <v>2296</v>
      </c>
      <c r="C221" s="2303"/>
      <c r="D221" s="2303"/>
      <c r="E221" s="2303"/>
      <c r="F221" s="2303"/>
      <c r="G221" s="2303"/>
      <c r="H221" s="2303"/>
      <c r="I221" s="2303"/>
      <c r="J221" s="2303"/>
      <c r="K221" s="2303"/>
      <c r="L221" s="2303"/>
      <c r="M221" s="2303"/>
      <c r="N221" s="2303"/>
      <c r="O221" s="2303"/>
      <c r="P221" s="2303"/>
      <c r="Q221" s="2303"/>
      <c r="R221" s="2303"/>
      <c r="S221" s="2303"/>
      <c r="T221" s="2303"/>
      <c r="U221" s="2303"/>
      <c r="V221" s="2303"/>
      <c r="W221" s="2303"/>
      <c r="X221" s="2303"/>
      <c r="Y221" s="2303"/>
      <c r="Z221" s="2303"/>
      <c r="AA221" s="2303"/>
      <c r="AB221" s="2303"/>
      <c r="AC221" s="2303"/>
      <c r="AD221" s="2303"/>
      <c r="AE221" s="2303"/>
      <c r="AF221" s="2303"/>
      <c r="AG221" s="2303"/>
      <c r="AH221" s="2303"/>
      <c r="AI221" s="2303"/>
      <c r="AJ221" s="2303"/>
      <c r="AK221" s="2303"/>
      <c r="AL221" s="2303"/>
      <c r="AM221" s="2303"/>
      <c r="AN221" s="2303"/>
      <c r="AO221" s="2303"/>
      <c r="AP221" s="2303"/>
      <c r="AQ221" s="2303"/>
      <c r="AR221" s="2303"/>
      <c r="AS221" s="2303"/>
      <c r="AT221" s="2303"/>
      <c r="AU221" s="2303"/>
      <c r="AV221" s="2303"/>
      <c r="AW221" s="2303"/>
      <c r="AX221" s="2303"/>
      <c r="AY221" s="2303"/>
      <c r="AZ221" s="2303"/>
      <c r="BA221" s="2303"/>
      <c r="BB221" s="2303"/>
      <c r="BC221" s="2303"/>
      <c r="BD221" s="2304"/>
      <c r="BE221" s="1196"/>
    </row>
    <row r="222" spans="1:57" ht="15.75" customHeight="1">
      <c r="A222" s="1192"/>
      <c r="B222" s="2305"/>
      <c r="C222" s="2306"/>
      <c r="D222" s="2306"/>
      <c r="E222" s="2306"/>
      <c r="F222" s="2306"/>
      <c r="G222" s="2306"/>
      <c r="H222" s="2306"/>
      <c r="I222" s="2306"/>
      <c r="J222" s="2306"/>
      <c r="K222" s="2306"/>
      <c r="L222" s="2306"/>
      <c r="M222" s="2306"/>
      <c r="N222" s="2306"/>
      <c r="O222" s="2306"/>
      <c r="P222" s="2306"/>
      <c r="Q222" s="2306"/>
      <c r="R222" s="2306"/>
      <c r="S222" s="2306"/>
      <c r="T222" s="2306"/>
      <c r="U222" s="2306"/>
      <c r="V222" s="2306"/>
      <c r="W222" s="2306"/>
      <c r="X222" s="2306"/>
      <c r="Y222" s="2306"/>
      <c r="Z222" s="2306"/>
      <c r="AA222" s="2306"/>
      <c r="AB222" s="2306"/>
      <c r="AC222" s="2306"/>
      <c r="AD222" s="2306"/>
      <c r="AE222" s="2306"/>
      <c r="AF222" s="2306"/>
      <c r="AG222" s="2306"/>
      <c r="AH222" s="2306"/>
      <c r="AI222" s="2306"/>
      <c r="AJ222" s="2306"/>
      <c r="AK222" s="2306"/>
      <c r="AL222" s="2306"/>
      <c r="AM222" s="2306"/>
      <c r="AN222" s="2306"/>
      <c r="AO222" s="2306"/>
      <c r="AP222" s="2306"/>
      <c r="AQ222" s="2306"/>
      <c r="AR222" s="2306"/>
      <c r="AS222" s="2306"/>
      <c r="AT222" s="2306"/>
      <c r="AU222" s="2306"/>
      <c r="AV222" s="2306"/>
      <c r="AW222" s="2306"/>
      <c r="AX222" s="2306"/>
      <c r="AY222" s="2306"/>
      <c r="AZ222" s="2306"/>
      <c r="BA222" s="2306"/>
      <c r="BB222" s="2306"/>
      <c r="BC222" s="2306"/>
      <c r="BD222" s="2307"/>
      <c r="BE222" s="1196"/>
    </row>
    <row r="223" spans="1:57" ht="15.75" customHeight="1">
      <c r="A223" s="1192"/>
      <c r="B223" s="2308" t="s">
        <v>2295</v>
      </c>
      <c r="C223" s="2309"/>
      <c r="D223" s="2309"/>
      <c r="E223" s="2309"/>
      <c r="F223" s="2309"/>
      <c r="G223" s="2309"/>
      <c r="H223" s="2309"/>
      <c r="I223" s="2309"/>
      <c r="J223" s="2309"/>
      <c r="K223" s="2309"/>
      <c r="L223" s="2309"/>
      <c r="M223" s="2309"/>
      <c r="N223" s="2309"/>
      <c r="O223" s="2309"/>
      <c r="P223" s="2309"/>
      <c r="Q223" s="2309"/>
      <c r="R223" s="2309"/>
      <c r="S223" s="2309"/>
      <c r="T223" s="2309"/>
      <c r="U223" s="2309"/>
      <c r="V223" s="2309"/>
      <c r="W223" s="2309"/>
      <c r="X223" s="2309"/>
      <c r="Y223" s="2309"/>
      <c r="Z223" s="2309"/>
      <c r="AA223" s="2309"/>
      <c r="AB223" s="2309"/>
      <c r="AC223" s="2309"/>
      <c r="AD223" s="2309"/>
      <c r="AE223" s="2309"/>
      <c r="AF223" s="2309"/>
      <c r="AG223" s="2309"/>
      <c r="AH223" s="2309"/>
      <c r="AI223" s="2309"/>
      <c r="AJ223" s="2309"/>
      <c r="AK223" s="2309"/>
      <c r="AL223" s="2309"/>
      <c r="AM223" s="2309"/>
      <c r="AN223" s="2309"/>
      <c r="AO223" s="2309"/>
      <c r="AP223" s="2309"/>
      <c r="AQ223" s="2309"/>
      <c r="AR223" s="2309"/>
      <c r="AS223" s="2309"/>
      <c r="AT223" s="2309"/>
      <c r="AU223" s="2309"/>
      <c r="AV223" s="2309"/>
      <c r="AW223" s="2309"/>
      <c r="AX223" s="2309"/>
      <c r="AY223" s="2309"/>
      <c r="AZ223" s="2309"/>
      <c r="BA223" s="2309"/>
      <c r="BB223" s="2309"/>
      <c r="BC223" s="2309"/>
      <c r="BD223" s="2310"/>
      <c r="BE223" s="1196"/>
    </row>
    <row r="224" spans="1:57" ht="15.75" customHeight="1">
      <c r="A224" s="1192"/>
      <c r="B224" s="2308" t="s">
        <v>2294</v>
      </c>
      <c r="C224" s="2309"/>
      <c r="D224" s="2309"/>
      <c r="E224" s="2309"/>
      <c r="F224" s="2309"/>
      <c r="G224" s="2309"/>
      <c r="H224" s="2309"/>
      <c r="I224" s="2309"/>
      <c r="J224" s="2309"/>
      <c r="K224" s="2309"/>
      <c r="L224" s="2309"/>
      <c r="M224" s="2309"/>
      <c r="N224" s="2309"/>
      <c r="O224" s="2309"/>
      <c r="P224" s="2309"/>
      <c r="Q224" s="2309"/>
      <c r="R224" s="2309"/>
      <c r="S224" s="2309"/>
      <c r="T224" s="2309"/>
      <c r="U224" s="2309"/>
      <c r="V224" s="2309"/>
      <c r="W224" s="2309"/>
      <c r="X224" s="2309"/>
      <c r="Y224" s="2309"/>
      <c r="Z224" s="2309"/>
      <c r="AA224" s="2309"/>
      <c r="AB224" s="2309"/>
      <c r="AC224" s="2309"/>
      <c r="AD224" s="2309"/>
      <c r="AE224" s="2309"/>
      <c r="AF224" s="2309"/>
      <c r="AG224" s="2309"/>
      <c r="AH224" s="2309"/>
      <c r="AI224" s="2309"/>
      <c r="AJ224" s="2309"/>
      <c r="AK224" s="2309"/>
      <c r="AL224" s="2309"/>
      <c r="AM224" s="2309"/>
      <c r="AN224" s="2309"/>
      <c r="AO224" s="2309"/>
      <c r="AP224" s="2309"/>
      <c r="AQ224" s="2309"/>
      <c r="AR224" s="2309"/>
      <c r="AS224" s="2309"/>
      <c r="AT224" s="2309"/>
      <c r="AU224" s="2309"/>
      <c r="AV224" s="2309"/>
      <c r="AW224" s="2309"/>
      <c r="AX224" s="2309"/>
      <c r="AY224" s="2309"/>
      <c r="AZ224" s="2309"/>
      <c r="BA224" s="2309"/>
      <c r="BB224" s="2309"/>
      <c r="BC224" s="2309"/>
      <c r="BD224" s="2310"/>
      <c r="BE224" s="1196"/>
    </row>
    <row r="225" spans="1:57" ht="15.75" customHeight="1">
      <c r="A225" s="1192"/>
      <c r="B225" s="1191"/>
      <c r="C225" s="1192"/>
      <c r="D225" s="1192"/>
      <c r="E225" s="1192"/>
      <c r="F225" s="1192"/>
      <c r="G225" s="1192"/>
      <c r="H225" s="1192"/>
      <c r="I225" s="1192"/>
      <c r="J225" s="1192"/>
      <c r="K225" s="1192"/>
      <c r="L225" s="1192"/>
      <c r="M225" s="1192"/>
      <c r="N225" s="1192"/>
      <c r="O225" s="1192"/>
      <c r="P225" s="1192"/>
      <c r="Q225" s="1192"/>
      <c r="R225" s="1192"/>
      <c r="S225" s="1192"/>
      <c r="T225" s="1192"/>
      <c r="U225" s="1192"/>
      <c r="V225" s="1192"/>
      <c r="W225" s="1192"/>
      <c r="X225" s="1192"/>
      <c r="Y225" s="1192"/>
      <c r="Z225" s="1192"/>
      <c r="AA225" s="1192"/>
      <c r="AB225" s="1192"/>
      <c r="AC225" s="1192"/>
      <c r="AD225" s="1192"/>
      <c r="AE225" s="1192"/>
      <c r="AF225" s="1192"/>
      <c r="AG225" s="1192"/>
      <c r="AH225" s="1192"/>
      <c r="AI225" s="1192"/>
      <c r="AJ225" s="1192"/>
      <c r="AK225" s="1192"/>
      <c r="AL225" s="1192"/>
      <c r="AM225" s="1192"/>
      <c r="AN225" s="1192"/>
      <c r="AO225" s="1192"/>
      <c r="AP225" s="1192"/>
      <c r="AQ225" s="1192"/>
      <c r="AR225" s="1192"/>
      <c r="AS225" s="1192"/>
      <c r="AT225" s="1192"/>
      <c r="AU225" s="1192"/>
      <c r="AV225" s="1192"/>
      <c r="AW225" s="1192"/>
      <c r="AX225" s="1192"/>
      <c r="AY225" s="1192"/>
      <c r="AZ225" s="1192"/>
      <c r="BA225" s="1192"/>
      <c r="BB225" s="1192"/>
      <c r="BC225" s="1192"/>
      <c r="BD225" s="1196"/>
      <c r="BE225" s="1196"/>
    </row>
    <row r="226" spans="1:57" ht="15.75" customHeight="1">
      <c r="A226" s="1192"/>
      <c r="B226" s="2311" t="s">
        <v>2293</v>
      </c>
      <c r="C226" s="2201"/>
      <c r="D226" s="2201"/>
      <c r="E226" s="2201"/>
      <c r="F226" s="2201"/>
      <c r="G226" s="2201"/>
      <c r="H226" s="2201"/>
      <c r="I226" s="2201"/>
      <c r="J226" s="2201"/>
      <c r="K226" s="2201"/>
      <c r="L226" s="2201"/>
      <c r="M226" s="2201"/>
      <c r="N226" s="2201"/>
      <c r="O226" s="2201"/>
      <c r="P226" s="2201"/>
      <c r="Q226" s="2201"/>
      <c r="R226" s="2201"/>
      <c r="S226" s="2201"/>
      <c r="T226" s="2201"/>
      <c r="U226" s="2201"/>
      <c r="V226" s="2201"/>
      <c r="W226" s="2201"/>
      <c r="X226" s="2201"/>
      <c r="Y226" s="2201"/>
      <c r="Z226" s="2201"/>
      <c r="AA226" s="2201"/>
      <c r="AB226" s="2201"/>
      <c r="AC226" s="2201"/>
      <c r="AD226" s="2201"/>
      <c r="AE226" s="2201"/>
      <c r="AF226" s="2201"/>
      <c r="AG226" s="2201"/>
      <c r="AH226" s="2201"/>
      <c r="AI226" s="2201"/>
      <c r="AJ226" s="2201"/>
      <c r="AK226" s="2201"/>
      <c r="AL226" s="2201"/>
      <c r="AM226" s="2201"/>
      <c r="AN226" s="2201"/>
      <c r="AO226" s="2201"/>
      <c r="AP226" s="2201"/>
      <c r="AQ226" s="2201"/>
      <c r="AR226" s="2201"/>
      <c r="AS226" s="2201"/>
      <c r="AT226" s="2201"/>
      <c r="AU226" s="2201"/>
      <c r="AV226" s="2201"/>
      <c r="AW226" s="2201"/>
      <c r="AX226" s="2201"/>
      <c r="AY226" s="2201"/>
      <c r="AZ226" s="2201"/>
      <c r="BA226" s="2201"/>
      <c r="BB226" s="2201"/>
      <c r="BC226" s="2201"/>
      <c r="BD226" s="2312"/>
      <c r="BE226" s="1196"/>
    </row>
    <row r="227" spans="1:57" ht="15.75" customHeight="1">
      <c r="A227" s="1192"/>
      <c r="B227" s="1237"/>
      <c r="C227" s="1192"/>
      <c r="D227" s="1192"/>
      <c r="E227" s="1192"/>
      <c r="F227" s="1192"/>
      <c r="G227" s="1192"/>
      <c r="H227" s="1192"/>
      <c r="I227" s="1192"/>
      <c r="J227" s="1192"/>
      <c r="K227" s="1192"/>
      <c r="L227" s="1192"/>
      <c r="M227" s="1192"/>
      <c r="N227" s="1192"/>
      <c r="O227" s="1192"/>
      <c r="P227" s="1192"/>
      <c r="Q227" s="1192"/>
      <c r="R227" s="1192"/>
      <c r="S227" s="1192"/>
      <c r="T227" s="1192"/>
      <c r="U227" s="1192"/>
      <c r="V227" s="1192"/>
      <c r="W227" s="1192"/>
      <c r="X227" s="1192"/>
      <c r="Y227" s="1192"/>
      <c r="Z227" s="1192"/>
      <c r="AA227" s="1192"/>
      <c r="AB227" s="1192"/>
      <c r="AC227" s="1192"/>
      <c r="AD227" s="1192"/>
      <c r="AE227" s="1192"/>
      <c r="AF227" s="1192"/>
      <c r="AG227" s="1192"/>
      <c r="AH227" s="1192"/>
      <c r="AI227" s="1192"/>
      <c r="AJ227" s="1192"/>
      <c r="AK227" s="1192"/>
      <c r="AL227" s="1192"/>
      <c r="AM227" s="1192"/>
      <c r="AN227" s="1192"/>
      <c r="AO227" s="1192"/>
      <c r="AP227" s="1192"/>
      <c r="AQ227" s="1192"/>
      <c r="AR227" s="1192"/>
      <c r="AS227" s="1192"/>
      <c r="AT227" s="1192"/>
      <c r="AU227" s="1192"/>
      <c r="AV227" s="1192"/>
      <c r="AW227" s="1192"/>
      <c r="AX227" s="1192"/>
      <c r="AY227" s="1192"/>
      <c r="AZ227" s="1192"/>
      <c r="BA227" s="1192"/>
      <c r="BB227" s="1192"/>
      <c r="BC227" s="1192"/>
      <c r="BD227" s="1196"/>
      <c r="BE227" s="1196"/>
    </row>
    <row r="228" spans="1:57" ht="15.75" customHeight="1">
      <c r="A228" s="1192"/>
      <c r="B228" s="1238"/>
      <c r="C228" s="1192"/>
      <c r="D228" s="1192"/>
      <c r="E228" s="1192"/>
      <c r="F228" s="1192"/>
      <c r="G228" s="1192"/>
      <c r="H228" s="1194" t="s">
        <v>2292</v>
      </c>
      <c r="I228" s="1192"/>
      <c r="J228" s="1192"/>
      <c r="K228" s="1192"/>
      <c r="L228" s="1192"/>
      <c r="M228" s="1192"/>
      <c r="N228" s="1192"/>
      <c r="O228" s="1192"/>
      <c r="P228" s="1192"/>
      <c r="Q228" s="1192"/>
      <c r="R228" s="1192"/>
      <c r="S228" s="1192"/>
      <c r="T228" s="1192"/>
      <c r="U228" s="1192"/>
      <c r="V228" s="1192"/>
      <c r="W228" s="1192"/>
      <c r="X228" s="1192"/>
      <c r="Y228" s="1192"/>
      <c r="Z228" s="1192"/>
      <c r="AA228" s="1192"/>
      <c r="AB228" s="1192"/>
      <c r="AC228" s="1192"/>
      <c r="AD228" s="1192"/>
      <c r="AE228" s="1192"/>
      <c r="AF228" s="1192"/>
      <c r="AG228" s="1192"/>
      <c r="AH228" s="1192"/>
      <c r="AI228" s="1192"/>
      <c r="AJ228" s="1192"/>
      <c r="AK228" s="1192"/>
      <c r="AL228" s="1192"/>
      <c r="AM228" s="1192"/>
      <c r="AN228" s="1192"/>
      <c r="AO228" s="1192"/>
      <c r="AP228" s="1192"/>
      <c r="AQ228" s="1192"/>
      <c r="AR228" s="1192"/>
      <c r="AS228" s="1192"/>
      <c r="AT228" s="1192"/>
      <c r="AU228" s="1192"/>
      <c r="AV228" s="1192"/>
      <c r="AW228" s="1192"/>
      <c r="AX228" s="1192"/>
      <c r="AY228" s="1192"/>
      <c r="AZ228" s="1192"/>
      <c r="BA228" s="1192"/>
      <c r="BB228" s="1192"/>
      <c r="BC228" s="1192"/>
      <c r="BD228" s="1196"/>
      <c r="BE228" s="1196"/>
    </row>
    <row r="229" spans="1:57" ht="15.75" customHeight="1">
      <c r="A229" s="1192"/>
      <c r="B229" s="1238"/>
      <c r="C229" s="1192"/>
      <c r="D229" s="1192"/>
      <c r="E229" s="1192"/>
      <c r="F229" s="1192"/>
      <c r="G229" s="1192"/>
      <c r="H229" s="1192"/>
      <c r="I229" s="1192"/>
      <c r="J229" s="1192"/>
      <c r="K229" s="1192"/>
      <c r="L229" s="1192"/>
      <c r="M229" s="1192"/>
      <c r="N229" s="1192"/>
      <c r="O229" s="1192"/>
      <c r="P229" s="1192"/>
      <c r="Q229" s="1192"/>
      <c r="R229" s="1192"/>
      <c r="S229" s="1192"/>
      <c r="T229" s="1192"/>
      <c r="U229" s="1192"/>
      <c r="V229" s="1192"/>
      <c r="W229" s="1192"/>
      <c r="X229" s="1192"/>
      <c r="Y229" s="1192"/>
      <c r="Z229" s="1192"/>
      <c r="AA229" s="1192"/>
      <c r="AB229" s="1192"/>
      <c r="AC229" s="1192"/>
      <c r="AD229" s="1192"/>
      <c r="AE229" s="1192"/>
      <c r="AF229" s="1192"/>
      <c r="AG229" s="1192"/>
      <c r="AH229" s="1192"/>
      <c r="AI229" s="1192"/>
      <c r="AJ229" s="1192"/>
      <c r="AK229" s="1192"/>
      <c r="AL229" s="1192"/>
      <c r="AM229" s="1192"/>
      <c r="AN229" s="1192"/>
      <c r="AO229" s="1192"/>
      <c r="AP229" s="1192"/>
      <c r="AQ229" s="1192"/>
      <c r="AR229" s="1192"/>
      <c r="AS229" s="1192"/>
      <c r="AT229" s="1192"/>
      <c r="AU229" s="1192"/>
      <c r="AV229" s="1192"/>
      <c r="AW229" s="1192"/>
      <c r="AX229" s="1192"/>
      <c r="AY229" s="1192"/>
      <c r="AZ229" s="1192"/>
      <c r="BA229" s="1192"/>
      <c r="BB229" s="1192"/>
      <c r="BC229" s="1192"/>
      <c r="BD229" s="1196"/>
      <c r="BE229" s="1196"/>
    </row>
    <row r="230" spans="1:57" ht="15.75" customHeight="1">
      <c r="A230" s="1192"/>
      <c r="B230" s="1238"/>
      <c r="C230" s="1192"/>
      <c r="D230" s="1192"/>
      <c r="E230" s="1192"/>
      <c r="F230" s="1192"/>
      <c r="G230" s="1192"/>
      <c r="H230" s="2313" t="s">
        <v>2291</v>
      </c>
      <c r="I230" s="2313"/>
      <c r="J230" s="2313"/>
      <c r="K230" s="2313"/>
      <c r="L230" s="2313"/>
      <c r="M230" s="2313"/>
      <c r="N230" s="2313"/>
      <c r="O230" s="2313"/>
      <c r="P230" s="2313"/>
      <c r="Q230" s="2313"/>
      <c r="R230" s="2313"/>
      <c r="S230" s="2313"/>
      <c r="T230" s="2313"/>
      <c r="U230" s="2313"/>
      <c r="V230" s="2313"/>
      <c r="W230" s="2313"/>
      <c r="X230" s="2313"/>
      <c r="Y230" s="2313"/>
      <c r="Z230" s="2313"/>
      <c r="AA230" s="2313"/>
      <c r="AB230" s="2313"/>
      <c r="AC230" s="2313"/>
      <c r="AD230" s="2313"/>
      <c r="AE230" s="2313"/>
      <c r="AF230" s="2313"/>
      <c r="AG230" s="2313"/>
      <c r="AH230" s="2313"/>
      <c r="AI230" s="2313"/>
      <c r="AJ230" s="2313"/>
      <c r="AK230" s="2313"/>
      <c r="AL230" s="2313"/>
      <c r="AM230" s="2313"/>
      <c r="AN230" s="2313"/>
      <c r="AO230" s="2313"/>
      <c r="AP230" s="2313"/>
      <c r="AQ230" s="2313"/>
      <c r="AR230" s="2313"/>
      <c r="AS230" s="2313"/>
      <c r="AT230" s="2313"/>
      <c r="AU230" s="2313"/>
      <c r="AV230" s="2313"/>
      <c r="AW230" s="2313"/>
      <c r="AX230" s="2313"/>
      <c r="AY230" s="2313"/>
      <c r="AZ230" s="1192"/>
      <c r="BA230" s="1192"/>
      <c r="BB230" s="1192"/>
      <c r="BC230" s="1192"/>
      <c r="BD230" s="1196"/>
      <c r="BE230" s="1196"/>
    </row>
    <row r="231" spans="1:57" ht="15.75" customHeight="1">
      <c r="A231" s="1192"/>
      <c r="B231" s="1238"/>
      <c r="C231" s="1192"/>
      <c r="D231" s="1192"/>
      <c r="E231" s="1192"/>
      <c r="F231" s="1192"/>
      <c r="G231" s="1192"/>
      <c r="H231" s="1192"/>
      <c r="I231" s="1192"/>
      <c r="J231" s="1192"/>
      <c r="K231" s="1192"/>
      <c r="L231" s="1192"/>
      <c r="M231" s="1192"/>
      <c r="N231" s="1192"/>
      <c r="O231" s="1192"/>
      <c r="P231" s="1192"/>
      <c r="Q231" s="1192"/>
      <c r="R231" s="1192"/>
      <c r="S231" s="1192"/>
      <c r="T231" s="1192"/>
      <c r="U231" s="1192"/>
      <c r="V231" s="1192"/>
      <c r="W231" s="1192"/>
      <c r="X231" s="1192"/>
      <c r="Y231" s="1192"/>
      <c r="Z231" s="1192"/>
      <c r="AA231" s="1192"/>
      <c r="AB231" s="1192"/>
      <c r="AC231" s="1192"/>
      <c r="AD231" s="1192"/>
      <c r="AE231" s="1192"/>
      <c r="AF231" s="1192"/>
      <c r="AG231" s="1192"/>
      <c r="AH231" s="1192"/>
      <c r="AI231" s="1192"/>
      <c r="AJ231" s="1192"/>
      <c r="AK231" s="1192"/>
      <c r="AL231" s="1192"/>
      <c r="AM231" s="1192"/>
      <c r="AN231" s="1192"/>
      <c r="AO231" s="1192"/>
      <c r="AP231" s="1192"/>
      <c r="AQ231" s="1192"/>
      <c r="AR231" s="1192"/>
      <c r="AS231" s="1192"/>
      <c r="AT231" s="1192"/>
      <c r="AU231" s="1192"/>
      <c r="AV231" s="1192"/>
      <c r="AW231" s="1192"/>
      <c r="AX231" s="1192"/>
      <c r="AY231" s="1192"/>
      <c r="AZ231" s="1192"/>
      <c r="BA231" s="1192"/>
      <c r="BB231" s="1192"/>
      <c r="BC231" s="1192"/>
      <c r="BD231" s="1196"/>
      <c r="BE231" s="1196"/>
    </row>
    <row r="232" spans="1:57" ht="15.75" customHeight="1">
      <c r="A232" s="1192"/>
      <c r="B232" s="1238"/>
      <c r="C232" s="1192"/>
      <c r="D232" s="1192"/>
      <c r="E232" s="1192"/>
      <c r="F232" s="1192"/>
      <c r="G232" s="1192"/>
      <c r="H232" s="2331" t="s">
        <v>2290</v>
      </c>
      <c r="I232" s="2331"/>
      <c r="J232" s="2331"/>
      <c r="K232" s="2331"/>
      <c r="L232" s="2331"/>
      <c r="M232" s="2331"/>
      <c r="N232" s="2331"/>
      <c r="O232" s="2331"/>
      <c r="P232" s="2331"/>
      <c r="Q232" s="2331"/>
      <c r="R232" s="2331"/>
      <c r="S232" s="2331"/>
      <c r="T232" s="2331"/>
      <c r="U232" s="2331"/>
      <c r="V232" s="2331"/>
      <c r="W232" s="2331"/>
      <c r="X232" s="2331"/>
      <c r="Y232" s="2331"/>
      <c r="Z232" s="2331"/>
      <c r="AA232" s="2331"/>
      <c r="AB232" s="2331"/>
      <c r="AC232" s="2331"/>
      <c r="AD232" s="2331"/>
      <c r="AE232" s="2331"/>
      <c r="AF232" s="2331"/>
      <c r="AG232" s="2331"/>
      <c r="AH232" s="2331"/>
      <c r="AI232" s="2331"/>
      <c r="AJ232" s="2331"/>
      <c r="AK232" s="2331"/>
      <c r="AL232" s="2331"/>
      <c r="AM232" s="2331"/>
      <c r="AN232" s="2331"/>
      <c r="AO232" s="2331"/>
      <c r="AP232" s="2331"/>
      <c r="AQ232" s="2331"/>
      <c r="AR232" s="2331"/>
      <c r="AS232" s="2331"/>
      <c r="AT232" s="2331"/>
      <c r="AU232" s="2331"/>
      <c r="AV232" s="2331"/>
      <c r="AW232" s="2331"/>
      <c r="AX232" s="2331"/>
      <c r="AY232" s="2331"/>
      <c r="AZ232" s="2331"/>
      <c r="BA232" s="1192"/>
      <c r="BB232" s="1192"/>
      <c r="BC232" s="1192"/>
      <c r="BD232" s="1196"/>
      <c r="BE232" s="1196"/>
    </row>
    <row r="233" spans="1:57" ht="15.75" customHeight="1">
      <c r="A233" s="1192"/>
      <c r="B233" s="1191"/>
      <c r="C233" s="1192"/>
      <c r="D233" s="1192"/>
      <c r="E233" s="1192"/>
      <c r="F233" s="1192"/>
      <c r="G233" s="1192"/>
      <c r="H233" s="2331"/>
      <c r="I233" s="2331"/>
      <c r="J233" s="2331"/>
      <c r="K233" s="2331"/>
      <c r="L233" s="2331"/>
      <c r="M233" s="2331"/>
      <c r="N233" s="2331"/>
      <c r="O233" s="2331"/>
      <c r="P233" s="2331"/>
      <c r="Q233" s="2331"/>
      <c r="R233" s="2331"/>
      <c r="S233" s="2331"/>
      <c r="T233" s="2331"/>
      <c r="U233" s="2331"/>
      <c r="V233" s="2331"/>
      <c r="W233" s="2331"/>
      <c r="X233" s="2331"/>
      <c r="Y233" s="2331"/>
      <c r="Z233" s="2331"/>
      <c r="AA233" s="2331"/>
      <c r="AB233" s="2331"/>
      <c r="AC233" s="2331"/>
      <c r="AD233" s="2331"/>
      <c r="AE233" s="2331"/>
      <c r="AF233" s="2331"/>
      <c r="AG233" s="2331"/>
      <c r="AH233" s="2331"/>
      <c r="AI233" s="2331"/>
      <c r="AJ233" s="2331"/>
      <c r="AK233" s="2331"/>
      <c r="AL233" s="2331"/>
      <c r="AM233" s="2331"/>
      <c r="AN233" s="2331"/>
      <c r="AO233" s="2331"/>
      <c r="AP233" s="2331"/>
      <c r="AQ233" s="2331"/>
      <c r="AR233" s="2331"/>
      <c r="AS233" s="2331"/>
      <c r="AT233" s="2331"/>
      <c r="AU233" s="2331"/>
      <c r="AV233" s="2331"/>
      <c r="AW233" s="2331"/>
      <c r="AX233" s="2331"/>
      <c r="AY233" s="2331"/>
      <c r="AZ233" s="2331"/>
      <c r="BA233" s="1192"/>
      <c r="BB233" s="1192"/>
      <c r="BC233" s="1192"/>
      <c r="BD233" s="1196"/>
      <c r="BE233" s="1196"/>
    </row>
    <row r="234" spans="1:57" ht="15.75" customHeight="1">
      <c r="A234" s="1192"/>
      <c r="B234" s="1191"/>
      <c r="C234" s="1192"/>
      <c r="D234" s="1192"/>
      <c r="E234" s="1192"/>
      <c r="F234" s="1192"/>
      <c r="G234" s="1192"/>
      <c r="H234" s="2331"/>
      <c r="I234" s="2331"/>
      <c r="J234" s="2331"/>
      <c r="K234" s="2331"/>
      <c r="L234" s="2331"/>
      <c r="M234" s="2331"/>
      <c r="N234" s="2331"/>
      <c r="O234" s="2331"/>
      <c r="P234" s="2331"/>
      <c r="Q234" s="2331"/>
      <c r="R234" s="2331"/>
      <c r="S234" s="2331"/>
      <c r="T234" s="2331"/>
      <c r="U234" s="2331"/>
      <c r="V234" s="2331"/>
      <c r="W234" s="2331"/>
      <c r="X234" s="2331"/>
      <c r="Y234" s="2331"/>
      <c r="Z234" s="2331"/>
      <c r="AA234" s="2331"/>
      <c r="AB234" s="2331"/>
      <c r="AC234" s="2331"/>
      <c r="AD234" s="2331"/>
      <c r="AE234" s="2331"/>
      <c r="AF234" s="2331"/>
      <c r="AG234" s="2331"/>
      <c r="AH234" s="2331"/>
      <c r="AI234" s="2331"/>
      <c r="AJ234" s="2331"/>
      <c r="AK234" s="2331"/>
      <c r="AL234" s="2331"/>
      <c r="AM234" s="2331"/>
      <c r="AN234" s="2331"/>
      <c r="AO234" s="2331"/>
      <c r="AP234" s="2331"/>
      <c r="AQ234" s="2331"/>
      <c r="AR234" s="2331"/>
      <c r="AS234" s="2331"/>
      <c r="AT234" s="2331"/>
      <c r="AU234" s="2331"/>
      <c r="AV234" s="2331"/>
      <c r="AW234" s="2331"/>
      <c r="AX234" s="2331"/>
      <c r="AY234" s="2331"/>
      <c r="AZ234" s="2331"/>
      <c r="BA234" s="1192"/>
      <c r="BB234" s="1192"/>
      <c r="BC234" s="1192"/>
      <c r="BD234" s="1196"/>
      <c r="BE234" s="1196"/>
    </row>
    <row r="235" spans="1:57" ht="15.75" customHeight="1">
      <c r="A235" s="1192"/>
      <c r="B235" s="1191"/>
      <c r="C235" s="1192"/>
      <c r="D235" s="1192"/>
      <c r="E235" s="1192"/>
      <c r="F235" s="1192"/>
      <c r="G235" s="1192"/>
      <c r="H235" s="2331"/>
      <c r="I235" s="2331"/>
      <c r="J235" s="2331"/>
      <c r="K235" s="2331"/>
      <c r="L235" s="2331"/>
      <c r="M235" s="2331"/>
      <c r="N235" s="2331"/>
      <c r="O235" s="2331"/>
      <c r="P235" s="2331"/>
      <c r="Q235" s="2331"/>
      <c r="R235" s="2331"/>
      <c r="S235" s="2331"/>
      <c r="T235" s="2331"/>
      <c r="U235" s="2331"/>
      <c r="V235" s="2331"/>
      <c r="W235" s="2331"/>
      <c r="X235" s="2331"/>
      <c r="Y235" s="2331"/>
      <c r="Z235" s="2331"/>
      <c r="AA235" s="2331"/>
      <c r="AB235" s="2331"/>
      <c r="AC235" s="2331"/>
      <c r="AD235" s="2331"/>
      <c r="AE235" s="2331"/>
      <c r="AF235" s="2331"/>
      <c r="AG235" s="2331"/>
      <c r="AH235" s="2331"/>
      <c r="AI235" s="2331"/>
      <c r="AJ235" s="2331"/>
      <c r="AK235" s="2331"/>
      <c r="AL235" s="2331"/>
      <c r="AM235" s="2331"/>
      <c r="AN235" s="2331"/>
      <c r="AO235" s="2331"/>
      <c r="AP235" s="2331"/>
      <c r="AQ235" s="2331"/>
      <c r="AR235" s="2331"/>
      <c r="AS235" s="2331"/>
      <c r="AT235" s="2331"/>
      <c r="AU235" s="2331"/>
      <c r="AV235" s="2331"/>
      <c r="AW235" s="2331"/>
      <c r="AX235" s="2331"/>
      <c r="AY235" s="2331"/>
      <c r="AZ235" s="2331"/>
      <c r="BA235" s="1192"/>
      <c r="BB235" s="1192"/>
      <c r="BC235" s="1192"/>
      <c r="BD235" s="1196"/>
      <c r="BE235" s="1196"/>
    </row>
    <row r="236" spans="1:57" ht="15.75" customHeight="1">
      <c r="A236" s="1192"/>
      <c r="B236" s="1191"/>
      <c r="C236" s="1192"/>
      <c r="D236" s="1192"/>
      <c r="E236" s="1192"/>
      <c r="F236" s="1192"/>
      <c r="G236" s="1192"/>
      <c r="H236" s="1192"/>
      <c r="I236" s="1192"/>
      <c r="J236" s="1192"/>
      <c r="K236" s="1192"/>
      <c r="L236" s="1192"/>
      <c r="M236" s="1192"/>
      <c r="N236" s="1192"/>
      <c r="O236" s="1192"/>
      <c r="P236" s="1192"/>
      <c r="Q236" s="1192"/>
      <c r="R236" s="1192"/>
      <c r="S236" s="1192"/>
      <c r="T236" s="1192"/>
      <c r="U236" s="1192"/>
      <c r="V236" s="1192"/>
      <c r="W236" s="1192"/>
      <c r="X236" s="1192"/>
      <c r="Y236" s="1192"/>
      <c r="Z236" s="1192"/>
      <c r="AA236" s="1192"/>
      <c r="AB236" s="1192"/>
      <c r="AC236" s="1192"/>
      <c r="AD236" s="1192"/>
      <c r="AE236" s="1192"/>
      <c r="AF236" s="1192"/>
      <c r="AG236" s="1192"/>
      <c r="AH236" s="1192"/>
      <c r="AI236" s="1192"/>
      <c r="AJ236" s="1192"/>
      <c r="AK236" s="1192"/>
      <c r="AL236" s="1192"/>
      <c r="AM236" s="1192"/>
      <c r="AN236" s="1192"/>
      <c r="AO236" s="1192"/>
      <c r="AP236" s="1192"/>
      <c r="AQ236" s="1192"/>
      <c r="AR236" s="1192"/>
      <c r="AS236" s="1192"/>
      <c r="AT236" s="1192"/>
      <c r="AU236" s="1192"/>
      <c r="AV236" s="1192"/>
      <c r="AW236" s="1192"/>
      <c r="AX236" s="1192"/>
      <c r="AY236" s="1192"/>
      <c r="AZ236" s="1192"/>
      <c r="BA236" s="1192"/>
      <c r="BB236" s="1192"/>
      <c r="BC236" s="1192"/>
      <c r="BD236" s="1196"/>
      <c r="BE236" s="1196"/>
    </row>
    <row r="237" spans="1:57" ht="15.75" customHeight="1" thickBot="1">
      <c r="A237" s="1192"/>
      <c r="B237" s="1239"/>
      <c r="C237" s="1240"/>
      <c r="D237" s="1240"/>
      <c r="E237" s="1240"/>
      <c r="F237" s="1240"/>
      <c r="G237" s="1240"/>
      <c r="H237" s="2332" t="s">
        <v>2289</v>
      </c>
      <c r="I237" s="2332"/>
      <c r="J237" s="2332"/>
      <c r="K237" s="2332"/>
      <c r="L237" s="2332"/>
      <c r="M237" s="2332"/>
      <c r="N237" s="2332"/>
      <c r="O237" s="2332"/>
      <c r="P237" s="2332"/>
      <c r="Q237" s="2332"/>
      <c r="R237" s="2332"/>
      <c r="S237" s="2332"/>
      <c r="T237" s="2332"/>
      <c r="U237" s="2332"/>
      <c r="V237" s="2332"/>
      <c r="W237" s="2332"/>
      <c r="X237" s="2332"/>
      <c r="Y237" s="2332"/>
      <c r="Z237" s="2332"/>
      <c r="AA237" s="2332"/>
      <c r="AB237" s="2332"/>
      <c r="AC237" s="2332"/>
      <c r="AD237" s="2332"/>
      <c r="AE237" s="2332"/>
      <c r="AF237" s="2332"/>
      <c r="AG237" s="2332"/>
      <c r="AH237" s="2332"/>
      <c r="AI237" s="2332"/>
      <c r="AJ237" s="2332"/>
      <c r="AK237" s="2332"/>
      <c r="AL237" s="2332"/>
      <c r="AM237" s="2332"/>
      <c r="AN237" s="2332"/>
      <c r="AO237" s="2332"/>
      <c r="AP237" s="2332"/>
      <c r="AQ237" s="2332"/>
      <c r="AR237" s="2332"/>
      <c r="AS237" s="2332"/>
      <c r="AT237" s="2332"/>
      <c r="AU237" s="2332"/>
      <c r="AV237" s="2332"/>
      <c r="AW237" s="1240"/>
      <c r="AX237" s="1240"/>
      <c r="AY237" s="1240"/>
      <c r="AZ237" s="1240"/>
      <c r="BA237" s="1240"/>
      <c r="BB237" s="1240"/>
      <c r="BC237" s="1240"/>
      <c r="BD237" s="1241"/>
      <c r="BE237" s="1196"/>
    </row>
    <row r="238" spans="1:57" ht="15.75" customHeight="1" thickBot="1">
      <c r="A238" s="1192"/>
      <c r="B238" s="1242"/>
      <c r="C238" s="1243"/>
      <c r="D238" s="1243"/>
      <c r="E238" s="1243"/>
      <c r="F238" s="1243"/>
      <c r="G238" s="1243"/>
      <c r="H238" s="1243"/>
      <c r="I238" s="1243"/>
      <c r="J238" s="1243"/>
      <c r="K238" s="1243"/>
      <c r="L238" s="1243"/>
      <c r="M238" s="1243"/>
      <c r="N238" s="1243"/>
      <c r="O238" s="1243"/>
      <c r="P238" s="1243"/>
      <c r="Q238" s="1243"/>
      <c r="R238" s="1243"/>
      <c r="S238" s="1243"/>
      <c r="T238" s="1243"/>
      <c r="U238" s="1243"/>
      <c r="V238" s="1243"/>
      <c r="W238" s="1243"/>
      <c r="X238" s="1243"/>
      <c r="Y238" s="1243"/>
      <c r="Z238" s="1243"/>
      <c r="AA238" s="1243"/>
      <c r="AB238" s="1243"/>
      <c r="AC238" s="1243"/>
      <c r="AD238" s="1243"/>
      <c r="AE238" s="1243"/>
      <c r="AF238" s="1243"/>
      <c r="AG238" s="1243"/>
      <c r="AH238" s="1243"/>
      <c r="AI238" s="1243"/>
      <c r="AJ238" s="1243"/>
      <c r="AK238" s="1243"/>
      <c r="AL238" s="1243"/>
      <c r="AM238" s="1243"/>
      <c r="AN238" s="1243"/>
      <c r="AO238" s="1243"/>
      <c r="AP238" s="1243"/>
      <c r="AQ238" s="1243"/>
      <c r="AR238" s="1243"/>
      <c r="AS238" s="1243"/>
      <c r="AT238" s="1243"/>
      <c r="AU238" s="1243"/>
      <c r="AV238" s="1243"/>
      <c r="AW238" s="1243"/>
      <c r="AX238" s="1243"/>
      <c r="AY238" s="1243"/>
      <c r="AZ238" s="1243"/>
      <c r="BA238" s="1243"/>
      <c r="BB238" s="1243"/>
      <c r="BC238" s="1243"/>
      <c r="BD238" s="1244"/>
      <c r="BE238" s="1196"/>
    </row>
    <row r="239" spans="1:57" ht="30" customHeight="1" thickBot="1">
      <c r="A239" s="1192"/>
      <c r="B239" s="1242"/>
      <c r="C239" s="1243"/>
      <c r="D239" s="1243"/>
      <c r="E239" s="1243"/>
      <c r="F239" s="1243"/>
      <c r="G239" s="1243"/>
      <c r="H239" s="2322" t="s">
        <v>2288</v>
      </c>
      <c r="I239" s="2322"/>
      <c r="J239" s="2322"/>
      <c r="K239" s="2322"/>
      <c r="L239" s="1243"/>
      <c r="M239" s="1243"/>
      <c r="N239" s="1243"/>
      <c r="O239" s="1243"/>
      <c r="P239" s="1243"/>
      <c r="Q239" s="1243"/>
      <c r="R239" s="1243"/>
      <c r="S239" s="2333"/>
      <c r="T239" s="2334"/>
      <c r="U239" s="2334"/>
      <c r="V239" s="2334"/>
      <c r="W239" s="2334"/>
      <c r="X239" s="2334"/>
      <c r="Y239" s="2334"/>
      <c r="Z239" s="2334"/>
      <c r="AA239" s="2334"/>
      <c r="AB239" s="2334"/>
      <c r="AC239" s="2334"/>
      <c r="AD239" s="2334"/>
      <c r="AE239" s="2334"/>
      <c r="AF239" s="2334"/>
      <c r="AG239" s="2334"/>
      <c r="AH239" s="2334"/>
      <c r="AI239" s="2334"/>
      <c r="AJ239" s="2335"/>
      <c r="AK239" s="1243"/>
      <c r="AL239" s="1243"/>
      <c r="AM239" s="1243"/>
      <c r="AN239" s="1243"/>
      <c r="AO239" s="1243"/>
      <c r="AP239" s="1243"/>
      <c r="AQ239" s="1243"/>
      <c r="AR239" s="1243"/>
      <c r="AS239" s="1243"/>
      <c r="AT239" s="1243"/>
      <c r="AU239" s="1243"/>
      <c r="AV239" s="1243"/>
      <c r="AW239" s="1243"/>
      <c r="AX239" s="1243"/>
      <c r="AY239" s="1243"/>
      <c r="AZ239" s="1243"/>
      <c r="BA239" s="1243"/>
      <c r="BB239" s="1243"/>
      <c r="BC239" s="1243"/>
      <c r="BD239" s="1244"/>
      <c r="BE239" s="1196"/>
    </row>
    <row r="240" spans="1:57" ht="15.75" customHeight="1" thickBot="1">
      <c r="A240" s="1192"/>
      <c r="B240" s="1242"/>
      <c r="C240" s="1243"/>
      <c r="D240" s="1243"/>
      <c r="E240" s="1243"/>
      <c r="F240" s="1243"/>
      <c r="G240" s="1243"/>
      <c r="H240" s="1245"/>
      <c r="I240" s="1245"/>
      <c r="J240" s="1245"/>
      <c r="K240" s="1245"/>
      <c r="L240" s="1243"/>
      <c r="M240" s="1243"/>
      <c r="N240" s="1243"/>
      <c r="O240" s="1243"/>
      <c r="P240" s="1243"/>
      <c r="Q240" s="1243"/>
      <c r="R240" s="1243"/>
      <c r="S240" s="1243"/>
      <c r="T240" s="1243"/>
      <c r="U240" s="1243"/>
      <c r="V240" s="1243"/>
      <c r="W240" s="1243"/>
      <c r="X240" s="1243"/>
      <c r="Y240" s="1243"/>
      <c r="Z240" s="1243"/>
      <c r="AA240" s="1243"/>
      <c r="AB240" s="1243"/>
      <c r="AC240" s="1243"/>
      <c r="AD240" s="1243"/>
      <c r="AE240" s="1243"/>
      <c r="AF240" s="1243"/>
      <c r="AG240" s="1243"/>
      <c r="AH240" s="1243"/>
      <c r="AI240" s="1243"/>
      <c r="AJ240" s="1243"/>
      <c r="AK240" s="1243"/>
      <c r="AL240" s="1243"/>
      <c r="AM240" s="1243"/>
      <c r="AN240" s="1243"/>
      <c r="AO240" s="1243"/>
      <c r="AP240" s="1243"/>
      <c r="AQ240" s="1243"/>
      <c r="AR240" s="1243"/>
      <c r="AS240" s="1243"/>
      <c r="AT240" s="1243"/>
      <c r="AU240" s="1243"/>
      <c r="AV240" s="1243"/>
      <c r="AW240" s="1243"/>
      <c r="AX240" s="1243"/>
      <c r="AY240" s="1243"/>
      <c r="AZ240" s="1243"/>
      <c r="BA240" s="1243"/>
      <c r="BB240" s="1243"/>
      <c r="BC240" s="1243"/>
      <c r="BD240" s="1244"/>
      <c r="BE240" s="1196"/>
    </row>
    <row r="241" spans="1:57" ht="15.75" customHeight="1" thickBot="1">
      <c r="A241" s="1192"/>
      <c r="B241" s="1242"/>
      <c r="C241" s="1243"/>
      <c r="D241" s="1243"/>
      <c r="E241" s="1243"/>
      <c r="F241" s="1243"/>
      <c r="G241" s="1243"/>
      <c r="H241" s="2322" t="s">
        <v>2287</v>
      </c>
      <c r="I241" s="2322"/>
      <c r="J241" s="2322"/>
      <c r="K241" s="1245"/>
      <c r="L241" s="1243"/>
      <c r="M241" s="1243"/>
      <c r="N241" s="1243"/>
      <c r="O241" s="1243"/>
      <c r="P241" s="1243"/>
      <c r="Q241" s="1243"/>
      <c r="R241" s="1243"/>
      <c r="S241" s="2323"/>
      <c r="T241" s="2324"/>
      <c r="U241" s="2324"/>
      <c r="V241" s="2324"/>
      <c r="W241" s="2324"/>
      <c r="X241" s="2324"/>
      <c r="Y241" s="2324"/>
      <c r="Z241" s="2324"/>
      <c r="AA241" s="2324"/>
      <c r="AB241" s="2324"/>
      <c r="AC241" s="2324"/>
      <c r="AD241" s="2324"/>
      <c r="AE241" s="2324"/>
      <c r="AF241" s="2324"/>
      <c r="AG241" s="2324"/>
      <c r="AH241" s="2324"/>
      <c r="AI241" s="2324"/>
      <c r="AJ241" s="2325"/>
      <c r="AK241" s="1243"/>
      <c r="AL241" s="1243"/>
      <c r="AM241" s="1243"/>
      <c r="AN241" s="1243"/>
      <c r="AO241" s="1243"/>
      <c r="AP241" s="1243"/>
      <c r="AQ241" s="1243"/>
      <c r="AR241" s="1243"/>
      <c r="AS241" s="1243"/>
      <c r="AT241" s="1243"/>
      <c r="AU241" s="1243"/>
      <c r="AV241" s="1243"/>
      <c r="AW241" s="1243"/>
      <c r="AX241" s="1243"/>
      <c r="AY241" s="1243"/>
      <c r="AZ241" s="1243"/>
      <c r="BA241" s="1243"/>
      <c r="BB241" s="1243"/>
      <c r="BC241" s="1243"/>
      <c r="BD241" s="1244"/>
      <c r="BE241" s="1196"/>
    </row>
    <row r="242" spans="1:57" ht="15.75" customHeight="1" thickBot="1">
      <c r="A242" s="1192"/>
      <c r="B242" s="1242"/>
      <c r="C242" s="1243"/>
      <c r="D242" s="1243"/>
      <c r="E242" s="1243"/>
      <c r="F242" s="1243"/>
      <c r="G242" s="1243"/>
      <c r="H242" s="1245"/>
      <c r="I242" s="1245"/>
      <c r="J242" s="1245"/>
      <c r="K242" s="1245"/>
      <c r="L242" s="1243"/>
      <c r="M242" s="1243"/>
      <c r="N242" s="1243"/>
      <c r="O242" s="1243"/>
      <c r="P242" s="1243"/>
      <c r="Q242" s="1243"/>
      <c r="R242" s="1243"/>
      <c r="S242" s="1243"/>
      <c r="T242" s="1243"/>
      <c r="U242" s="1243"/>
      <c r="V242" s="1243"/>
      <c r="W242" s="1243"/>
      <c r="X242" s="1243"/>
      <c r="Y242" s="1243"/>
      <c r="Z242" s="1243"/>
      <c r="AA242" s="1243"/>
      <c r="AB242" s="1243"/>
      <c r="AC242" s="1243"/>
      <c r="AD242" s="1243"/>
      <c r="AE242" s="1243"/>
      <c r="AF242" s="1243"/>
      <c r="AG242" s="1243"/>
      <c r="AH242" s="1243"/>
      <c r="AI242" s="1243"/>
      <c r="AJ242" s="1243"/>
      <c r="AK242" s="1243"/>
      <c r="AL242" s="1243"/>
      <c r="AM242" s="1243"/>
      <c r="AN242" s="1243"/>
      <c r="AO242" s="1243"/>
      <c r="AP242" s="1243"/>
      <c r="AQ242" s="1243"/>
      <c r="AR242" s="1243"/>
      <c r="AS242" s="1243"/>
      <c r="AT242" s="1243"/>
      <c r="AU242" s="1243"/>
      <c r="AV242" s="1243"/>
      <c r="AW242" s="1243"/>
      <c r="AX242" s="1243"/>
      <c r="AY242" s="1243"/>
      <c r="AZ242" s="1243"/>
      <c r="BA242" s="1243"/>
      <c r="BB242" s="1243"/>
      <c r="BC242" s="1243"/>
      <c r="BD242" s="1244"/>
      <c r="BE242" s="1196"/>
    </row>
    <row r="243" spans="1:57" ht="15.75" customHeight="1" thickBot="1">
      <c r="A243" s="1192"/>
      <c r="B243" s="1242"/>
      <c r="C243" s="1243"/>
      <c r="D243" s="1243"/>
      <c r="E243" s="1243"/>
      <c r="F243" s="1243"/>
      <c r="G243" s="1243"/>
      <c r="H243" s="2322" t="s">
        <v>441</v>
      </c>
      <c r="I243" s="2322"/>
      <c r="J243" s="1245"/>
      <c r="K243" s="1245"/>
      <c r="L243" s="1243"/>
      <c r="M243" s="1243"/>
      <c r="N243" s="1243"/>
      <c r="O243" s="1243"/>
      <c r="P243" s="1243"/>
      <c r="Q243" s="1243"/>
      <c r="R243" s="1243"/>
      <c r="S243" s="2323"/>
      <c r="T243" s="2324"/>
      <c r="U243" s="2324"/>
      <c r="V243" s="2324"/>
      <c r="W243" s="2324"/>
      <c r="X243" s="2324"/>
      <c r="Y243" s="2324"/>
      <c r="Z243" s="2324"/>
      <c r="AA243" s="2324"/>
      <c r="AB243" s="2324"/>
      <c r="AC243" s="2324"/>
      <c r="AD243" s="2324"/>
      <c r="AE243" s="2324"/>
      <c r="AF243" s="2324"/>
      <c r="AG243" s="2324"/>
      <c r="AH243" s="2324"/>
      <c r="AI243" s="2324"/>
      <c r="AJ243" s="2325"/>
      <c r="AK243" s="1243"/>
      <c r="AL243" s="1243"/>
      <c r="AM243" s="1243"/>
      <c r="AN243" s="1243"/>
      <c r="AO243" s="1243"/>
      <c r="AP243" s="1243"/>
      <c r="AQ243" s="1243"/>
      <c r="AR243" s="1243"/>
      <c r="AS243" s="1243"/>
      <c r="AT243" s="1243"/>
      <c r="AU243" s="1243"/>
      <c r="AV243" s="1243"/>
      <c r="AW243" s="1243"/>
      <c r="AX243" s="1243"/>
      <c r="AY243" s="1243"/>
      <c r="AZ243" s="1243"/>
      <c r="BA243" s="1243"/>
      <c r="BB243" s="1243"/>
      <c r="BC243" s="1243"/>
      <c r="BD243" s="1244"/>
      <c r="BE243" s="1196"/>
    </row>
    <row r="244" spans="1:57" ht="15.75" customHeight="1" thickBot="1">
      <c r="A244" s="1192"/>
      <c r="B244" s="1242"/>
      <c r="C244" s="1243"/>
      <c r="D244" s="1243"/>
      <c r="E244" s="1243"/>
      <c r="F244" s="1243"/>
      <c r="G244" s="1243"/>
      <c r="H244" s="1243"/>
      <c r="I244" s="1243"/>
      <c r="J244" s="1243"/>
      <c r="K244" s="1243"/>
      <c r="L244" s="1243"/>
      <c r="M244" s="1243"/>
      <c r="N244" s="1243"/>
      <c r="O244" s="1243"/>
      <c r="P244" s="1243"/>
      <c r="Q244" s="1243"/>
      <c r="R244" s="1243"/>
      <c r="S244" s="1243"/>
      <c r="T244" s="1243"/>
      <c r="U244" s="1243"/>
      <c r="V244" s="1243"/>
      <c r="W244" s="1243"/>
      <c r="X244" s="1243"/>
      <c r="Y244" s="1243"/>
      <c r="Z244" s="1243"/>
      <c r="AA244" s="1243"/>
      <c r="AB244" s="1243"/>
      <c r="AC244" s="1243"/>
      <c r="AD244" s="1243"/>
      <c r="AE244" s="1243"/>
      <c r="AF244" s="1243"/>
      <c r="AG244" s="1243"/>
      <c r="AH244" s="1243"/>
      <c r="AI244" s="1243"/>
      <c r="AJ244" s="1243"/>
      <c r="AK244" s="1243"/>
      <c r="AL244" s="1243"/>
      <c r="AM244" s="1243"/>
      <c r="AN244" s="1243"/>
      <c r="AO244" s="1243"/>
      <c r="AP244" s="1243"/>
      <c r="AQ244" s="1243"/>
      <c r="AR244" s="1243"/>
      <c r="AS244" s="1243"/>
      <c r="AT244" s="1243"/>
      <c r="AU244" s="1243"/>
      <c r="AV244" s="1243"/>
      <c r="AW244" s="1243"/>
      <c r="AX244" s="1243"/>
      <c r="AY244" s="1243"/>
      <c r="AZ244" s="1243"/>
      <c r="BA244" s="1243"/>
      <c r="BB244" s="1243"/>
      <c r="BC244" s="1243"/>
      <c r="BD244" s="1244"/>
      <c r="BE244" s="1196"/>
    </row>
    <row r="245" spans="1:57" ht="15.75" customHeight="1" thickBot="1">
      <c r="A245" s="1192"/>
      <c r="B245" s="1242"/>
      <c r="C245" s="1243"/>
      <c r="D245" s="1243"/>
      <c r="E245" s="1243"/>
      <c r="F245" s="1243"/>
      <c r="G245" s="1243"/>
      <c r="H245" s="2326" t="s">
        <v>2286</v>
      </c>
      <c r="I245" s="2326"/>
      <c r="J245" s="2326"/>
      <c r="K245" s="2326"/>
      <c r="L245" s="2326"/>
      <c r="M245" s="2326"/>
      <c r="N245" s="2326"/>
      <c r="O245" s="2326"/>
      <c r="P245" s="1243"/>
      <c r="Q245" s="1243"/>
      <c r="R245" s="1243"/>
      <c r="S245" s="2323"/>
      <c r="T245" s="2324"/>
      <c r="U245" s="2324"/>
      <c r="V245" s="2324"/>
      <c r="W245" s="2324"/>
      <c r="X245" s="2324"/>
      <c r="Y245" s="2324"/>
      <c r="Z245" s="2324"/>
      <c r="AA245" s="2324"/>
      <c r="AB245" s="2324"/>
      <c r="AC245" s="2324"/>
      <c r="AD245" s="2324"/>
      <c r="AE245" s="2324"/>
      <c r="AF245" s="2324"/>
      <c r="AG245" s="2324"/>
      <c r="AH245" s="2324"/>
      <c r="AI245" s="2324"/>
      <c r="AJ245" s="2325"/>
      <c r="AK245" s="1243"/>
      <c r="AL245" s="1243"/>
      <c r="AM245" s="1243"/>
      <c r="AN245" s="1243"/>
      <c r="AO245" s="1243"/>
      <c r="AP245" s="1243"/>
      <c r="AQ245" s="1243"/>
      <c r="AR245" s="1243"/>
      <c r="AS245" s="1243"/>
      <c r="AT245" s="1243"/>
      <c r="AU245" s="1243"/>
      <c r="AV245" s="1243"/>
      <c r="AW245" s="1243"/>
      <c r="AX245" s="1243"/>
      <c r="AY245" s="1243"/>
      <c r="AZ245" s="1243"/>
      <c r="BA245" s="1243"/>
      <c r="BB245" s="1243"/>
      <c r="BC245" s="1243"/>
      <c r="BD245" s="1244"/>
      <c r="BE245" s="1196"/>
    </row>
    <row r="246" spans="1:57" ht="15.75" customHeight="1" thickBot="1">
      <c r="A246" s="1192"/>
      <c r="B246" s="1242"/>
      <c r="C246" s="1243"/>
      <c r="D246" s="1243"/>
      <c r="E246" s="1243"/>
      <c r="F246" s="1243"/>
      <c r="G246" s="1243"/>
      <c r="H246" s="1243"/>
      <c r="I246" s="1243"/>
      <c r="J246" s="1243"/>
      <c r="K246" s="1243"/>
      <c r="L246" s="1243"/>
      <c r="M246" s="1243"/>
      <c r="N246" s="1243"/>
      <c r="O246" s="1243"/>
      <c r="P246" s="1243"/>
      <c r="Q246" s="1243"/>
      <c r="R246" s="1243"/>
      <c r="S246" s="1243"/>
      <c r="T246" s="1243"/>
      <c r="U246" s="1243"/>
      <c r="V246" s="1243"/>
      <c r="W246" s="1243"/>
      <c r="X246" s="1243"/>
      <c r="Y246" s="1243"/>
      <c r="Z246" s="1243"/>
      <c r="AA246" s="1243"/>
      <c r="AB246" s="1243"/>
      <c r="AC246" s="1243"/>
      <c r="AD246" s="1243"/>
      <c r="AE246" s="1243"/>
      <c r="AF246" s="1243"/>
      <c r="AG246" s="1243"/>
      <c r="AH246" s="1243"/>
      <c r="AI246" s="1243"/>
      <c r="AJ246" s="1243"/>
      <c r="AK246" s="1243"/>
      <c r="AL246" s="1243"/>
      <c r="AM246" s="1243"/>
      <c r="AN246" s="1243"/>
      <c r="AO246" s="1243"/>
      <c r="AP246" s="1243"/>
      <c r="AQ246" s="1243"/>
      <c r="AR246" s="1243"/>
      <c r="AS246" s="1243"/>
      <c r="AT246" s="1243"/>
      <c r="AU246" s="1243"/>
      <c r="AV246" s="1243"/>
      <c r="AW246" s="1243"/>
      <c r="AX246" s="1243"/>
      <c r="AY246" s="1243"/>
      <c r="AZ246" s="1243"/>
      <c r="BA246" s="1243"/>
      <c r="BB246" s="1243"/>
      <c r="BC246" s="1243"/>
      <c r="BD246" s="1244"/>
      <c r="BE246" s="1196"/>
    </row>
    <row r="247" spans="1:57" ht="15.75" customHeight="1" thickBot="1">
      <c r="A247" s="1192"/>
      <c r="B247" s="1242"/>
      <c r="C247" s="1243"/>
      <c r="D247" s="1243"/>
      <c r="E247" s="1243"/>
      <c r="F247" s="1243"/>
      <c r="G247" s="1243"/>
      <c r="H247" s="2327" t="s">
        <v>2285</v>
      </c>
      <c r="I247" s="2327"/>
      <c r="J247" s="1243"/>
      <c r="K247" s="1243"/>
      <c r="L247" s="1243"/>
      <c r="M247" s="1243"/>
      <c r="N247" s="1243"/>
      <c r="O247" s="1243"/>
      <c r="P247" s="1243"/>
      <c r="Q247" s="1243"/>
      <c r="R247" s="1243"/>
      <c r="S247" s="2328"/>
      <c r="T247" s="2329"/>
      <c r="U247" s="2329"/>
      <c r="V247" s="2329"/>
      <c r="W247" s="2329"/>
      <c r="X247" s="2329"/>
      <c r="Y247" s="2329"/>
      <c r="Z247" s="2329"/>
      <c r="AA247" s="2329"/>
      <c r="AB247" s="2329"/>
      <c r="AC247" s="2329"/>
      <c r="AD247" s="2329"/>
      <c r="AE247" s="2329"/>
      <c r="AF247" s="2329"/>
      <c r="AG247" s="2329"/>
      <c r="AH247" s="2329"/>
      <c r="AI247" s="2329"/>
      <c r="AJ247" s="2330"/>
      <c r="AK247" s="1243"/>
      <c r="AL247" s="1243"/>
      <c r="AM247" s="1243"/>
      <c r="AN247" s="1243"/>
      <c r="AO247" s="1243"/>
      <c r="AP247" s="1243"/>
      <c r="AQ247" s="1243"/>
      <c r="AR247" s="1243"/>
      <c r="AS247" s="1243"/>
      <c r="AT247" s="1243"/>
      <c r="AU247" s="1243"/>
      <c r="AV247" s="1243"/>
      <c r="AW247" s="1243"/>
      <c r="AX247" s="1243"/>
      <c r="AY247" s="1243"/>
      <c r="AZ247" s="1243"/>
      <c r="BA247" s="1243"/>
      <c r="BB247" s="1243"/>
      <c r="BC247" s="1243"/>
      <c r="BD247" s="1244"/>
      <c r="BE247" s="1196"/>
    </row>
    <row r="248" spans="1:57" ht="15.75" customHeight="1" thickBot="1">
      <c r="A248" s="1192"/>
      <c r="B248" s="1246"/>
      <c r="C248" s="1247"/>
      <c r="D248" s="1247"/>
      <c r="E248" s="1247"/>
      <c r="F248" s="1247"/>
      <c r="G248" s="1247"/>
      <c r="H248" s="1247"/>
      <c r="I248" s="1247"/>
      <c r="J248" s="1247"/>
      <c r="K248" s="1247"/>
      <c r="L248" s="1247"/>
      <c r="M248" s="1247"/>
      <c r="N248" s="1247"/>
      <c r="O248" s="1247"/>
      <c r="P248" s="1247"/>
      <c r="Q248" s="1247"/>
      <c r="R248" s="1247"/>
      <c r="S248" s="1247"/>
      <c r="T248" s="1247"/>
      <c r="U248" s="1247"/>
      <c r="V248" s="1247"/>
      <c r="W248" s="1247"/>
      <c r="X248" s="1247"/>
      <c r="Y248" s="1247"/>
      <c r="Z248" s="1247"/>
      <c r="AA248" s="1247"/>
      <c r="AB248" s="1247"/>
      <c r="AC248" s="1247"/>
      <c r="AD248" s="1247"/>
      <c r="AE248" s="1247"/>
      <c r="AF248" s="1247"/>
      <c r="AG248" s="1247"/>
      <c r="AH248" s="1247"/>
      <c r="AI248" s="1247"/>
      <c r="AJ248" s="1247"/>
      <c r="AK248" s="1247"/>
      <c r="AL248" s="1247"/>
      <c r="AM248" s="1247"/>
      <c r="AN248" s="1247"/>
      <c r="AO248" s="1247"/>
      <c r="AP248" s="1247"/>
      <c r="AQ248" s="1247"/>
      <c r="AR248" s="1247"/>
      <c r="AS248" s="1247"/>
      <c r="AT248" s="1247"/>
      <c r="AU248" s="1247"/>
      <c r="AV248" s="1247"/>
      <c r="AW248" s="1247"/>
      <c r="AX248" s="1247"/>
      <c r="AY248" s="1247"/>
      <c r="AZ248" s="1247"/>
      <c r="BA248" s="1247"/>
      <c r="BB248" s="1247"/>
      <c r="BC248" s="1247"/>
      <c r="BD248" s="1248"/>
      <c r="BE248" s="1196"/>
    </row>
    <row r="249" spans="1:57" ht="15.75" customHeight="1" thickBot="1">
      <c r="A249" s="1240"/>
      <c r="B249" s="1240"/>
      <c r="C249" s="1240"/>
      <c r="D249" s="1240"/>
      <c r="E249" s="1240"/>
      <c r="F249" s="1240"/>
      <c r="G249" s="1240"/>
      <c r="H249" s="1240"/>
      <c r="I249" s="1240"/>
      <c r="J249" s="1240"/>
      <c r="K249" s="1240"/>
      <c r="L249" s="1240"/>
      <c r="M249" s="1240"/>
      <c r="N249" s="1240"/>
      <c r="O249" s="1240"/>
      <c r="P249" s="1240"/>
      <c r="Q249" s="1240"/>
      <c r="R249" s="1240"/>
      <c r="S249" s="1240"/>
      <c r="T249" s="1240"/>
      <c r="U249" s="1240"/>
      <c r="V249" s="1240"/>
      <c r="W249" s="1240"/>
      <c r="X249" s="1240"/>
      <c r="Y249" s="1240"/>
      <c r="Z249" s="1240"/>
      <c r="AA249" s="1240"/>
      <c r="AB249" s="1240"/>
      <c r="AC249" s="1240"/>
      <c r="AD249" s="1240"/>
      <c r="AE249" s="1240"/>
      <c r="AF249" s="1240"/>
      <c r="AG249" s="1240"/>
      <c r="AH249" s="1240"/>
      <c r="AI249" s="1240"/>
      <c r="AJ249" s="1240"/>
      <c r="AK249" s="1240"/>
      <c r="AL249" s="1240"/>
      <c r="AM249" s="1240"/>
      <c r="AN249" s="1240"/>
      <c r="AO249" s="1240"/>
      <c r="AP249" s="1240"/>
      <c r="AQ249" s="1240"/>
      <c r="AR249" s="1240"/>
      <c r="AS249" s="1240"/>
      <c r="AT249" s="1240"/>
      <c r="AU249" s="1240"/>
      <c r="AV249" s="1240"/>
      <c r="AW249" s="1240"/>
      <c r="AX249" s="1240"/>
      <c r="AY249" s="1240"/>
      <c r="AZ249" s="1240"/>
      <c r="BA249" s="1240"/>
      <c r="BB249" s="1240"/>
      <c r="BC249" s="1240"/>
      <c r="BD249" s="1240"/>
      <c r="BE249" s="1241"/>
    </row>
    <row r="252" spans="1:57" ht="15.75" customHeight="1">
      <c r="D252" s="1190"/>
    </row>
    <row r="253" spans="1:57" ht="15.75" customHeight="1">
      <c r="D253" s="1249"/>
    </row>
    <row r="254" spans="1:57" ht="15.75" customHeight="1">
      <c r="D254" s="1190"/>
    </row>
    <row r="255" spans="1:57" ht="15.75" customHeight="1">
      <c r="D255" s="1190"/>
    </row>
    <row r="256" spans="1:57" ht="15.75" customHeight="1">
      <c r="R256" s="1189" t="s">
        <v>250</v>
      </c>
    </row>
  </sheetData>
  <sheetProtection algorithmName="SHA-512" hashValue="0Tx11GszI03ULlEnJOfNa3lG7hWSJyqc2z35uV0yoBHOOyh1m/Av+mwKUrR7kf1+3vhZNzmv8uXP36ttbYbsXg==" saltValue="d2Bnj30a7Tg70053c5jfT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$BQ$96:$BQ$98</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25" workbookViewId="0">
      <selection activeCell="V47" sqref="V47"/>
    </sheetView>
  </sheetViews>
  <sheetFormatPr defaultColWidth="0" defaultRowHeight="12.95" customHeight="1"/>
  <cols>
    <col min="1" max="1" width="1.5703125" style="403" customWidth="1"/>
    <col min="2" max="2" width="0.85546875" style="403" customWidth="1"/>
    <col min="3" max="18" width="2.5703125" style="403" customWidth="1"/>
    <col min="19" max="19" width="6.42578125" style="403" customWidth="1"/>
    <col min="20" max="39" width="2.5703125" style="403" customWidth="1"/>
    <col min="40" max="40" width="1.5703125" style="403" customWidth="1"/>
    <col min="41" max="256" width="2.5703125" style="403" hidden="1"/>
    <col min="257" max="257" width="1.5703125" style="403" hidden="1" customWidth="1"/>
    <col min="258" max="258" width="0.85546875" style="403" hidden="1" customWidth="1"/>
    <col min="259" max="274" width="2.5703125" style="403" hidden="1" customWidth="1"/>
    <col min="275" max="275" width="4" style="403" hidden="1" customWidth="1"/>
    <col min="276" max="279" width="2.5703125" style="403" hidden="1" customWidth="1"/>
    <col min="280" max="280" width="2.42578125" style="403" hidden="1" customWidth="1"/>
    <col min="281" max="284" width="2.5703125" style="403" hidden="1" customWidth="1"/>
    <col min="285" max="285" width="2.42578125" style="403" hidden="1" customWidth="1"/>
    <col min="286" max="289" width="2.5703125" style="403" hidden="1" customWidth="1"/>
    <col min="290" max="295" width="2.42578125" style="403" hidden="1" customWidth="1"/>
    <col min="296" max="296" width="1.5703125" style="403" hidden="1" customWidth="1"/>
    <col min="297" max="512" width="2.5703125" style="403" hidden="1"/>
    <col min="513" max="513" width="1.5703125" style="403" hidden="1" customWidth="1"/>
    <col min="514" max="514" width="0.85546875" style="403" hidden="1" customWidth="1"/>
    <col min="515" max="530" width="2.5703125" style="403" hidden="1" customWidth="1"/>
    <col min="531" max="531" width="4" style="403" hidden="1" customWidth="1"/>
    <col min="532" max="535" width="2.5703125" style="403" hidden="1" customWidth="1"/>
    <col min="536" max="536" width="2.42578125" style="403" hidden="1" customWidth="1"/>
    <col min="537" max="540" width="2.5703125" style="403" hidden="1" customWidth="1"/>
    <col min="541" max="541" width="2.42578125" style="403" hidden="1" customWidth="1"/>
    <col min="542" max="545" width="2.5703125" style="403" hidden="1" customWidth="1"/>
    <col min="546" max="551" width="2.42578125" style="403" hidden="1" customWidth="1"/>
    <col min="552" max="552" width="1.5703125" style="403" hidden="1" customWidth="1"/>
    <col min="553" max="768" width="2.5703125" style="403" hidden="1"/>
    <col min="769" max="769" width="1.5703125" style="403" hidden="1" customWidth="1"/>
    <col min="770" max="770" width="0.85546875" style="403" hidden="1" customWidth="1"/>
    <col min="771" max="786" width="2.5703125" style="403" hidden="1" customWidth="1"/>
    <col min="787" max="787" width="4" style="403" hidden="1" customWidth="1"/>
    <col min="788" max="791" width="2.5703125" style="403" hidden="1" customWidth="1"/>
    <col min="792" max="792" width="2.42578125" style="403" hidden="1" customWidth="1"/>
    <col min="793" max="796" width="2.5703125" style="403" hidden="1" customWidth="1"/>
    <col min="797" max="797" width="2.42578125" style="403" hidden="1" customWidth="1"/>
    <col min="798" max="801" width="2.5703125" style="403" hidden="1" customWidth="1"/>
    <col min="802" max="807" width="2.42578125" style="403" hidden="1" customWidth="1"/>
    <col min="808" max="808" width="1.5703125" style="403" hidden="1" customWidth="1"/>
    <col min="809" max="1024" width="2.5703125" style="403" hidden="1"/>
    <col min="1025" max="1025" width="1.5703125" style="403" hidden="1" customWidth="1"/>
    <col min="1026" max="1026" width="0.85546875" style="403" hidden="1" customWidth="1"/>
    <col min="1027" max="1042" width="2.5703125" style="403" hidden="1" customWidth="1"/>
    <col min="1043" max="1043" width="4" style="403" hidden="1" customWidth="1"/>
    <col min="1044" max="1047" width="2.5703125" style="403" hidden="1" customWidth="1"/>
    <col min="1048" max="1048" width="2.42578125" style="403" hidden="1" customWidth="1"/>
    <col min="1049" max="1052" width="2.5703125" style="403" hidden="1" customWidth="1"/>
    <col min="1053" max="1053" width="2.42578125" style="403" hidden="1" customWidth="1"/>
    <col min="1054" max="1057" width="2.5703125" style="403" hidden="1" customWidth="1"/>
    <col min="1058" max="1063" width="2.42578125" style="403" hidden="1" customWidth="1"/>
    <col min="1064" max="1064" width="1.5703125" style="403" hidden="1" customWidth="1"/>
    <col min="1065" max="1280" width="2.5703125" style="403" hidden="1"/>
    <col min="1281" max="1281" width="1.5703125" style="403" hidden="1" customWidth="1"/>
    <col min="1282" max="1282" width="0.85546875" style="403" hidden="1" customWidth="1"/>
    <col min="1283" max="1298" width="2.5703125" style="403" hidden="1" customWidth="1"/>
    <col min="1299" max="1299" width="4" style="403" hidden="1" customWidth="1"/>
    <col min="1300" max="1303" width="2.5703125" style="403" hidden="1" customWidth="1"/>
    <col min="1304" max="1304" width="2.42578125" style="403" hidden="1" customWidth="1"/>
    <col min="1305" max="1308" width="2.5703125" style="403" hidden="1" customWidth="1"/>
    <col min="1309" max="1309" width="2.42578125" style="403" hidden="1" customWidth="1"/>
    <col min="1310" max="1313" width="2.5703125" style="403" hidden="1" customWidth="1"/>
    <col min="1314" max="1319" width="2.42578125" style="403" hidden="1" customWidth="1"/>
    <col min="1320" max="1320" width="1.5703125" style="403" hidden="1" customWidth="1"/>
    <col min="1321" max="1536" width="2.5703125" style="403" hidden="1"/>
    <col min="1537" max="1537" width="1.5703125" style="403" hidden="1" customWidth="1"/>
    <col min="1538" max="1538" width="0.85546875" style="403" hidden="1" customWidth="1"/>
    <col min="1539" max="1554" width="2.5703125" style="403" hidden="1" customWidth="1"/>
    <col min="1555" max="1555" width="4" style="403" hidden="1" customWidth="1"/>
    <col min="1556" max="1559" width="2.5703125" style="403" hidden="1" customWidth="1"/>
    <col min="1560" max="1560" width="2.42578125" style="403" hidden="1" customWidth="1"/>
    <col min="1561" max="1564" width="2.5703125" style="403" hidden="1" customWidth="1"/>
    <col min="1565" max="1565" width="2.42578125" style="403" hidden="1" customWidth="1"/>
    <col min="1566" max="1569" width="2.5703125" style="403" hidden="1" customWidth="1"/>
    <col min="1570" max="1575" width="2.42578125" style="403" hidden="1" customWidth="1"/>
    <col min="1576" max="1576" width="1.5703125" style="403" hidden="1" customWidth="1"/>
    <col min="1577" max="1792" width="2.5703125" style="403" hidden="1"/>
    <col min="1793" max="1793" width="1.5703125" style="403" hidden="1" customWidth="1"/>
    <col min="1794" max="1794" width="0.85546875" style="403" hidden="1" customWidth="1"/>
    <col min="1795" max="1810" width="2.5703125" style="403" hidden="1" customWidth="1"/>
    <col min="1811" max="1811" width="4" style="403" hidden="1" customWidth="1"/>
    <col min="1812" max="1815" width="2.5703125" style="403" hidden="1" customWidth="1"/>
    <col min="1816" max="1816" width="2.42578125" style="403" hidden="1" customWidth="1"/>
    <col min="1817" max="1820" width="2.5703125" style="403" hidden="1" customWidth="1"/>
    <col min="1821" max="1821" width="2.42578125" style="403" hidden="1" customWidth="1"/>
    <col min="1822" max="1825" width="2.5703125" style="403" hidden="1" customWidth="1"/>
    <col min="1826" max="1831" width="2.42578125" style="403" hidden="1" customWidth="1"/>
    <col min="1832" max="1832" width="1.5703125" style="403" hidden="1" customWidth="1"/>
    <col min="1833" max="2048" width="2.5703125" style="403" hidden="1"/>
    <col min="2049" max="2049" width="1.5703125" style="403" hidden="1" customWidth="1"/>
    <col min="2050" max="2050" width="0.85546875" style="403" hidden="1" customWidth="1"/>
    <col min="2051" max="2066" width="2.5703125" style="403" hidden="1" customWidth="1"/>
    <col min="2067" max="2067" width="4" style="403" hidden="1" customWidth="1"/>
    <col min="2068" max="2071" width="2.5703125" style="403" hidden="1" customWidth="1"/>
    <col min="2072" max="2072" width="2.42578125" style="403" hidden="1" customWidth="1"/>
    <col min="2073" max="2076" width="2.5703125" style="403" hidden="1" customWidth="1"/>
    <col min="2077" max="2077" width="2.42578125" style="403" hidden="1" customWidth="1"/>
    <col min="2078" max="2081" width="2.5703125" style="403" hidden="1" customWidth="1"/>
    <col min="2082" max="2087" width="2.42578125" style="403" hidden="1" customWidth="1"/>
    <col min="2088" max="2088" width="1.5703125" style="403" hidden="1" customWidth="1"/>
    <col min="2089" max="2304" width="2.5703125" style="403" hidden="1"/>
    <col min="2305" max="2305" width="1.5703125" style="403" hidden="1" customWidth="1"/>
    <col min="2306" max="2306" width="0.85546875" style="403" hidden="1" customWidth="1"/>
    <col min="2307" max="2322" width="2.5703125" style="403" hidden="1" customWidth="1"/>
    <col min="2323" max="2323" width="4" style="403" hidden="1" customWidth="1"/>
    <col min="2324" max="2327" width="2.5703125" style="403" hidden="1" customWidth="1"/>
    <col min="2328" max="2328" width="2.42578125" style="403" hidden="1" customWidth="1"/>
    <col min="2329" max="2332" width="2.5703125" style="403" hidden="1" customWidth="1"/>
    <col min="2333" max="2333" width="2.42578125" style="403" hidden="1" customWidth="1"/>
    <col min="2334" max="2337" width="2.5703125" style="403" hidden="1" customWidth="1"/>
    <col min="2338" max="2343" width="2.42578125" style="403" hidden="1" customWidth="1"/>
    <col min="2344" max="2344" width="1.5703125" style="403" hidden="1" customWidth="1"/>
    <col min="2345" max="2560" width="2.5703125" style="403" hidden="1"/>
    <col min="2561" max="2561" width="1.5703125" style="403" hidden="1" customWidth="1"/>
    <col min="2562" max="2562" width="0.85546875" style="403" hidden="1" customWidth="1"/>
    <col min="2563" max="2578" width="2.5703125" style="403" hidden="1" customWidth="1"/>
    <col min="2579" max="2579" width="4" style="403" hidden="1" customWidth="1"/>
    <col min="2580" max="2583" width="2.5703125" style="403" hidden="1" customWidth="1"/>
    <col min="2584" max="2584" width="2.42578125" style="403" hidden="1" customWidth="1"/>
    <col min="2585" max="2588" width="2.5703125" style="403" hidden="1" customWidth="1"/>
    <col min="2589" max="2589" width="2.42578125" style="403" hidden="1" customWidth="1"/>
    <col min="2590" max="2593" width="2.5703125" style="403" hidden="1" customWidth="1"/>
    <col min="2594" max="2599" width="2.42578125" style="403" hidden="1" customWidth="1"/>
    <col min="2600" max="2600" width="1.5703125" style="403" hidden="1" customWidth="1"/>
    <col min="2601" max="2816" width="2.5703125" style="403" hidden="1"/>
    <col min="2817" max="2817" width="1.5703125" style="403" hidden="1" customWidth="1"/>
    <col min="2818" max="2818" width="0.85546875" style="403" hidden="1" customWidth="1"/>
    <col min="2819" max="2834" width="2.5703125" style="403" hidden="1" customWidth="1"/>
    <col min="2835" max="2835" width="4" style="403" hidden="1" customWidth="1"/>
    <col min="2836" max="2839" width="2.5703125" style="403" hidden="1" customWidth="1"/>
    <col min="2840" max="2840" width="2.42578125" style="403" hidden="1" customWidth="1"/>
    <col min="2841" max="2844" width="2.5703125" style="403" hidden="1" customWidth="1"/>
    <col min="2845" max="2845" width="2.42578125" style="403" hidden="1" customWidth="1"/>
    <col min="2846" max="2849" width="2.5703125" style="403" hidden="1" customWidth="1"/>
    <col min="2850" max="2855" width="2.42578125" style="403" hidden="1" customWidth="1"/>
    <col min="2856" max="2856" width="1.5703125" style="403" hidden="1" customWidth="1"/>
    <col min="2857" max="3072" width="2.5703125" style="403" hidden="1"/>
    <col min="3073" max="3073" width="1.5703125" style="403" hidden="1" customWidth="1"/>
    <col min="3074" max="3074" width="0.85546875" style="403" hidden="1" customWidth="1"/>
    <col min="3075" max="3090" width="2.5703125" style="403" hidden="1" customWidth="1"/>
    <col min="3091" max="3091" width="4" style="403" hidden="1" customWidth="1"/>
    <col min="3092" max="3095" width="2.5703125" style="403" hidden="1" customWidth="1"/>
    <col min="3096" max="3096" width="2.42578125" style="403" hidden="1" customWidth="1"/>
    <col min="3097" max="3100" width="2.5703125" style="403" hidden="1" customWidth="1"/>
    <col min="3101" max="3101" width="2.42578125" style="403" hidden="1" customWidth="1"/>
    <col min="3102" max="3105" width="2.5703125" style="403" hidden="1" customWidth="1"/>
    <col min="3106" max="3111" width="2.42578125" style="403" hidden="1" customWidth="1"/>
    <col min="3112" max="3112" width="1.5703125" style="403" hidden="1" customWidth="1"/>
    <col min="3113" max="3328" width="2.5703125" style="403" hidden="1"/>
    <col min="3329" max="3329" width="1.5703125" style="403" hidden="1" customWidth="1"/>
    <col min="3330" max="3330" width="0.85546875" style="403" hidden="1" customWidth="1"/>
    <col min="3331" max="3346" width="2.5703125" style="403" hidden="1" customWidth="1"/>
    <col min="3347" max="3347" width="4" style="403" hidden="1" customWidth="1"/>
    <col min="3348" max="3351" width="2.5703125" style="403" hidden="1" customWidth="1"/>
    <col min="3352" max="3352" width="2.42578125" style="403" hidden="1" customWidth="1"/>
    <col min="3353" max="3356" width="2.5703125" style="403" hidden="1" customWidth="1"/>
    <col min="3357" max="3357" width="2.42578125" style="403" hidden="1" customWidth="1"/>
    <col min="3358" max="3361" width="2.5703125" style="403" hidden="1" customWidth="1"/>
    <col min="3362" max="3367" width="2.42578125" style="403" hidden="1" customWidth="1"/>
    <col min="3368" max="3368" width="1.5703125" style="403" hidden="1" customWidth="1"/>
    <col min="3369" max="3584" width="2.5703125" style="403" hidden="1"/>
    <col min="3585" max="3585" width="1.5703125" style="403" hidden="1" customWidth="1"/>
    <col min="3586" max="3586" width="0.85546875" style="403" hidden="1" customWidth="1"/>
    <col min="3587" max="3602" width="2.5703125" style="403" hidden="1" customWidth="1"/>
    <col min="3603" max="3603" width="4" style="403" hidden="1" customWidth="1"/>
    <col min="3604" max="3607" width="2.5703125" style="403" hidden="1" customWidth="1"/>
    <col min="3608" max="3608" width="2.42578125" style="403" hidden="1" customWidth="1"/>
    <col min="3609" max="3612" width="2.5703125" style="403" hidden="1" customWidth="1"/>
    <col min="3613" max="3613" width="2.42578125" style="403" hidden="1" customWidth="1"/>
    <col min="3614" max="3617" width="2.5703125" style="403" hidden="1" customWidth="1"/>
    <col min="3618" max="3623" width="2.42578125" style="403" hidden="1" customWidth="1"/>
    <col min="3624" max="3624" width="1.5703125" style="403" hidden="1" customWidth="1"/>
    <col min="3625" max="3840" width="2.5703125" style="403" hidden="1"/>
    <col min="3841" max="3841" width="1.5703125" style="403" hidden="1" customWidth="1"/>
    <col min="3842" max="3842" width="0.85546875" style="403" hidden="1" customWidth="1"/>
    <col min="3843" max="3858" width="2.5703125" style="403" hidden="1" customWidth="1"/>
    <col min="3859" max="3859" width="4" style="403" hidden="1" customWidth="1"/>
    <col min="3860" max="3863" width="2.5703125" style="403" hidden="1" customWidth="1"/>
    <col min="3864" max="3864" width="2.42578125" style="403" hidden="1" customWidth="1"/>
    <col min="3865" max="3868" width="2.5703125" style="403" hidden="1" customWidth="1"/>
    <col min="3869" max="3869" width="2.42578125" style="403" hidden="1" customWidth="1"/>
    <col min="3870" max="3873" width="2.5703125" style="403" hidden="1" customWidth="1"/>
    <col min="3874" max="3879" width="2.42578125" style="403" hidden="1" customWidth="1"/>
    <col min="3880" max="3880" width="1.5703125" style="403" hidden="1" customWidth="1"/>
    <col min="3881" max="4096" width="2.5703125" style="403" hidden="1"/>
    <col min="4097" max="4097" width="1.5703125" style="403" hidden="1" customWidth="1"/>
    <col min="4098" max="4098" width="0.85546875" style="403" hidden="1" customWidth="1"/>
    <col min="4099" max="4114" width="2.5703125" style="403" hidden="1" customWidth="1"/>
    <col min="4115" max="4115" width="4" style="403" hidden="1" customWidth="1"/>
    <col min="4116" max="4119" width="2.5703125" style="403" hidden="1" customWidth="1"/>
    <col min="4120" max="4120" width="2.42578125" style="403" hidden="1" customWidth="1"/>
    <col min="4121" max="4124" width="2.5703125" style="403" hidden="1" customWidth="1"/>
    <col min="4125" max="4125" width="2.42578125" style="403" hidden="1" customWidth="1"/>
    <col min="4126" max="4129" width="2.5703125" style="403" hidden="1" customWidth="1"/>
    <col min="4130" max="4135" width="2.42578125" style="403" hidden="1" customWidth="1"/>
    <col min="4136" max="4136" width="1.5703125" style="403" hidden="1" customWidth="1"/>
    <col min="4137" max="4352" width="2.5703125" style="403" hidden="1"/>
    <col min="4353" max="4353" width="1.5703125" style="403" hidden="1" customWidth="1"/>
    <col min="4354" max="4354" width="0.85546875" style="403" hidden="1" customWidth="1"/>
    <col min="4355" max="4370" width="2.5703125" style="403" hidden="1" customWidth="1"/>
    <col min="4371" max="4371" width="4" style="403" hidden="1" customWidth="1"/>
    <col min="4372" max="4375" width="2.5703125" style="403" hidden="1" customWidth="1"/>
    <col min="4376" max="4376" width="2.42578125" style="403" hidden="1" customWidth="1"/>
    <col min="4377" max="4380" width="2.5703125" style="403" hidden="1" customWidth="1"/>
    <col min="4381" max="4381" width="2.42578125" style="403" hidden="1" customWidth="1"/>
    <col min="4382" max="4385" width="2.5703125" style="403" hidden="1" customWidth="1"/>
    <col min="4386" max="4391" width="2.42578125" style="403" hidden="1" customWidth="1"/>
    <col min="4392" max="4392" width="1.5703125" style="403" hidden="1" customWidth="1"/>
    <col min="4393" max="4608" width="2.5703125" style="403" hidden="1"/>
    <col min="4609" max="4609" width="1.5703125" style="403" hidden="1" customWidth="1"/>
    <col min="4610" max="4610" width="0.85546875" style="403" hidden="1" customWidth="1"/>
    <col min="4611" max="4626" width="2.5703125" style="403" hidden="1" customWidth="1"/>
    <col min="4627" max="4627" width="4" style="403" hidden="1" customWidth="1"/>
    <col min="4628" max="4631" width="2.5703125" style="403" hidden="1" customWidth="1"/>
    <col min="4632" max="4632" width="2.42578125" style="403" hidden="1" customWidth="1"/>
    <col min="4633" max="4636" width="2.5703125" style="403" hidden="1" customWidth="1"/>
    <col min="4637" max="4637" width="2.42578125" style="403" hidden="1" customWidth="1"/>
    <col min="4638" max="4641" width="2.5703125" style="403" hidden="1" customWidth="1"/>
    <col min="4642" max="4647" width="2.42578125" style="403" hidden="1" customWidth="1"/>
    <col min="4648" max="4648" width="1.5703125" style="403" hidden="1" customWidth="1"/>
    <col min="4649" max="4864" width="2.5703125" style="403" hidden="1"/>
    <col min="4865" max="4865" width="1.5703125" style="403" hidden="1" customWidth="1"/>
    <col min="4866" max="4866" width="0.85546875" style="403" hidden="1" customWidth="1"/>
    <col min="4867" max="4882" width="2.5703125" style="403" hidden="1" customWidth="1"/>
    <col min="4883" max="4883" width="4" style="403" hidden="1" customWidth="1"/>
    <col min="4884" max="4887" width="2.5703125" style="403" hidden="1" customWidth="1"/>
    <col min="4888" max="4888" width="2.42578125" style="403" hidden="1" customWidth="1"/>
    <col min="4889" max="4892" width="2.5703125" style="403" hidden="1" customWidth="1"/>
    <col min="4893" max="4893" width="2.42578125" style="403" hidden="1" customWidth="1"/>
    <col min="4894" max="4897" width="2.5703125" style="403" hidden="1" customWidth="1"/>
    <col min="4898" max="4903" width="2.42578125" style="403" hidden="1" customWidth="1"/>
    <col min="4904" max="4904" width="1.5703125" style="403" hidden="1" customWidth="1"/>
    <col min="4905" max="5120" width="2.5703125" style="403" hidden="1"/>
    <col min="5121" max="5121" width="1.5703125" style="403" hidden="1" customWidth="1"/>
    <col min="5122" max="5122" width="0.85546875" style="403" hidden="1" customWidth="1"/>
    <col min="5123" max="5138" width="2.5703125" style="403" hidden="1" customWidth="1"/>
    <col min="5139" max="5139" width="4" style="403" hidden="1" customWidth="1"/>
    <col min="5140" max="5143" width="2.5703125" style="403" hidden="1" customWidth="1"/>
    <col min="5144" max="5144" width="2.42578125" style="403" hidden="1" customWidth="1"/>
    <col min="5145" max="5148" width="2.5703125" style="403" hidden="1" customWidth="1"/>
    <col min="5149" max="5149" width="2.42578125" style="403" hidden="1" customWidth="1"/>
    <col min="5150" max="5153" width="2.5703125" style="403" hidden="1" customWidth="1"/>
    <col min="5154" max="5159" width="2.42578125" style="403" hidden="1" customWidth="1"/>
    <col min="5160" max="5160" width="1.5703125" style="403" hidden="1" customWidth="1"/>
    <col min="5161" max="5376" width="2.5703125" style="403" hidden="1"/>
    <col min="5377" max="5377" width="1.5703125" style="403" hidden="1" customWidth="1"/>
    <col min="5378" max="5378" width="0.85546875" style="403" hidden="1" customWidth="1"/>
    <col min="5379" max="5394" width="2.5703125" style="403" hidden="1" customWidth="1"/>
    <col min="5395" max="5395" width="4" style="403" hidden="1" customWidth="1"/>
    <col min="5396" max="5399" width="2.5703125" style="403" hidden="1" customWidth="1"/>
    <col min="5400" max="5400" width="2.42578125" style="403" hidden="1" customWidth="1"/>
    <col min="5401" max="5404" width="2.5703125" style="403" hidden="1" customWidth="1"/>
    <col min="5405" max="5405" width="2.42578125" style="403" hidden="1" customWidth="1"/>
    <col min="5406" max="5409" width="2.5703125" style="403" hidden="1" customWidth="1"/>
    <col min="5410" max="5415" width="2.42578125" style="403" hidden="1" customWidth="1"/>
    <col min="5416" max="5416" width="1.5703125" style="403" hidden="1" customWidth="1"/>
    <col min="5417" max="5632" width="2.5703125" style="403" hidden="1"/>
    <col min="5633" max="5633" width="1.5703125" style="403" hidden="1" customWidth="1"/>
    <col min="5634" max="5634" width="0.85546875" style="403" hidden="1" customWidth="1"/>
    <col min="5635" max="5650" width="2.5703125" style="403" hidden="1" customWidth="1"/>
    <col min="5651" max="5651" width="4" style="403" hidden="1" customWidth="1"/>
    <col min="5652" max="5655" width="2.5703125" style="403" hidden="1" customWidth="1"/>
    <col min="5656" max="5656" width="2.42578125" style="403" hidden="1" customWidth="1"/>
    <col min="5657" max="5660" width="2.5703125" style="403" hidden="1" customWidth="1"/>
    <col min="5661" max="5661" width="2.42578125" style="403" hidden="1" customWidth="1"/>
    <col min="5662" max="5665" width="2.5703125" style="403" hidden="1" customWidth="1"/>
    <col min="5666" max="5671" width="2.42578125" style="403" hidden="1" customWidth="1"/>
    <col min="5672" max="5672" width="1.5703125" style="403" hidden="1" customWidth="1"/>
    <col min="5673" max="5888" width="2.5703125" style="403" hidden="1"/>
    <col min="5889" max="5889" width="1.5703125" style="403" hidden="1" customWidth="1"/>
    <col min="5890" max="5890" width="0.85546875" style="403" hidden="1" customWidth="1"/>
    <col min="5891" max="5906" width="2.5703125" style="403" hidden="1" customWidth="1"/>
    <col min="5907" max="5907" width="4" style="403" hidden="1" customWidth="1"/>
    <col min="5908" max="5911" width="2.5703125" style="403" hidden="1" customWidth="1"/>
    <col min="5912" max="5912" width="2.42578125" style="403" hidden="1" customWidth="1"/>
    <col min="5913" max="5916" width="2.5703125" style="403" hidden="1" customWidth="1"/>
    <col min="5917" max="5917" width="2.42578125" style="403" hidden="1" customWidth="1"/>
    <col min="5918" max="5921" width="2.5703125" style="403" hidden="1" customWidth="1"/>
    <col min="5922" max="5927" width="2.42578125" style="403" hidden="1" customWidth="1"/>
    <col min="5928" max="5928" width="1.5703125" style="403" hidden="1" customWidth="1"/>
    <col min="5929" max="6144" width="2.5703125" style="403" hidden="1"/>
    <col min="6145" max="6145" width="1.5703125" style="403" hidden="1" customWidth="1"/>
    <col min="6146" max="6146" width="0.85546875" style="403" hidden="1" customWidth="1"/>
    <col min="6147" max="6162" width="2.5703125" style="403" hidden="1" customWidth="1"/>
    <col min="6163" max="6163" width="4" style="403" hidden="1" customWidth="1"/>
    <col min="6164" max="6167" width="2.5703125" style="403" hidden="1" customWidth="1"/>
    <col min="6168" max="6168" width="2.42578125" style="403" hidden="1" customWidth="1"/>
    <col min="6169" max="6172" width="2.5703125" style="403" hidden="1" customWidth="1"/>
    <col min="6173" max="6173" width="2.42578125" style="403" hidden="1" customWidth="1"/>
    <col min="6174" max="6177" width="2.5703125" style="403" hidden="1" customWidth="1"/>
    <col min="6178" max="6183" width="2.42578125" style="403" hidden="1" customWidth="1"/>
    <col min="6184" max="6184" width="1.5703125" style="403" hidden="1" customWidth="1"/>
    <col min="6185" max="6400" width="2.5703125" style="403" hidden="1"/>
    <col min="6401" max="6401" width="1.5703125" style="403" hidden="1" customWidth="1"/>
    <col min="6402" max="6402" width="0.85546875" style="403" hidden="1" customWidth="1"/>
    <col min="6403" max="6418" width="2.5703125" style="403" hidden="1" customWidth="1"/>
    <col min="6419" max="6419" width="4" style="403" hidden="1" customWidth="1"/>
    <col min="6420" max="6423" width="2.5703125" style="403" hidden="1" customWidth="1"/>
    <col min="6424" max="6424" width="2.42578125" style="403" hidden="1" customWidth="1"/>
    <col min="6425" max="6428" width="2.5703125" style="403" hidden="1" customWidth="1"/>
    <col min="6429" max="6429" width="2.42578125" style="403" hidden="1" customWidth="1"/>
    <col min="6430" max="6433" width="2.5703125" style="403" hidden="1" customWidth="1"/>
    <col min="6434" max="6439" width="2.42578125" style="403" hidden="1" customWidth="1"/>
    <col min="6440" max="6440" width="1.5703125" style="403" hidden="1" customWidth="1"/>
    <col min="6441" max="6656" width="2.5703125" style="403" hidden="1"/>
    <col min="6657" max="6657" width="1.5703125" style="403" hidden="1" customWidth="1"/>
    <col min="6658" max="6658" width="0.85546875" style="403" hidden="1" customWidth="1"/>
    <col min="6659" max="6674" width="2.5703125" style="403" hidden="1" customWidth="1"/>
    <col min="6675" max="6675" width="4" style="403" hidden="1" customWidth="1"/>
    <col min="6676" max="6679" width="2.5703125" style="403" hidden="1" customWidth="1"/>
    <col min="6680" max="6680" width="2.42578125" style="403" hidden="1" customWidth="1"/>
    <col min="6681" max="6684" width="2.5703125" style="403" hidden="1" customWidth="1"/>
    <col min="6685" max="6685" width="2.42578125" style="403" hidden="1" customWidth="1"/>
    <col min="6686" max="6689" width="2.5703125" style="403" hidden="1" customWidth="1"/>
    <col min="6690" max="6695" width="2.42578125" style="403" hidden="1" customWidth="1"/>
    <col min="6696" max="6696" width="1.5703125" style="403" hidden="1" customWidth="1"/>
    <col min="6697" max="6912" width="2.5703125" style="403" hidden="1"/>
    <col min="6913" max="6913" width="1.5703125" style="403" hidden="1" customWidth="1"/>
    <col min="6914" max="6914" width="0.85546875" style="403" hidden="1" customWidth="1"/>
    <col min="6915" max="6930" width="2.5703125" style="403" hidden="1" customWidth="1"/>
    <col min="6931" max="6931" width="4" style="403" hidden="1" customWidth="1"/>
    <col min="6932" max="6935" width="2.5703125" style="403" hidden="1" customWidth="1"/>
    <col min="6936" max="6936" width="2.42578125" style="403" hidden="1" customWidth="1"/>
    <col min="6937" max="6940" width="2.5703125" style="403" hidden="1" customWidth="1"/>
    <col min="6941" max="6941" width="2.42578125" style="403" hidden="1" customWidth="1"/>
    <col min="6942" max="6945" width="2.5703125" style="403" hidden="1" customWidth="1"/>
    <col min="6946" max="6951" width="2.42578125" style="403" hidden="1" customWidth="1"/>
    <col min="6952" max="6952" width="1.5703125" style="403" hidden="1" customWidth="1"/>
    <col min="6953" max="7168" width="2.5703125" style="403" hidden="1"/>
    <col min="7169" max="7169" width="1.5703125" style="403" hidden="1" customWidth="1"/>
    <col min="7170" max="7170" width="0.85546875" style="403" hidden="1" customWidth="1"/>
    <col min="7171" max="7186" width="2.5703125" style="403" hidden="1" customWidth="1"/>
    <col min="7187" max="7187" width="4" style="403" hidden="1" customWidth="1"/>
    <col min="7188" max="7191" width="2.5703125" style="403" hidden="1" customWidth="1"/>
    <col min="7192" max="7192" width="2.42578125" style="403" hidden="1" customWidth="1"/>
    <col min="7193" max="7196" width="2.5703125" style="403" hidden="1" customWidth="1"/>
    <col min="7197" max="7197" width="2.42578125" style="403" hidden="1" customWidth="1"/>
    <col min="7198" max="7201" width="2.5703125" style="403" hidden="1" customWidth="1"/>
    <col min="7202" max="7207" width="2.42578125" style="403" hidden="1" customWidth="1"/>
    <col min="7208" max="7208" width="1.5703125" style="403" hidden="1" customWidth="1"/>
    <col min="7209" max="7424" width="2.5703125" style="403" hidden="1"/>
    <col min="7425" max="7425" width="1.5703125" style="403" hidden="1" customWidth="1"/>
    <col min="7426" max="7426" width="0.85546875" style="403" hidden="1" customWidth="1"/>
    <col min="7427" max="7442" width="2.5703125" style="403" hidden="1" customWidth="1"/>
    <col min="7443" max="7443" width="4" style="403" hidden="1" customWidth="1"/>
    <col min="7444" max="7447" width="2.5703125" style="403" hidden="1" customWidth="1"/>
    <col min="7448" max="7448" width="2.42578125" style="403" hidden="1" customWidth="1"/>
    <col min="7449" max="7452" width="2.5703125" style="403" hidden="1" customWidth="1"/>
    <col min="7453" max="7453" width="2.42578125" style="403" hidden="1" customWidth="1"/>
    <col min="7454" max="7457" width="2.5703125" style="403" hidden="1" customWidth="1"/>
    <col min="7458" max="7463" width="2.42578125" style="403" hidden="1" customWidth="1"/>
    <col min="7464" max="7464" width="1.5703125" style="403" hidden="1" customWidth="1"/>
    <col min="7465" max="7680" width="2.5703125" style="403" hidden="1"/>
    <col min="7681" max="7681" width="1.5703125" style="403" hidden="1" customWidth="1"/>
    <col min="7682" max="7682" width="0.85546875" style="403" hidden="1" customWidth="1"/>
    <col min="7683" max="7698" width="2.5703125" style="403" hidden="1" customWidth="1"/>
    <col min="7699" max="7699" width="4" style="403" hidden="1" customWidth="1"/>
    <col min="7700" max="7703" width="2.5703125" style="403" hidden="1" customWidth="1"/>
    <col min="7704" max="7704" width="2.42578125" style="403" hidden="1" customWidth="1"/>
    <col min="7705" max="7708" width="2.5703125" style="403" hidden="1" customWidth="1"/>
    <col min="7709" max="7709" width="2.42578125" style="403" hidden="1" customWidth="1"/>
    <col min="7710" max="7713" width="2.5703125" style="403" hidden="1" customWidth="1"/>
    <col min="7714" max="7719" width="2.42578125" style="403" hidden="1" customWidth="1"/>
    <col min="7720" max="7720" width="1.5703125" style="403" hidden="1" customWidth="1"/>
    <col min="7721" max="7936" width="2.5703125" style="403" hidden="1"/>
    <col min="7937" max="7937" width="1.5703125" style="403" hidden="1" customWidth="1"/>
    <col min="7938" max="7938" width="0.85546875" style="403" hidden="1" customWidth="1"/>
    <col min="7939" max="7954" width="2.5703125" style="403" hidden="1" customWidth="1"/>
    <col min="7955" max="7955" width="4" style="403" hidden="1" customWidth="1"/>
    <col min="7956" max="7959" width="2.5703125" style="403" hidden="1" customWidth="1"/>
    <col min="7960" max="7960" width="2.42578125" style="403" hidden="1" customWidth="1"/>
    <col min="7961" max="7964" width="2.5703125" style="403" hidden="1" customWidth="1"/>
    <col min="7965" max="7965" width="2.42578125" style="403" hidden="1" customWidth="1"/>
    <col min="7966" max="7969" width="2.5703125" style="403" hidden="1" customWidth="1"/>
    <col min="7970" max="7975" width="2.42578125" style="403" hidden="1" customWidth="1"/>
    <col min="7976" max="7976" width="1.5703125" style="403" hidden="1" customWidth="1"/>
    <col min="7977" max="8192" width="2.5703125" style="403" hidden="1"/>
    <col min="8193" max="8193" width="1.5703125" style="403" hidden="1" customWidth="1"/>
    <col min="8194" max="8194" width="0.85546875" style="403" hidden="1" customWidth="1"/>
    <col min="8195" max="8210" width="2.5703125" style="403" hidden="1" customWidth="1"/>
    <col min="8211" max="8211" width="4" style="403" hidden="1" customWidth="1"/>
    <col min="8212" max="8215" width="2.5703125" style="403" hidden="1" customWidth="1"/>
    <col min="8216" max="8216" width="2.42578125" style="403" hidden="1" customWidth="1"/>
    <col min="8217" max="8220" width="2.5703125" style="403" hidden="1" customWidth="1"/>
    <col min="8221" max="8221" width="2.42578125" style="403" hidden="1" customWidth="1"/>
    <col min="8222" max="8225" width="2.5703125" style="403" hidden="1" customWidth="1"/>
    <col min="8226" max="8231" width="2.42578125" style="403" hidden="1" customWidth="1"/>
    <col min="8232" max="8232" width="1.5703125" style="403" hidden="1" customWidth="1"/>
    <col min="8233" max="8448" width="2.5703125" style="403" hidden="1"/>
    <col min="8449" max="8449" width="1.5703125" style="403" hidden="1" customWidth="1"/>
    <col min="8450" max="8450" width="0.85546875" style="403" hidden="1" customWidth="1"/>
    <col min="8451" max="8466" width="2.5703125" style="403" hidden="1" customWidth="1"/>
    <col min="8467" max="8467" width="4" style="403" hidden="1" customWidth="1"/>
    <col min="8468" max="8471" width="2.5703125" style="403" hidden="1" customWidth="1"/>
    <col min="8472" max="8472" width="2.42578125" style="403" hidden="1" customWidth="1"/>
    <col min="8473" max="8476" width="2.5703125" style="403" hidden="1" customWidth="1"/>
    <col min="8477" max="8477" width="2.42578125" style="403" hidden="1" customWidth="1"/>
    <col min="8478" max="8481" width="2.5703125" style="403" hidden="1" customWidth="1"/>
    <col min="8482" max="8487" width="2.42578125" style="403" hidden="1" customWidth="1"/>
    <col min="8488" max="8488" width="1.5703125" style="403" hidden="1" customWidth="1"/>
    <col min="8489" max="8704" width="2.5703125" style="403" hidden="1"/>
    <col min="8705" max="8705" width="1.5703125" style="403" hidden="1" customWidth="1"/>
    <col min="8706" max="8706" width="0.85546875" style="403" hidden="1" customWidth="1"/>
    <col min="8707" max="8722" width="2.5703125" style="403" hidden="1" customWidth="1"/>
    <col min="8723" max="8723" width="4" style="403" hidden="1" customWidth="1"/>
    <col min="8724" max="8727" width="2.5703125" style="403" hidden="1" customWidth="1"/>
    <col min="8728" max="8728" width="2.42578125" style="403" hidden="1" customWidth="1"/>
    <col min="8729" max="8732" width="2.5703125" style="403" hidden="1" customWidth="1"/>
    <col min="8733" max="8733" width="2.42578125" style="403" hidden="1" customWidth="1"/>
    <col min="8734" max="8737" width="2.5703125" style="403" hidden="1" customWidth="1"/>
    <col min="8738" max="8743" width="2.42578125" style="403" hidden="1" customWidth="1"/>
    <col min="8744" max="8744" width="1.5703125" style="403" hidden="1" customWidth="1"/>
    <col min="8745" max="8960" width="2.5703125" style="403" hidden="1"/>
    <col min="8961" max="8961" width="1.5703125" style="403" hidden="1" customWidth="1"/>
    <col min="8962" max="8962" width="0.85546875" style="403" hidden="1" customWidth="1"/>
    <col min="8963" max="8978" width="2.5703125" style="403" hidden="1" customWidth="1"/>
    <col min="8979" max="8979" width="4" style="403" hidden="1" customWidth="1"/>
    <col min="8980" max="8983" width="2.5703125" style="403" hidden="1" customWidth="1"/>
    <col min="8984" max="8984" width="2.42578125" style="403" hidden="1" customWidth="1"/>
    <col min="8985" max="8988" width="2.5703125" style="403" hidden="1" customWidth="1"/>
    <col min="8989" max="8989" width="2.42578125" style="403" hidden="1" customWidth="1"/>
    <col min="8990" max="8993" width="2.5703125" style="403" hidden="1" customWidth="1"/>
    <col min="8994" max="8999" width="2.42578125" style="403" hidden="1" customWidth="1"/>
    <col min="9000" max="9000" width="1.5703125" style="403" hidden="1" customWidth="1"/>
    <col min="9001" max="9216" width="2.5703125" style="403" hidden="1"/>
    <col min="9217" max="9217" width="1.5703125" style="403" hidden="1" customWidth="1"/>
    <col min="9218" max="9218" width="0.85546875" style="403" hidden="1" customWidth="1"/>
    <col min="9219" max="9234" width="2.5703125" style="403" hidden="1" customWidth="1"/>
    <col min="9235" max="9235" width="4" style="403" hidden="1" customWidth="1"/>
    <col min="9236" max="9239" width="2.5703125" style="403" hidden="1" customWidth="1"/>
    <col min="9240" max="9240" width="2.42578125" style="403" hidden="1" customWidth="1"/>
    <col min="9241" max="9244" width="2.5703125" style="403" hidden="1" customWidth="1"/>
    <col min="9245" max="9245" width="2.42578125" style="403" hidden="1" customWidth="1"/>
    <col min="9246" max="9249" width="2.5703125" style="403" hidden="1" customWidth="1"/>
    <col min="9250" max="9255" width="2.42578125" style="403" hidden="1" customWidth="1"/>
    <col min="9256" max="9256" width="1.5703125" style="403" hidden="1" customWidth="1"/>
    <col min="9257" max="9472" width="2.5703125" style="403" hidden="1"/>
    <col min="9473" max="9473" width="1.5703125" style="403" hidden="1" customWidth="1"/>
    <col min="9474" max="9474" width="0.85546875" style="403" hidden="1" customWidth="1"/>
    <col min="9475" max="9490" width="2.5703125" style="403" hidden="1" customWidth="1"/>
    <col min="9491" max="9491" width="4" style="403" hidden="1" customWidth="1"/>
    <col min="9492" max="9495" width="2.5703125" style="403" hidden="1" customWidth="1"/>
    <col min="9496" max="9496" width="2.42578125" style="403" hidden="1" customWidth="1"/>
    <col min="9497" max="9500" width="2.5703125" style="403" hidden="1" customWidth="1"/>
    <col min="9501" max="9501" width="2.42578125" style="403" hidden="1" customWidth="1"/>
    <col min="9502" max="9505" width="2.5703125" style="403" hidden="1" customWidth="1"/>
    <col min="9506" max="9511" width="2.42578125" style="403" hidden="1" customWidth="1"/>
    <col min="9512" max="9512" width="1.5703125" style="403" hidden="1" customWidth="1"/>
    <col min="9513" max="9728" width="2.5703125" style="403" hidden="1"/>
    <col min="9729" max="9729" width="1.5703125" style="403" hidden="1" customWidth="1"/>
    <col min="9730" max="9730" width="0.85546875" style="403" hidden="1" customWidth="1"/>
    <col min="9731" max="9746" width="2.5703125" style="403" hidden="1" customWidth="1"/>
    <col min="9747" max="9747" width="4" style="403" hidden="1" customWidth="1"/>
    <col min="9748" max="9751" width="2.5703125" style="403" hidden="1" customWidth="1"/>
    <col min="9752" max="9752" width="2.42578125" style="403" hidden="1" customWidth="1"/>
    <col min="9753" max="9756" width="2.5703125" style="403" hidden="1" customWidth="1"/>
    <col min="9757" max="9757" width="2.42578125" style="403" hidden="1" customWidth="1"/>
    <col min="9758" max="9761" width="2.5703125" style="403" hidden="1" customWidth="1"/>
    <col min="9762" max="9767" width="2.42578125" style="403" hidden="1" customWidth="1"/>
    <col min="9768" max="9768" width="1.5703125" style="403" hidden="1" customWidth="1"/>
    <col min="9769" max="9984" width="2.5703125" style="403" hidden="1"/>
    <col min="9985" max="9985" width="1.5703125" style="403" hidden="1" customWidth="1"/>
    <col min="9986" max="9986" width="0.85546875" style="403" hidden="1" customWidth="1"/>
    <col min="9987" max="10002" width="2.5703125" style="403" hidden="1" customWidth="1"/>
    <col min="10003" max="10003" width="4" style="403" hidden="1" customWidth="1"/>
    <col min="10004" max="10007" width="2.5703125" style="403" hidden="1" customWidth="1"/>
    <col min="10008" max="10008" width="2.42578125" style="403" hidden="1" customWidth="1"/>
    <col min="10009" max="10012" width="2.5703125" style="403" hidden="1" customWidth="1"/>
    <col min="10013" max="10013" width="2.42578125" style="403" hidden="1" customWidth="1"/>
    <col min="10014" max="10017" width="2.5703125" style="403" hidden="1" customWidth="1"/>
    <col min="10018" max="10023" width="2.42578125" style="403" hidden="1" customWidth="1"/>
    <col min="10024" max="10024" width="1.5703125" style="403" hidden="1" customWidth="1"/>
    <col min="10025" max="10240" width="2.5703125" style="403" hidden="1"/>
    <col min="10241" max="10241" width="1.5703125" style="403" hidden="1" customWidth="1"/>
    <col min="10242" max="10242" width="0.85546875" style="403" hidden="1" customWidth="1"/>
    <col min="10243" max="10258" width="2.5703125" style="403" hidden="1" customWidth="1"/>
    <col min="10259" max="10259" width="4" style="403" hidden="1" customWidth="1"/>
    <col min="10260" max="10263" width="2.5703125" style="403" hidden="1" customWidth="1"/>
    <col min="10264" max="10264" width="2.42578125" style="403" hidden="1" customWidth="1"/>
    <col min="10265" max="10268" width="2.5703125" style="403" hidden="1" customWidth="1"/>
    <col min="10269" max="10269" width="2.42578125" style="403" hidden="1" customWidth="1"/>
    <col min="10270" max="10273" width="2.5703125" style="403" hidden="1" customWidth="1"/>
    <col min="10274" max="10279" width="2.42578125" style="403" hidden="1" customWidth="1"/>
    <col min="10280" max="10280" width="1.5703125" style="403" hidden="1" customWidth="1"/>
    <col min="10281" max="10496" width="2.5703125" style="403" hidden="1"/>
    <col min="10497" max="10497" width="1.5703125" style="403" hidden="1" customWidth="1"/>
    <col min="10498" max="10498" width="0.85546875" style="403" hidden="1" customWidth="1"/>
    <col min="10499" max="10514" width="2.5703125" style="403" hidden="1" customWidth="1"/>
    <col min="10515" max="10515" width="4" style="403" hidden="1" customWidth="1"/>
    <col min="10516" max="10519" width="2.5703125" style="403" hidden="1" customWidth="1"/>
    <col min="10520" max="10520" width="2.42578125" style="403" hidden="1" customWidth="1"/>
    <col min="10521" max="10524" width="2.5703125" style="403" hidden="1" customWidth="1"/>
    <col min="10525" max="10525" width="2.42578125" style="403" hidden="1" customWidth="1"/>
    <col min="10526" max="10529" width="2.5703125" style="403" hidden="1" customWidth="1"/>
    <col min="10530" max="10535" width="2.42578125" style="403" hidden="1" customWidth="1"/>
    <col min="10536" max="10536" width="1.5703125" style="403" hidden="1" customWidth="1"/>
    <col min="10537" max="10752" width="2.5703125" style="403" hidden="1"/>
    <col min="10753" max="10753" width="1.5703125" style="403" hidden="1" customWidth="1"/>
    <col min="10754" max="10754" width="0.85546875" style="403" hidden="1" customWidth="1"/>
    <col min="10755" max="10770" width="2.5703125" style="403" hidden="1" customWidth="1"/>
    <col min="10771" max="10771" width="4" style="403" hidden="1" customWidth="1"/>
    <col min="10772" max="10775" width="2.5703125" style="403" hidden="1" customWidth="1"/>
    <col min="10776" max="10776" width="2.42578125" style="403" hidden="1" customWidth="1"/>
    <col min="10777" max="10780" width="2.5703125" style="403" hidden="1" customWidth="1"/>
    <col min="10781" max="10781" width="2.42578125" style="403" hidden="1" customWidth="1"/>
    <col min="10782" max="10785" width="2.5703125" style="403" hidden="1" customWidth="1"/>
    <col min="10786" max="10791" width="2.42578125" style="403" hidden="1" customWidth="1"/>
    <col min="10792" max="10792" width="1.5703125" style="403" hidden="1" customWidth="1"/>
    <col min="10793" max="11008" width="2.5703125" style="403" hidden="1"/>
    <col min="11009" max="11009" width="1.5703125" style="403" hidden="1" customWidth="1"/>
    <col min="11010" max="11010" width="0.85546875" style="403" hidden="1" customWidth="1"/>
    <col min="11011" max="11026" width="2.5703125" style="403" hidden="1" customWidth="1"/>
    <col min="11027" max="11027" width="4" style="403" hidden="1" customWidth="1"/>
    <col min="11028" max="11031" width="2.5703125" style="403" hidden="1" customWidth="1"/>
    <col min="11032" max="11032" width="2.42578125" style="403" hidden="1" customWidth="1"/>
    <col min="11033" max="11036" width="2.5703125" style="403" hidden="1" customWidth="1"/>
    <col min="11037" max="11037" width="2.42578125" style="403" hidden="1" customWidth="1"/>
    <col min="11038" max="11041" width="2.5703125" style="403" hidden="1" customWidth="1"/>
    <col min="11042" max="11047" width="2.42578125" style="403" hidden="1" customWidth="1"/>
    <col min="11048" max="11048" width="1.5703125" style="403" hidden="1" customWidth="1"/>
    <col min="11049" max="11264" width="2.5703125" style="403" hidden="1"/>
    <col min="11265" max="11265" width="1.5703125" style="403" hidden="1" customWidth="1"/>
    <col min="11266" max="11266" width="0.85546875" style="403" hidden="1" customWidth="1"/>
    <col min="11267" max="11282" width="2.5703125" style="403" hidden="1" customWidth="1"/>
    <col min="11283" max="11283" width="4" style="403" hidden="1" customWidth="1"/>
    <col min="11284" max="11287" width="2.5703125" style="403" hidden="1" customWidth="1"/>
    <col min="11288" max="11288" width="2.42578125" style="403" hidden="1" customWidth="1"/>
    <col min="11289" max="11292" width="2.5703125" style="403" hidden="1" customWidth="1"/>
    <col min="11293" max="11293" width="2.42578125" style="403" hidden="1" customWidth="1"/>
    <col min="11294" max="11297" width="2.5703125" style="403" hidden="1" customWidth="1"/>
    <col min="11298" max="11303" width="2.42578125" style="403" hidden="1" customWidth="1"/>
    <col min="11304" max="11304" width="1.5703125" style="403" hidden="1" customWidth="1"/>
    <col min="11305" max="11520" width="2.5703125" style="403" hidden="1"/>
    <col min="11521" max="11521" width="1.5703125" style="403" hidden="1" customWidth="1"/>
    <col min="11522" max="11522" width="0.85546875" style="403" hidden="1" customWidth="1"/>
    <col min="11523" max="11538" width="2.5703125" style="403" hidden="1" customWidth="1"/>
    <col min="11539" max="11539" width="4" style="403" hidden="1" customWidth="1"/>
    <col min="11540" max="11543" width="2.5703125" style="403" hidden="1" customWidth="1"/>
    <col min="11544" max="11544" width="2.42578125" style="403" hidden="1" customWidth="1"/>
    <col min="11545" max="11548" width="2.5703125" style="403" hidden="1" customWidth="1"/>
    <col min="11549" max="11549" width="2.42578125" style="403" hidden="1" customWidth="1"/>
    <col min="11550" max="11553" width="2.5703125" style="403" hidden="1" customWidth="1"/>
    <col min="11554" max="11559" width="2.42578125" style="403" hidden="1" customWidth="1"/>
    <col min="11560" max="11560" width="1.5703125" style="403" hidden="1" customWidth="1"/>
    <col min="11561" max="11776" width="2.5703125" style="403" hidden="1"/>
    <col min="11777" max="11777" width="1.5703125" style="403" hidden="1" customWidth="1"/>
    <col min="11778" max="11778" width="0.85546875" style="403" hidden="1" customWidth="1"/>
    <col min="11779" max="11794" width="2.5703125" style="403" hidden="1" customWidth="1"/>
    <col min="11795" max="11795" width="4" style="403" hidden="1" customWidth="1"/>
    <col min="11796" max="11799" width="2.5703125" style="403" hidden="1" customWidth="1"/>
    <col min="11800" max="11800" width="2.42578125" style="403" hidden="1" customWidth="1"/>
    <col min="11801" max="11804" width="2.5703125" style="403" hidden="1" customWidth="1"/>
    <col min="11805" max="11805" width="2.42578125" style="403" hidden="1" customWidth="1"/>
    <col min="11806" max="11809" width="2.5703125" style="403" hidden="1" customWidth="1"/>
    <col min="11810" max="11815" width="2.42578125" style="403" hidden="1" customWidth="1"/>
    <col min="11816" max="11816" width="1.5703125" style="403" hidden="1" customWidth="1"/>
    <col min="11817" max="12032" width="2.5703125" style="403" hidden="1"/>
    <col min="12033" max="12033" width="1.5703125" style="403" hidden="1" customWidth="1"/>
    <col min="12034" max="12034" width="0.85546875" style="403" hidden="1" customWidth="1"/>
    <col min="12035" max="12050" width="2.5703125" style="403" hidden="1" customWidth="1"/>
    <col min="12051" max="12051" width="4" style="403" hidden="1" customWidth="1"/>
    <col min="12052" max="12055" width="2.5703125" style="403" hidden="1" customWidth="1"/>
    <col min="12056" max="12056" width="2.42578125" style="403" hidden="1" customWidth="1"/>
    <col min="12057" max="12060" width="2.5703125" style="403" hidden="1" customWidth="1"/>
    <col min="12061" max="12061" width="2.42578125" style="403" hidden="1" customWidth="1"/>
    <col min="12062" max="12065" width="2.5703125" style="403" hidden="1" customWidth="1"/>
    <col min="12066" max="12071" width="2.42578125" style="403" hidden="1" customWidth="1"/>
    <col min="12072" max="12072" width="1.5703125" style="403" hidden="1" customWidth="1"/>
    <col min="12073" max="12288" width="2.5703125" style="403" hidden="1"/>
    <col min="12289" max="12289" width="1.5703125" style="403" hidden="1" customWidth="1"/>
    <col min="12290" max="12290" width="0.85546875" style="403" hidden="1" customWidth="1"/>
    <col min="12291" max="12306" width="2.5703125" style="403" hidden="1" customWidth="1"/>
    <col min="12307" max="12307" width="4" style="403" hidden="1" customWidth="1"/>
    <col min="12308" max="12311" width="2.5703125" style="403" hidden="1" customWidth="1"/>
    <col min="12312" max="12312" width="2.42578125" style="403" hidden="1" customWidth="1"/>
    <col min="12313" max="12316" width="2.5703125" style="403" hidden="1" customWidth="1"/>
    <col min="12317" max="12317" width="2.42578125" style="403" hidden="1" customWidth="1"/>
    <col min="12318" max="12321" width="2.5703125" style="403" hidden="1" customWidth="1"/>
    <col min="12322" max="12327" width="2.42578125" style="403" hidden="1" customWidth="1"/>
    <col min="12328" max="12328" width="1.5703125" style="403" hidden="1" customWidth="1"/>
    <col min="12329" max="12544" width="2.5703125" style="403" hidden="1"/>
    <col min="12545" max="12545" width="1.5703125" style="403" hidden="1" customWidth="1"/>
    <col min="12546" max="12546" width="0.85546875" style="403" hidden="1" customWidth="1"/>
    <col min="12547" max="12562" width="2.5703125" style="403" hidden="1" customWidth="1"/>
    <col min="12563" max="12563" width="4" style="403" hidden="1" customWidth="1"/>
    <col min="12564" max="12567" width="2.5703125" style="403" hidden="1" customWidth="1"/>
    <col min="12568" max="12568" width="2.42578125" style="403" hidden="1" customWidth="1"/>
    <col min="12569" max="12572" width="2.5703125" style="403" hidden="1" customWidth="1"/>
    <col min="12573" max="12573" width="2.42578125" style="403" hidden="1" customWidth="1"/>
    <col min="12574" max="12577" width="2.5703125" style="403" hidden="1" customWidth="1"/>
    <col min="12578" max="12583" width="2.42578125" style="403" hidden="1" customWidth="1"/>
    <col min="12584" max="12584" width="1.5703125" style="403" hidden="1" customWidth="1"/>
    <col min="12585" max="12800" width="2.5703125" style="403" hidden="1"/>
    <col min="12801" max="12801" width="1.5703125" style="403" hidden="1" customWidth="1"/>
    <col min="12802" max="12802" width="0.85546875" style="403" hidden="1" customWidth="1"/>
    <col min="12803" max="12818" width="2.5703125" style="403" hidden="1" customWidth="1"/>
    <col min="12819" max="12819" width="4" style="403" hidden="1" customWidth="1"/>
    <col min="12820" max="12823" width="2.5703125" style="403" hidden="1" customWidth="1"/>
    <col min="12824" max="12824" width="2.42578125" style="403" hidden="1" customWidth="1"/>
    <col min="12825" max="12828" width="2.5703125" style="403" hidden="1" customWidth="1"/>
    <col min="12829" max="12829" width="2.42578125" style="403" hidden="1" customWidth="1"/>
    <col min="12830" max="12833" width="2.5703125" style="403" hidden="1" customWidth="1"/>
    <col min="12834" max="12839" width="2.42578125" style="403" hidden="1" customWidth="1"/>
    <col min="12840" max="12840" width="1.5703125" style="403" hidden="1" customWidth="1"/>
    <col min="12841" max="13056" width="2.5703125" style="403" hidden="1"/>
    <col min="13057" max="13057" width="1.5703125" style="403" hidden="1" customWidth="1"/>
    <col min="13058" max="13058" width="0.85546875" style="403" hidden="1" customWidth="1"/>
    <col min="13059" max="13074" width="2.5703125" style="403" hidden="1" customWidth="1"/>
    <col min="13075" max="13075" width="4" style="403" hidden="1" customWidth="1"/>
    <col min="13076" max="13079" width="2.5703125" style="403" hidden="1" customWidth="1"/>
    <col min="13080" max="13080" width="2.42578125" style="403" hidden="1" customWidth="1"/>
    <col min="13081" max="13084" width="2.5703125" style="403" hidden="1" customWidth="1"/>
    <col min="13085" max="13085" width="2.42578125" style="403" hidden="1" customWidth="1"/>
    <col min="13086" max="13089" width="2.5703125" style="403" hidden="1" customWidth="1"/>
    <col min="13090" max="13095" width="2.42578125" style="403" hidden="1" customWidth="1"/>
    <col min="13096" max="13096" width="1.5703125" style="403" hidden="1" customWidth="1"/>
    <col min="13097" max="13312" width="2.5703125" style="403" hidden="1"/>
    <col min="13313" max="13313" width="1.5703125" style="403" hidden="1" customWidth="1"/>
    <col min="13314" max="13314" width="0.85546875" style="403" hidden="1" customWidth="1"/>
    <col min="13315" max="13330" width="2.5703125" style="403" hidden="1" customWidth="1"/>
    <col min="13331" max="13331" width="4" style="403" hidden="1" customWidth="1"/>
    <col min="13332" max="13335" width="2.5703125" style="403" hidden="1" customWidth="1"/>
    <col min="13336" max="13336" width="2.42578125" style="403" hidden="1" customWidth="1"/>
    <col min="13337" max="13340" width="2.5703125" style="403" hidden="1" customWidth="1"/>
    <col min="13341" max="13341" width="2.42578125" style="403" hidden="1" customWidth="1"/>
    <col min="13342" max="13345" width="2.5703125" style="403" hidden="1" customWidth="1"/>
    <col min="13346" max="13351" width="2.42578125" style="403" hidden="1" customWidth="1"/>
    <col min="13352" max="13352" width="1.5703125" style="403" hidden="1" customWidth="1"/>
    <col min="13353" max="13568" width="2.5703125" style="403" hidden="1"/>
    <col min="13569" max="13569" width="1.5703125" style="403" hidden="1" customWidth="1"/>
    <col min="13570" max="13570" width="0.85546875" style="403" hidden="1" customWidth="1"/>
    <col min="13571" max="13586" width="2.5703125" style="403" hidden="1" customWidth="1"/>
    <col min="13587" max="13587" width="4" style="403" hidden="1" customWidth="1"/>
    <col min="13588" max="13591" width="2.5703125" style="403" hidden="1" customWidth="1"/>
    <col min="13592" max="13592" width="2.42578125" style="403" hidden="1" customWidth="1"/>
    <col min="13593" max="13596" width="2.5703125" style="403" hidden="1" customWidth="1"/>
    <col min="13597" max="13597" width="2.42578125" style="403" hidden="1" customWidth="1"/>
    <col min="13598" max="13601" width="2.5703125" style="403" hidden="1" customWidth="1"/>
    <col min="13602" max="13607" width="2.42578125" style="403" hidden="1" customWidth="1"/>
    <col min="13608" max="13608" width="1.5703125" style="403" hidden="1" customWidth="1"/>
    <col min="13609" max="13824" width="2.5703125" style="403" hidden="1"/>
    <col min="13825" max="13825" width="1.5703125" style="403" hidden="1" customWidth="1"/>
    <col min="13826" max="13826" width="0.85546875" style="403" hidden="1" customWidth="1"/>
    <col min="13827" max="13842" width="2.5703125" style="403" hidden="1" customWidth="1"/>
    <col min="13843" max="13843" width="4" style="403" hidden="1" customWidth="1"/>
    <col min="13844" max="13847" width="2.5703125" style="403" hidden="1" customWidth="1"/>
    <col min="13848" max="13848" width="2.42578125" style="403" hidden="1" customWidth="1"/>
    <col min="13849" max="13852" width="2.5703125" style="403" hidden="1" customWidth="1"/>
    <col min="13853" max="13853" width="2.42578125" style="403" hidden="1" customWidth="1"/>
    <col min="13854" max="13857" width="2.5703125" style="403" hidden="1" customWidth="1"/>
    <col min="13858" max="13863" width="2.42578125" style="403" hidden="1" customWidth="1"/>
    <col min="13864" max="13864" width="1.5703125" style="403" hidden="1" customWidth="1"/>
    <col min="13865" max="14080" width="2.5703125" style="403" hidden="1"/>
    <col min="14081" max="14081" width="1.5703125" style="403" hidden="1" customWidth="1"/>
    <col min="14082" max="14082" width="0.85546875" style="403" hidden="1" customWidth="1"/>
    <col min="14083" max="14098" width="2.5703125" style="403" hidden="1" customWidth="1"/>
    <col min="14099" max="14099" width="4" style="403" hidden="1" customWidth="1"/>
    <col min="14100" max="14103" width="2.5703125" style="403" hidden="1" customWidth="1"/>
    <col min="14104" max="14104" width="2.42578125" style="403" hidden="1" customWidth="1"/>
    <col min="14105" max="14108" width="2.5703125" style="403" hidden="1" customWidth="1"/>
    <col min="14109" max="14109" width="2.42578125" style="403" hidden="1" customWidth="1"/>
    <col min="14110" max="14113" width="2.5703125" style="403" hidden="1" customWidth="1"/>
    <col min="14114" max="14119" width="2.42578125" style="403" hidden="1" customWidth="1"/>
    <col min="14120" max="14120" width="1.5703125" style="403" hidden="1" customWidth="1"/>
    <col min="14121" max="14336" width="2.5703125" style="403" hidden="1"/>
    <col min="14337" max="14337" width="1.5703125" style="403" hidden="1" customWidth="1"/>
    <col min="14338" max="14338" width="0.85546875" style="403" hidden="1" customWidth="1"/>
    <col min="14339" max="14354" width="2.5703125" style="403" hidden="1" customWidth="1"/>
    <col min="14355" max="14355" width="4" style="403" hidden="1" customWidth="1"/>
    <col min="14356" max="14359" width="2.5703125" style="403" hidden="1" customWidth="1"/>
    <col min="14360" max="14360" width="2.42578125" style="403" hidden="1" customWidth="1"/>
    <col min="14361" max="14364" width="2.5703125" style="403" hidden="1" customWidth="1"/>
    <col min="14365" max="14365" width="2.42578125" style="403" hidden="1" customWidth="1"/>
    <col min="14366" max="14369" width="2.5703125" style="403" hidden="1" customWidth="1"/>
    <col min="14370" max="14375" width="2.42578125" style="403" hidden="1" customWidth="1"/>
    <col min="14376" max="14376" width="1.5703125" style="403" hidden="1" customWidth="1"/>
    <col min="14377" max="14592" width="2.5703125" style="403" hidden="1"/>
    <col min="14593" max="14593" width="1.5703125" style="403" hidden="1" customWidth="1"/>
    <col min="14594" max="14594" width="0.85546875" style="403" hidden="1" customWidth="1"/>
    <col min="14595" max="14610" width="2.5703125" style="403" hidden="1" customWidth="1"/>
    <col min="14611" max="14611" width="4" style="403" hidden="1" customWidth="1"/>
    <col min="14612" max="14615" width="2.5703125" style="403" hidden="1" customWidth="1"/>
    <col min="14616" max="14616" width="2.42578125" style="403" hidden="1" customWidth="1"/>
    <col min="14617" max="14620" width="2.5703125" style="403" hidden="1" customWidth="1"/>
    <col min="14621" max="14621" width="2.42578125" style="403" hidden="1" customWidth="1"/>
    <col min="14622" max="14625" width="2.5703125" style="403" hidden="1" customWidth="1"/>
    <col min="14626" max="14631" width="2.42578125" style="403" hidden="1" customWidth="1"/>
    <col min="14632" max="14632" width="1.5703125" style="403" hidden="1" customWidth="1"/>
    <col min="14633" max="14848" width="2.5703125" style="403" hidden="1"/>
    <col min="14849" max="14849" width="1.5703125" style="403" hidden="1" customWidth="1"/>
    <col min="14850" max="14850" width="0.85546875" style="403" hidden="1" customWidth="1"/>
    <col min="14851" max="14866" width="2.5703125" style="403" hidden="1" customWidth="1"/>
    <col min="14867" max="14867" width="4" style="403" hidden="1" customWidth="1"/>
    <col min="14868" max="14871" width="2.5703125" style="403" hidden="1" customWidth="1"/>
    <col min="14872" max="14872" width="2.42578125" style="403" hidden="1" customWidth="1"/>
    <col min="14873" max="14876" width="2.5703125" style="403" hidden="1" customWidth="1"/>
    <col min="14877" max="14877" width="2.42578125" style="403" hidden="1" customWidth="1"/>
    <col min="14878" max="14881" width="2.5703125" style="403" hidden="1" customWidth="1"/>
    <col min="14882" max="14887" width="2.42578125" style="403" hidden="1" customWidth="1"/>
    <col min="14888" max="14888" width="1.5703125" style="403" hidden="1" customWidth="1"/>
    <col min="14889" max="15104" width="2.5703125" style="403" hidden="1"/>
    <col min="15105" max="15105" width="1.5703125" style="403" hidden="1" customWidth="1"/>
    <col min="15106" max="15106" width="0.85546875" style="403" hidden="1" customWidth="1"/>
    <col min="15107" max="15122" width="2.5703125" style="403" hidden="1" customWidth="1"/>
    <col min="15123" max="15123" width="4" style="403" hidden="1" customWidth="1"/>
    <col min="15124" max="15127" width="2.5703125" style="403" hidden="1" customWidth="1"/>
    <col min="15128" max="15128" width="2.42578125" style="403" hidden="1" customWidth="1"/>
    <col min="15129" max="15132" width="2.5703125" style="403" hidden="1" customWidth="1"/>
    <col min="15133" max="15133" width="2.42578125" style="403" hidden="1" customWidth="1"/>
    <col min="15134" max="15137" width="2.5703125" style="403" hidden="1" customWidth="1"/>
    <col min="15138" max="15143" width="2.42578125" style="403" hidden="1" customWidth="1"/>
    <col min="15144" max="15144" width="1.5703125" style="403" hidden="1" customWidth="1"/>
    <col min="15145" max="15360" width="2.5703125" style="403" hidden="1"/>
    <col min="15361" max="15361" width="1.5703125" style="403" hidden="1" customWidth="1"/>
    <col min="15362" max="15362" width="0.85546875" style="403" hidden="1" customWidth="1"/>
    <col min="15363" max="15378" width="2.5703125" style="403" hidden="1" customWidth="1"/>
    <col min="15379" max="15379" width="4" style="403" hidden="1" customWidth="1"/>
    <col min="15380" max="15383" width="2.5703125" style="403" hidden="1" customWidth="1"/>
    <col min="15384" max="15384" width="2.42578125" style="403" hidden="1" customWidth="1"/>
    <col min="15385" max="15388" width="2.5703125" style="403" hidden="1" customWidth="1"/>
    <col min="15389" max="15389" width="2.42578125" style="403" hidden="1" customWidth="1"/>
    <col min="15390" max="15393" width="2.5703125" style="403" hidden="1" customWidth="1"/>
    <col min="15394" max="15399" width="2.42578125" style="403" hidden="1" customWidth="1"/>
    <col min="15400" max="15400" width="1.5703125" style="403" hidden="1" customWidth="1"/>
    <col min="15401" max="15616" width="2.5703125" style="403" hidden="1"/>
    <col min="15617" max="15617" width="1.5703125" style="403" hidden="1" customWidth="1"/>
    <col min="15618" max="15618" width="0.85546875" style="403" hidden="1" customWidth="1"/>
    <col min="15619" max="15634" width="2.5703125" style="403" hidden="1" customWidth="1"/>
    <col min="15635" max="15635" width="4" style="403" hidden="1" customWidth="1"/>
    <col min="15636" max="15639" width="2.5703125" style="403" hidden="1" customWidth="1"/>
    <col min="15640" max="15640" width="2.42578125" style="403" hidden="1" customWidth="1"/>
    <col min="15641" max="15644" width="2.5703125" style="403" hidden="1" customWidth="1"/>
    <col min="15645" max="15645" width="2.42578125" style="403" hidden="1" customWidth="1"/>
    <col min="15646" max="15649" width="2.5703125" style="403" hidden="1" customWidth="1"/>
    <col min="15650" max="15655" width="2.42578125" style="403" hidden="1" customWidth="1"/>
    <col min="15656" max="15656" width="1.5703125" style="403" hidden="1" customWidth="1"/>
    <col min="15657" max="15872" width="2.5703125" style="403" hidden="1"/>
    <col min="15873" max="15873" width="1.5703125" style="403" hidden="1" customWidth="1"/>
    <col min="15874" max="15874" width="0.85546875" style="403" hidden="1" customWidth="1"/>
    <col min="15875" max="15890" width="2.5703125" style="403" hidden="1" customWidth="1"/>
    <col min="15891" max="15891" width="4" style="403" hidden="1" customWidth="1"/>
    <col min="15892" max="15895" width="2.5703125" style="403" hidden="1" customWidth="1"/>
    <col min="15896" max="15896" width="2.42578125" style="403" hidden="1" customWidth="1"/>
    <col min="15897" max="15900" width="2.5703125" style="403" hidden="1" customWidth="1"/>
    <col min="15901" max="15901" width="2.42578125" style="403" hidden="1" customWidth="1"/>
    <col min="15902" max="15905" width="2.5703125" style="403" hidden="1" customWidth="1"/>
    <col min="15906" max="15911" width="2.42578125" style="403" hidden="1" customWidth="1"/>
    <col min="15912" max="15912" width="1.5703125" style="403" hidden="1" customWidth="1"/>
    <col min="15913" max="16128" width="2.5703125" style="403" hidden="1"/>
    <col min="16129" max="16129" width="1.5703125" style="403" hidden="1" customWidth="1"/>
    <col min="16130" max="16130" width="0.85546875" style="403" hidden="1" customWidth="1"/>
    <col min="16131" max="16146" width="2.5703125" style="403" hidden="1" customWidth="1"/>
    <col min="16147" max="16147" width="4" style="403" hidden="1" customWidth="1"/>
    <col min="16148" max="16151" width="2.5703125" style="403" hidden="1" customWidth="1"/>
    <col min="16152" max="16152" width="2.42578125" style="403" hidden="1" customWidth="1"/>
    <col min="16153" max="16156" width="2.5703125" style="403" hidden="1" customWidth="1"/>
    <col min="16157" max="16157" width="2.42578125" style="403" hidden="1" customWidth="1"/>
    <col min="16158" max="16161" width="2.5703125" style="403" hidden="1" customWidth="1"/>
    <col min="16162" max="16167" width="2.42578125" style="403" hidden="1" customWidth="1"/>
    <col min="16168" max="16168" width="1.5703125" style="403" hidden="1" customWidth="1"/>
    <col min="16169" max="16384" width="2.5703125" style="403" hidden="1"/>
  </cols>
  <sheetData>
    <row r="1" spans="1:40" ht="12.95" customHeight="1">
      <c r="A1" s="2367" t="s">
        <v>1280</v>
      </c>
      <c r="B1" s="2367"/>
      <c r="C1" s="2367"/>
      <c r="D1" s="2367"/>
      <c r="E1" s="2367"/>
      <c r="F1" s="2367"/>
      <c r="G1" s="2367"/>
      <c r="H1" s="2367"/>
      <c r="I1" s="2367"/>
      <c r="J1" s="2367"/>
      <c r="K1" s="2367"/>
      <c r="L1" s="2367"/>
      <c r="M1" s="2367"/>
      <c r="N1" s="2367"/>
      <c r="O1" s="2367"/>
      <c r="P1" s="2367"/>
      <c r="Q1" s="2367"/>
      <c r="R1" s="2367"/>
      <c r="S1" s="2367"/>
      <c r="T1" s="2367"/>
      <c r="U1" s="2367"/>
      <c r="V1" s="2367"/>
      <c r="W1" s="2367"/>
      <c r="X1" s="2367"/>
      <c r="Y1" s="2367"/>
      <c r="Z1" s="2367"/>
      <c r="AA1" s="2367"/>
      <c r="AB1" s="2367"/>
      <c r="AC1" s="2367"/>
      <c r="AD1" s="2367"/>
      <c r="AE1" s="2367"/>
      <c r="AF1" s="2367"/>
      <c r="AG1" s="2367"/>
      <c r="AH1" s="2367"/>
      <c r="AI1" s="2367"/>
      <c r="AJ1" s="2367"/>
      <c r="AK1" s="2367"/>
      <c r="AL1" s="2367"/>
      <c r="AM1" s="2367"/>
      <c r="AN1" s="2367"/>
    </row>
    <row r="2" spans="1:40" ht="12.95" customHeight="1" thickBot="1">
      <c r="A2" s="2368"/>
      <c r="B2" s="2368"/>
      <c r="C2" s="2368"/>
      <c r="D2" s="2368"/>
      <c r="E2" s="2368"/>
      <c r="F2" s="2368"/>
      <c r="G2" s="2368"/>
      <c r="H2" s="2368"/>
      <c r="I2" s="2368"/>
      <c r="J2" s="2368"/>
      <c r="K2" s="2368"/>
      <c r="L2" s="2368"/>
      <c r="M2" s="2368"/>
      <c r="N2" s="2368"/>
      <c r="O2" s="2368"/>
      <c r="P2" s="2368"/>
      <c r="Q2" s="2368"/>
      <c r="R2" s="2368"/>
      <c r="S2" s="2368"/>
      <c r="T2" s="2368"/>
      <c r="U2" s="2368"/>
      <c r="V2" s="2368"/>
      <c r="W2" s="2368"/>
      <c r="X2" s="2368"/>
      <c r="Y2" s="2368"/>
      <c r="Z2" s="2368"/>
      <c r="AA2" s="2368"/>
      <c r="AB2" s="2368"/>
      <c r="AC2" s="2368"/>
      <c r="AD2" s="2368"/>
      <c r="AE2" s="2368"/>
      <c r="AF2" s="2368"/>
      <c r="AG2" s="2368"/>
      <c r="AH2" s="2368"/>
      <c r="AI2" s="2368"/>
      <c r="AJ2" s="2368"/>
      <c r="AK2" s="2368"/>
      <c r="AL2" s="2368"/>
      <c r="AM2" s="2368"/>
      <c r="AN2" s="2368"/>
    </row>
    <row r="3" spans="1:40" ht="12.95" customHeight="1" thickTop="1">
      <c r="A3" s="403" t="str">
        <f>+A1</f>
        <v>V. BASIS AND CREDITS : 4% FEDERAL AND STATE CREDIT</v>
      </c>
      <c r="C3" s="101"/>
      <c r="D3" s="101"/>
      <c r="E3" s="101"/>
      <c r="F3" s="101"/>
      <c r="G3" s="101"/>
      <c r="H3" s="101"/>
      <c r="I3" s="101"/>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I3" s="404"/>
      <c r="AJ3" s="404"/>
      <c r="AK3" s="404"/>
      <c r="AL3" s="404"/>
      <c r="AM3" s="404"/>
      <c r="AN3" s="404"/>
    </row>
    <row r="4" spans="1:40" ht="12.95" customHeight="1">
      <c r="A4" s="405"/>
    </row>
    <row r="5" spans="1:40" ht="12.95" customHeight="1">
      <c r="A5" s="405" t="s">
        <v>319</v>
      </c>
      <c r="C5" s="405" t="s">
        <v>122</v>
      </c>
      <c r="F5" s="405"/>
    </row>
    <row r="6" spans="1:40" ht="12.95" customHeight="1">
      <c r="A6" s="405"/>
      <c r="C6" s="403" t="s">
        <v>1238</v>
      </c>
    </row>
    <row r="7" spans="1:40" ht="12.95" customHeight="1">
      <c r="B7" s="406"/>
      <c r="C7" s="407"/>
      <c r="D7" s="407"/>
      <c r="E7" s="407"/>
      <c r="F7" s="407"/>
      <c r="G7" s="407"/>
      <c r="H7" s="407"/>
      <c r="I7" s="407"/>
      <c r="J7" s="407"/>
      <c r="K7" s="407"/>
      <c r="L7" s="407"/>
      <c r="M7" s="407"/>
      <c r="N7" s="407"/>
      <c r="O7" s="407"/>
      <c r="P7" s="407"/>
      <c r="Q7" s="407"/>
      <c r="R7" s="407"/>
      <c r="S7" s="407"/>
      <c r="T7" s="2369" t="str">
        <f xml:space="preserve"> IF(T25=100%,'Sources and Basis Breakdown'!G2,'Sources and Basis Breakdown'!F2)</f>
        <v>30% PVC for New Const/
Rehabilitation
DDA/QCT
Building(s)</v>
      </c>
      <c r="U7" s="2369"/>
      <c r="V7" s="2369"/>
      <c r="W7" s="2369"/>
      <c r="X7" s="2369"/>
      <c r="Y7" s="2369" t="str">
        <f>IF(T25=100%,"",'Sources and Basis Breakdown'!G2)</f>
        <v>30% PVC for New Const/
Rehabilitation
NON-DDA/
NON-QCT Building(s)</v>
      </c>
      <c r="Z7" s="2369"/>
      <c r="AA7" s="2369"/>
      <c r="AB7" s="2369"/>
      <c r="AC7" s="2369"/>
      <c r="AD7" s="2369" t="str">
        <f xml:space="preserve"> IF(T25=100%, 'Sources and Basis Breakdown'!J2,'Sources and Basis Breakdown'!I2)</f>
        <v>30% PVC for Acquisition
DDA/QCT Building(s)</v>
      </c>
      <c r="AE7" s="2369"/>
      <c r="AF7" s="2369"/>
      <c r="AG7" s="2369"/>
      <c r="AH7" s="2369"/>
      <c r="AI7" s="2369" t="str">
        <f>IF(T25=100%,"",'Sources and Basis Breakdown'!J2)</f>
        <v>30% PVC for Acquisition
NON-DDA/
NON-QCT Building(s)</v>
      </c>
      <c r="AJ7" s="2369"/>
      <c r="AK7" s="2369"/>
      <c r="AL7" s="2369"/>
      <c r="AM7" s="2369"/>
    </row>
    <row r="8" spans="1:40" ht="12.95" customHeight="1">
      <c r="B8" s="408"/>
      <c r="T8" s="2369"/>
      <c r="U8" s="2369"/>
      <c r="V8" s="2369"/>
      <c r="W8" s="2369"/>
      <c r="X8" s="2369"/>
      <c r="Y8" s="2369"/>
      <c r="Z8" s="2369"/>
      <c r="AA8" s="2369"/>
      <c r="AB8" s="2369"/>
      <c r="AC8" s="2369"/>
      <c r="AD8" s="2369"/>
      <c r="AE8" s="2369"/>
      <c r="AF8" s="2369"/>
      <c r="AG8" s="2369"/>
      <c r="AH8" s="2369"/>
      <c r="AI8" s="2369"/>
      <c r="AJ8" s="2369"/>
      <c r="AK8" s="2369"/>
      <c r="AL8" s="2369"/>
      <c r="AM8" s="2369"/>
    </row>
    <row r="9" spans="1:40" ht="12.95" customHeight="1">
      <c r="B9" s="408"/>
      <c r="T9" s="2369"/>
      <c r="U9" s="2369"/>
      <c r="V9" s="2369"/>
      <c r="W9" s="2369"/>
      <c r="X9" s="2369"/>
      <c r="Y9" s="2369"/>
      <c r="Z9" s="2369"/>
      <c r="AA9" s="2369"/>
      <c r="AB9" s="2369"/>
      <c r="AC9" s="2369"/>
      <c r="AD9" s="2369"/>
      <c r="AE9" s="2369"/>
      <c r="AF9" s="2369"/>
      <c r="AG9" s="2369"/>
      <c r="AH9" s="2369"/>
      <c r="AI9" s="2369"/>
      <c r="AJ9" s="2369"/>
      <c r="AK9" s="2369"/>
      <c r="AL9" s="2369"/>
      <c r="AM9" s="2369"/>
    </row>
    <row r="10" spans="1:40" ht="12.95" customHeight="1">
      <c r="B10" s="409"/>
      <c r="C10" s="410"/>
      <c r="D10" s="410"/>
      <c r="E10" s="410"/>
      <c r="F10" s="410"/>
      <c r="G10" s="410"/>
      <c r="H10" s="410"/>
      <c r="I10" s="410"/>
      <c r="J10" s="410"/>
      <c r="K10" s="410"/>
      <c r="L10" s="410"/>
      <c r="M10" s="410"/>
      <c r="N10" s="410"/>
      <c r="O10" s="410"/>
      <c r="P10" s="410"/>
      <c r="Q10" s="410"/>
      <c r="R10" s="410"/>
      <c r="S10" s="410"/>
      <c r="T10" s="2369"/>
      <c r="U10" s="2369"/>
      <c r="V10" s="2369"/>
      <c r="W10" s="2369"/>
      <c r="X10" s="2369"/>
      <c r="Y10" s="2369"/>
      <c r="Z10" s="2369"/>
      <c r="AA10" s="2369"/>
      <c r="AB10" s="2369"/>
      <c r="AC10" s="2369"/>
      <c r="AD10" s="2369"/>
      <c r="AE10" s="2369"/>
      <c r="AF10" s="2369"/>
      <c r="AG10" s="2369"/>
      <c r="AH10" s="2369"/>
      <c r="AI10" s="2369"/>
      <c r="AJ10" s="2369"/>
      <c r="AK10" s="2369"/>
      <c r="AL10" s="2369"/>
      <c r="AM10" s="2369"/>
    </row>
    <row r="11" spans="1:40" ht="12.95" customHeight="1">
      <c r="B11" s="2348" t="s">
        <v>375</v>
      </c>
      <c r="C11" s="2349"/>
      <c r="D11" s="2349"/>
      <c r="E11" s="2349"/>
      <c r="F11" s="2349"/>
      <c r="G11" s="2349"/>
      <c r="H11" s="2349"/>
      <c r="I11" s="2349"/>
      <c r="J11" s="2349"/>
      <c r="K11" s="2349"/>
      <c r="L11" s="2349"/>
      <c r="M11" s="2349"/>
      <c r="N11" s="2349"/>
      <c r="O11" s="2349"/>
      <c r="P11" s="2349"/>
      <c r="Q11" s="2349"/>
      <c r="R11" s="2349"/>
      <c r="S11" s="2350"/>
      <c r="T11" s="2370">
        <f>IF('Sources and Basis Breakdown'!F107=0,'Sources and Basis Breakdown'!E107,'Sources and Basis Breakdown'!F107)</f>
        <v>12335797</v>
      </c>
      <c r="U11" s="2371"/>
      <c r="V11" s="2371"/>
      <c r="W11" s="2371"/>
      <c r="X11" s="2371"/>
      <c r="Y11" s="2370">
        <f>IF(Y7="",0,IF('Sources and Basis Breakdown'!G107+'Sources and Basis Breakdown'!F107='Sources and Basis Breakdown'!E107,'Sources and Basis Breakdown'!G107,0))</f>
        <v>0</v>
      </c>
      <c r="Z11" s="2371"/>
      <c r="AA11" s="2371"/>
      <c r="AB11" s="2371"/>
      <c r="AC11" s="2371"/>
      <c r="AD11" s="2371">
        <f>IF('Sources and Basis Breakdown'!I107=0,'Sources and Basis Breakdown'!H107,'Sources and Basis Breakdown'!I107)</f>
        <v>16212000</v>
      </c>
      <c r="AE11" s="2371"/>
      <c r="AF11" s="2371"/>
      <c r="AG11" s="2371"/>
      <c r="AH11" s="2371"/>
      <c r="AI11" s="2371">
        <f>IF(Y7="",0,IF('Sources and Basis Breakdown'!I107+'Sources and Basis Breakdown'!J107='Sources and Basis Breakdown'!H107,'Sources and Basis Breakdown'!J107,0))</f>
        <v>0</v>
      </c>
      <c r="AJ11" s="2371"/>
      <c r="AK11" s="2371"/>
      <c r="AL11" s="2371"/>
      <c r="AM11" s="2371"/>
    </row>
    <row r="12" spans="1:40" ht="12.95" customHeight="1">
      <c r="B12" s="2363" t="s">
        <v>497</v>
      </c>
      <c r="C12" s="1288"/>
      <c r="D12" s="1288"/>
      <c r="E12" s="1288"/>
      <c r="F12" s="1288"/>
      <c r="G12" s="1288"/>
      <c r="H12" s="1288"/>
      <c r="I12" s="1288"/>
      <c r="J12" s="1288"/>
      <c r="K12" s="1288"/>
      <c r="L12" s="1288"/>
      <c r="M12" s="1288"/>
      <c r="N12" s="1288"/>
      <c r="O12" s="1288"/>
      <c r="P12" s="1288"/>
      <c r="Q12" s="1288"/>
      <c r="R12" s="1288"/>
      <c r="S12" s="2364"/>
      <c r="T12" s="2336"/>
      <c r="U12" s="2337"/>
      <c r="V12" s="2337"/>
      <c r="W12" s="2337"/>
      <c r="X12" s="2338"/>
      <c r="Y12" s="2336"/>
      <c r="Z12" s="2337"/>
      <c r="AA12" s="2337"/>
      <c r="AB12" s="2337"/>
      <c r="AC12" s="2338"/>
      <c r="AD12" s="2336"/>
      <c r="AE12" s="2337"/>
      <c r="AF12" s="2337"/>
      <c r="AG12" s="2337"/>
      <c r="AH12" s="2338"/>
      <c r="AI12" s="2336"/>
      <c r="AJ12" s="2337"/>
      <c r="AK12" s="2337"/>
      <c r="AL12" s="2337"/>
      <c r="AM12" s="2338"/>
    </row>
    <row r="13" spans="1:40" ht="12.95" customHeight="1">
      <c r="B13" s="436"/>
      <c r="C13" s="2365" t="s">
        <v>498</v>
      </c>
      <c r="D13" s="2365"/>
      <c r="E13" s="2365"/>
      <c r="F13" s="2365"/>
      <c r="G13" s="2365"/>
      <c r="H13" s="2365"/>
      <c r="I13" s="2365"/>
      <c r="J13" s="2365"/>
      <c r="K13" s="2365"/>
      <c r="L13" s="2365"/>
      <c r="M13" s="2365"/>
      <c r="N13" s="2365"/>
      <c r="O13" s="2365"/>
      <c r="P13" s="2365"/>
      <c r="Q13" s="2365"/>
      <c r="R13" s="2365"/>
      <c r="S13" s="2366"/>
      <c r="T13" s="2372"/>
      <c r="U13" s="2373"/>
      <c r="V13" s="2373"/>
      <c r="W13" s="2373"/>
      <c r="X13" s="2373"/>
      <c r="Y13" s="2372"/>
      <c r="Z13" s="2373"/>
      <c r="AA13" s="2373"/>
      <c r="AB13" s="2373"/>
      <c r="AC13" s="2373"/>
      <c r="AD13" s="2373"/>
      <c r="AE13" s="2373"/>
      <c r="AF13" s="2373"/>
      <c r="AG13" s="2373"/>
      <c r="AH13" s="2373"/>
      <c r="AI13" s="2373"/>
      <c r="AJ13" s="2373"/>
      <c r="AK13" s="2373"/>
      <c r="AL13" s="2373"/>
      <c r="AM13" s="2373"/>
    </row>
    <row r="14" spans="1:40" ht="12.95" customHeight="1">
      <c r="B14" s="436"/>
      <c r="C14" s="2365" t="s">
        <v>499</v>
      </c>
      <c r="D14" s="2365"/>
      <c r="E14" s="2365"/>
      <c r="F14" s="2365"/>
      <c r="G14" s="2365"/>
      <c r="H14" s="2365"/>
      <c r="I14" s="2365"/>
      <c r="J14" s="2365"/>
      <c r="K14" s="2365"/>
      <c r="L14" s="2365"/>
      <c r="M14" s="2365"/>
      <c r="N14" s="2365"/>
      <c r="O14" s="2365"/>
      <c r="P14" s="2365"/>
      <c r="Q14" s="2365"/>
      <c r="R14" s="2365"/>
      <c r="S14" s="2366"/>
      <c r="T14" s="2339"/>
      <c r="U14" s="2340"/>
      <c r="V14" s="2340"/>
      <c r="W14" s="2340"/>
      <c r="X14" s="2340"/>
      <c r="Y14" s="2339"/>
      <c r="Z14" s="2340"/>
      <c r="AA14" s="2340"/>
      <c r="AB14" s="2340"/>
      <c r="AC14" s="2340"/>
      <c r="AD14" s="2340"/>
      <c r="AE14" s="2340"/>
      <c r="AF14" s="2340"/>
      <c r="AG14" s="2340"/>
      <c r="AH14" s="2340"/>
      <c r="AI14" s="2340"/>
      <c r="AJ14" s="2340"/>
      <c r="AK14" s="2340"/>
      <c r="AL14" s="2340"/>
      <c r="AM14" s="2340"/>
    </row>
    <row r="15" spans="1:40" ht="12.95" customHeight="1">
      <c r="B15" s="436"/>
      <c r="C15" s="2365" t="s">
        <v>500</v>
      </c>
      <c r="D15" s="2365"/>
      <c r="E15" s="2365"/>
      <c r="F15" s="2365"/>
      <c r="G15" s="2365"/>
      <c r="H15" s="2365"/>
      <c r="I15" s="2365"/>
      <c r="J15" s="2365"/>
      <c r="K15" s="2365"/>
      <c r="L15" s="2365"/>
      <c r="M15" s="2365"/>
      <c r="N15" s="2365"/>
      <c r="O15" s="2365"/>
      <c r="P15" s="2365"/>
      <c r="Q15" s="2365"/>
      <c r="R15" s="2365"/>
      <c r="S15" s="2366"/>
      <c r="T15" s="2339"/>
      <c r="U15" s="2340"/>
      <c r="V15" s="2340"/>
      <c r="W15" s="2340"/>
      <c r="X15" s="2340"/>
      <c r="Y15" s="2339"/>
      <c r="Z15" s="2340"/>
      <c r="AA15" s="2340"/>
      <c r="AB15" s="2340"/>
      <c r="AC15" s="2340"/>
      <c r="AD15" s="2340"/>
      <c r="AE15" s="2340"/>
      <c r="AF15" s="2340"/>
      <c r="AG15" s="2340"/>
      <c r="AH15" s="2340"/>
      <c r="AI15" s="2340"/>
      <c r="AJ15" s="2340"/>
      <c r="AK15" s="2340"/>
      <c r="AL15" s="2340"/>
      <c r="AM15" s="2340"/>
    </row>
    <row r="16" spans="1:40" ht="12.95" customHeight="1">
      <c r="B16" s="436"/>
      <c r="C16" s="2365" t="s">
        <v>805</v>
      </c>
      <c r="D16" s="2365"/>
      <c r="E16" s="2365"/>
      <c r="F16" s="2365"/>
      <c r="G16" s="2365"/>
      <c r="H16" s="2365"/>
      <c r="I16" s="2365"/>
      <c r="J16" s="2365"/>
      <c r="K16" s="2365"/>
      <c r="L16" s="2365"/>
      <c r="M16" s="2365"/>
      <c r="N16" s="2365"/>
      <c r="O16" s="2365"/>
      <c r="P16" s="2365"/>
      <c r="Q16" s="2365"/>
      <c r="R16" s="2365"/>
      <c r="S16" s="2366"/>
      <c r="T16" s="2339"/>
      <c r="U16" s="2340"/>
      <c r="V16" s="2340"/>
      <c r="W16" s="2340"/>
      <c r="X16" s="2340"/>
      <c r="Y16" s="2339"/>
      <c r="Z16" s="2340"/>
      <c r="AA16" s="2340"/>
      <c r="AB16" s="2340"/>
      <c r="AC16" s="2340"/>
      <c r="AD16" s="2340"/>
      <c r="AE16" s="2340"/>
      <c r="AF16" s="2340"/>
      <c r="AG16" s="2340"/>
      <c r="AH16" s="2340"/>
      <c r="AI16" s="2340"/>
      <c r="AJ16" s="2340"/>
      <c r="AK16" s="2340"/>
      <c r="AL16" s="2340"/>
      <c r="AM16" s="2340"/>
    </row>
    <row r="17" spans="1:40" ht="12.95" customHeight="1">
      <c r="B17" s="436"/>
      <c r="C17" s="2365" t="s">
        <v>501</v>
      </c>
      <c r="D17" s="2365"/>
      <c r="E17" s="2365"/>
      <c r="F17" s="2365"/>
      <c r="G17" s="2365"/>
      <c r="H17" s="2365"/>
      <c r="I17" s="2365"/>
      <c r="J17" s="2365"/>
      <c r="K17" s="2365"/>
      <c r="L17" s="2365"/>
      <c r="M17" s="2365"/>
      <c r="N17" s="2365"/>
      <c r="O17" s="2365"/>
      <c r="P17" s="2365"/>
      <c r="Q17" s="2365"/>
      <c r="R17" s="2365"/>
      <c r="S17" s="2366"/>
      <c r="T17" s="2339"/>
      <c r="U17" s="2340"/>
      <c r="V17" s="2340"/>
      <c r="W17" s="2340"/>
      <c r="X17" s="2340"/>
      <c r="Y17" s="2339"/>
      <c r="Z17" s="2340"/>
      <c r="AA17" s="2340"/>
      <c r="AB17" s="2340"/>
      <c r="AC17" s="2340"/>
      <c r="AD17" s="2340"/>
      <c r="AE17" s="2340"/>
      <c r="AF17" s="2340"/>
      <c r="AG17" s="2340"/>
      <c r="AH17" s="2340"/>
      <c r="AI17" s="2340"/>
      <c r="AJ17" s="2340"/>
      <c r="AK17" s="2340"/>
      <c r="AL17" s="2340"/>
      <c r="AM17" s="2340"/>
    </row>
    <row r="18" spans="1:40" ht="12.95" customHeight="1">
      <c r="A18"/>
      <c r="B18" s="1152"/>
      <c r="C18" s="1819" t="s">
        <v>960</v>
      </c>
      <c r="D18" s="1819"/>
      <c r="E18" s="1819"/>
      <c r="F18" s="1819"/>
      <c r="G18" s="1819"/>
      <c r="H18" s="1819"/>
      <c r="I18" s="1819"/>
      <c r="J18" s="1819"/>
      <c r="K18" s="1819"/>
      <c r="L18" s="1819"/>
      <c r="M18" s="1819"/>
      <c r="N18" s="1819"/>
      <c r="O18" s="1819"/>
      <c r="P18" s="1819"/>
      <c r="Q18" s="1819"/>
      <c r="R18" s="1819"/>
      <c r="S18" s="1820"/>
      <c r="T18" s="2339"/>
      <c r="U18" s="2340"/>
      <c r="V18" s="2340"/>
      <c r="W18" s="2340"/>
      <c r="X18" s="2340"/>
      <c r="Y18" s="2339"/>
      <c r="Z18" s="2340"/>
      <c r="AA18" s="2340"/>
      <c r="AB18" s="2340"/>
      <c r="AC18" s="2340"/>
      <c r="AD18" s="2340"/>
      <c r="AE18" s="2340"/>
      <c r="AF18" s="2340"/>
      <c r="AG18" s="2340"/>
      <c r="AH18" s="2340"/>
      <c r="AI18" s="2340"/>
      <c r="AJ18" s="2340"/>
      <c r="AK18" s="2340"/>
      <c r="AL18" s="2340"/>
      <c r="AM18" s="2340"/>
    </row>
    <row r="19" spans="1:40" ht="12.95" customHeight="1">
      <c r="B19" s="1152"/>
      <c r="C19" s="1819" t="s">
        <v>960</v>
      </c>
      <c r="D19" s="1819"/>
      <c r="E19" s="1819"/>
      <c r="F19" s="1819"/>
      <c r="G19" s="1819"/>
      <c r="H19" s="1819"/>
      <c r="I19" s="1819"/>
      <c r="J19" s="1819"/>
      <c r="K19" s="1819"/>
      <c r="L19" s="1819"/>
      <c r="M19" s="1819"/>
      <c r="N19" s="1819"/>
      <c r="O19" s="1819"/>
      <c r="P19" s="1819"/>
      <c r="Q19" s="1819"/>
      <c r="R19" s="1819"/>
      <c r="S19" s="1820"/>
      <c r="T19" s="2339"/>
      <c r="U19" s="2340"/>
      <c r="V19" s="2340"/>
      <c r="W19" s="2340"/>
      <c r="X19" s="2340"/>
      <c r="Y19" s="2339"/>
      <c r="Z19" s="2340"/>
      <c r="AA19" s="2340"/>
      <c r="AB19" s="2340"/>
      <c r="AC19" s="2340"/>
      <c r="AD19" s="2340"/>
      <c r="AE19" s="2340"/>
      <c r="AF19" s="2340"/>
      <c r="AG19" s="2340"/>
      <c r="AH19" s="2340"/>
      <c r="AI19" s="2340"/>
      <c r="AJ19" s="2340"/>
      <c r="AK19" s="2340"/>
      <c r="AL19" s="2340"/>
      <c r="AM19" s="2340"/>
    </row>
    <row r="20" spans="1:40" ht="12.95" customHeight="1">
      <c r="B20" s="2348" t="s">
        <v>502</v>
      </c>
      <c r="C20" s="2349"/>
      <c r="D20" s="2349"/>
      <c r="E20" s="2349"/>
      <c r="F20" s="2349"/>
      <c r="G20" s="2349"/>
      <c r="H20" s="2349"/>
      <c r="I20" s="2349"/>
      <c r="J20" s="2349"/>
      <c r="K20" s="2349"/>
      <c r="L20" s="2349"/>
      <c r="M20" s="2349"/>
      <c r="N20" s="2349"/>
      <c r="O20" s="2349"/>
      <c r="P20" s="2349"/>
      <c r="Q20" s="2349"/>
      <c r="R20" s="2349"/>
      <c r="S20" s="2350"/>
      <c r="T20" s="2341">
        <f>SUM(T13:X19)</f>
        <v>0</v>
      </c>
      <c r="U20" s="2342"/>
      <c r="V20" s="2342"/>
      <c r="W20" s="2342"/>
      <c r="X20" s="2342"/>
      <c r="Y20" s="2341">
        <f>SUM(Y13:AC19)</f>
        <v>0</v>
      </c>
      <c r="Z20" s="2342"/>
      <c r="AA20" s="2342"/>
      <c r="AB20" s="2342"/>
      <c r="AC20" s="2342"/>
      <c r="AD20" s="2343">
        <f>SUM(AD13:AH19)</f>
        <v>0</v>
      </c>
      <c r="AE20" s="2344"/>
      <c r="AF20" s="2344"/>
      <c r="AG20" s="2344"/>
      <c r="AH20" s="2341"/>
      <c r="AI20" s="2343">
        <f>SUM(AI13:AM19)</f>
        <v>0</v>
      </c>
      <c r="AJ20" s="2344"/>
      <c r="AK20" s="2344"/>
      <c r="AL20" s="2344"/>
      <c r="AM20" s="2341"/>
    </row>
    <row r="21" spans="1:40" ht="12.95" customHeight="1">
      <c r="B21" s="2348" t="s">
        <v>1263</v>
      </c>
      <c r="C21" s="2349"/>
      <c r="D21" s="2349"/>
      <c r="E21" s="2349"/>
      <c r="F21" s="2349"/>
      <c r="G21" s="2349"/>
      <c r="H21" s="2349"/>
      <c r="I21" s="2349"/>
      <c r="J21" s="2349"/>
      <c r="K21" s="2349"/>
      <c r="L21" s="2349"/>
      <c r="M21" s="2349"/>
      <c r="N21" s="2349"/>
      <c r="O21" s="2349"/>
      <c r="P21" s="2349"/>
      <c r="Q21" s="2349"/>
      <c r="R21" s="2349"/>
      <c r="S21" s="2350"/>
      <c r="T21" s="2339"/>
      <c r="U21" s="2340"/>
      <c r="V21" s="2340"/>
      <c r="W21" s="2340"/>
      <c r="X21" s="2340"/>
      <c r="Y21" s="2339"/>
      <c r="Z21" s="2340"/>
      <c r="AA21" s="2340"/>
      <c r="AB21" s="2340"/>
      <c r="AC21" s="2340"/>
      <c r="AD21" s="2336"/>
      <c r="AE21" s="2337"/>
      <c r="AF21" s="2337"/>
      <c r="AG21" s="2337"/>
      <c r="AH21" s="2338"/>
      <c r="AI21" s="2336"/>
      <c r="AJ21" s="2337"/>
      <c r="AK21" s="2337"/>
      <c r="AL21" s="2337"/>
      <c r="AM21" s="2338"/>
    </row>
    <row r="22" spans="1:40" ht="12.95" customHeight="1">
      <c r="B22" s="2348" t="s">
        <v>503</v>
      </c>
      <c r="C22" s="2349"/>
      <c r="D22" s="2349"/>
      <c r="E22" s="2349"/>
      <c r="F22" s="2349"/>
      <c r="G22" s="2349"/>
      <c r="H22" s="2349"/>
      <c r="I22" s="2349"/>
      <c r="J22" s="2349"/>
      <c r="K22" s="2349"/>
      <c r="L22" s="2349"/>
      <c r="M22" s="2349"/>
      <c r="N22" s="2349"/>
      <c r="O22" s="2349"/>
      <c r="P22" s="2349"/>
      <c r="Q22" s="2349"/>
      <c r="R22" s="2349"/>
      <c r="S22" s="2350"/>
      <c r="T22" s="2374">
        <f>(ABS(T20)+ABS(T21))*-1</f>
        <v>0</v>
      </c>
      <c r="U22" s="2375"/>
      <c r="V22" s="2375"/>
      <c r="W22" s="2375"/>
      <c r="X22" s="2375"/>
      <c r="Y22" s="2374">
        <f>(Y20+Y21)*-1</f>
        <v>0</v>
      </c>
      <c r="Z22" s="2375"/>
      <c r="AA22" s="2375"/>
      <c r="AB22" s="2375"/>
      <c r="AC22" s="2375"/>
      <c r="AD22" s="2376">
        <f>(AD20)*-1</f>
        <v>0</v>
      </c>
      <c r="AE22" s="2377"/>
      <c r="AF22" s="2377"/>
      <c r="AG22" s="2377"/>
      <c r="AH22" s="2374"/>
      <c r="AI22" s="2376">
        <f>(AI20)*-1</f>
        <v>0</v>
      </c>
      <c r="AJ22" s="2377"/>
      <c r="AK22" s="2377"/>
      <c r="AL22" s="2377"/>
      <c r="AM22" s="2374"/>
    </row>
    <row r="23" spans="1:40" ht="12.95" customHeight="1">
      <c r="B23" s="2348" t="s">
        <v>504</v>
      </c>
      <c r="C23" s="2349"/>
      <c r="D23" s="2349"/>
      <c r="E23" s="2349"/>
      <c r="F23" s="2349"/>
      <c r="G23" s="2349"/>
      <c r="H23" s="2349"/>
      <c r="I23" s="2349"/>
      <c r="J23" s="2349"/>
      <c r="K23" s="2349"/>
      <c r="L23" s="2349"/>
      <c r="M23" s="2349"/>
      <c r="N23" s="2349"/>
      <c r="O23" s="2349"/>
      <c r="P23" s="2349"/>
      <c r="Q23" s="2349"/>
      <c r="R23" s="2349"/>
      <c r="S23" s="2350"/>
      <c r="T23" s="2341">
        <f>T11+T22</f>
        <v>12335797</v>
      </c>
      <c r="U23" s="2342"/>
      <c r="V23" s="2342"/>
      <c r="W23" s="2342"/>
      <c r="X23" s="2342"/>
      <c r="Y23" s="2341">
        <f>Y11+Y22</f>
        <v>0</v>
      </c>
      <c r="Z23" s="2342"/>
      <c r="AA23" s="2342"/>
      <c r="AB23" s="2342"/>
      <c r="AC23" s="2342"/>
      <c r="AD23" s="2341">
        <f>AD11+AD22</f>
        <v>16212000</v>
      </c>
      <c r="AE23" s="2342"/>
      <c r="AF23" s="2342"/>
      <c r="AG23" s="2342"/>
      <c r="AH23" s="2342"/>
      <c r="AI23" s="2341">
        <f>AI11+AI22</f>
        <v>0</v>
      </c>
      <c r="AJ23" s="2342"/>
      <c r="AK23" s="2342"/>
      <c r="AL23" s="2342"/>
      <c r="AM23" s="2342"/>
    </row>
    <row r="24" spans="1:40" ht="12.95" customHeight="1">
      <c r="B24" s="2348" t="s">
        <v>961</v>
      </c>
      <c r="C24" s="2349"/>
      <c r="D24" s="2349"/>
      <c r="E24" s="2349"/>
      <c r="F24" s="2349"/>
      <c r="G24" s="2349"/>
      <c r="H24" s="2349"/>
      <c r="I24" s="2349"/>
      <c r="J24" s="2349"/>
      <c r="K24" s="2349"/>
      <c r="L24" s="2349"/>
      <c r="M24" s="2349"/>
      <c r="N24" s="2349"/>
      <c r="O24" s="2349"/>
      <c r="P24" s="2349"/>
      <c r="Q24" s="2349"/>
      <c r="R24" s="2349"/>
      <c r="S24" s="2350"/>
      <c r="T24" s="2343">
        <f>Application!AJ1053</f>
        <v>145666121.40000001</v>
      </c>
      <c r="U24" s="2344"/>
      <c r="V24" s="2344"/>
      <c r="W24" s="2344"/>
      <c r="X24" s="2344"/>
      <c r="Y24" s="2344"/>
      <c r="Z24" s="2344"/>
      <c r="AA24" s="2344"/>
      <c r="AB24" s="2344"/>
      <c r="AC24" s="2344"/>
      <c r="AD24" s="2344"/>
      <c r="AE24" s="2344"/>
      <c r="AF24" s="2344"/>
      <c r="AG24" s="2344"/>
      <c r="AH24" s="2344"/>
      <c r="AI24" s="2344"/>
      <c r="AJ24" s="2344"/>
      <c r="AK24" s="2344"/>
      <c r="AL24" s="2344"/>
      <c r="AM24" s="2341"/>
    </row>
    <row r="25" spans="1:40" ht="12.95" customHeight="1">
      <c r="B25" s="2352" t="s">
        <v>1264</v>
      </c>
      <c r="C25" s="2353"/>
      <c r="D25" s="2353"/>
      <c r="E25" s="2353"/>
      <c r="F25" s="2353"/>
      <c r="G25" s="2353"/>
      <c r="H25" s="2353"/>
      <c r="I25" s="2353"/>
      <c r="J25" s="2353"/>
      <c r="K25" s="2353"/>
      <c r="L25" s="2353"/>
      <c r="M25" s="2353"/>
      <c r="N25" s="2353"/>
      <c r="O25" s="2353"/>
      <c r="P25" s="2353"/>
      <c r="Q25" s="2353"/>
      <c r="R25" s="2353"/>
      <c r="S25" s="2354"/>
      <c r="T25" s="2378">
        <f>IF(OR(Application!T196="yes",Application!T195="yes"),1.3,1)</f>
        <v>1.3</v>
      </c>
      <c r="U25" s="2379"/>
      <c r="V25" s="2379"/>
      <c r="W25" s="2379"/>
      <c r="X25" s="2379"/>
      <c r="Y25" s="2378">
        <v>1</v>
      </c>
      <c r="Z25" s="2379"/>
      <c r="AA25" s="2379"/>
      <c r="AB25" s="2379"/>
      <c r="AC25" s="2379"/>
      <c r="AD25" s="2378">
        <v>1</v>
      </c>
      <c r="AE25" s="2379"/>
      <c r="AF25" s="2379"/>
      <c r="AG25" s="2379"/>
      <c r="AH25" s="2380"/>
      <c r="AI25" s="2378">
        <v>1</v>
      </c>
      <c r="AJ25" s="2379"/>
      <c r="AK25" s="2379"/>
      <c r="AL25" s="2379"/>
      <c r="AM25" s="2380"/>
    </row>
    <row r="26" spans="1:40" ht="12.95" customHeight="1">
      <c r="B26" s="2348" t="s">
        <v>505</v>
      </c>
      <c r="C26" s="2349"/>
      <c r="D26" s="2349"/>
      <c r="E26" s="2349"/>
      <c r="F26" s="2349"/>
      <c r="G26" s="2349"/>
      <c r="H26" s="2349"/>
      <c r="I26" s="2349"/>
      <c r="J26" s="2349"/>
      <c r="K26" s="2349"/>
      <c r="L26" s="2349"/>
      <c r="M26" s="2349"/>
      <c r="N26" s="2349"/>
      <c r="O26" s="2349"/>
      <c r="P26" s="2349"/>
      <c r="Q26" s="2349"/>
      <c r="R26" s="2349"/>
      <c r="S26" s="2350"/>
      <c r="T26" s="2341">
        <f>T23*T25</f>
        <v>16036536.1</v>
      </c>
      <c r="U26" s="2342"/>
      <c r="V26" s="2342"/>
      <c r="W26" s="2342"/>
      <c r="X26" s="2342"/>
      <c r="Y26" s="2341">
        <f>Y23*Y25</f>
        <v>0</v>
      </c>
      <c r="Z26" s="2342"/>
      <c r="AA26" s="2342"/>
      <c r="AB26" s="2342"/>
      <c r="AC26" s="2342"/>
      <c r="AD26" s="2341">
        <f>AD23*AD25</f>
        <v>16212000</v>
      </c>
      <c r="AE26" s="2342"/>
      <c r="AF26" s="2342"/>
      <c r="AG26" s="2342"/>
      <c r="AH26" s="2342"/>
      <c r="AI26" s="2341">
        <f>AI23*AI25</f>
        <v>0</v>
      </c>
      <c r="AJ26" s="2342"/>
      <c r="AK26" s="2342"/>
      <c r="AL26" s="2342"/>
      <c r="AM26" s="2342"/>
    </row>
    <row r="27" spans="1:40" ht="12.95" customHeight="1">
      <c r="A27" s="411"/>
      <c r="B27" s="2355" t="s">
        <v>426</v>
      </c>
      <c r="C27" s="2356"/>
      <c r="D27" s="2356"/>
      <c r="E27" s="2356"/>
      <c r="F27" s="2356"/>
      <c r="G27" s="2356"/>
      <c r="H27" s="2356"/>
      <c r="I27" s="2356"/>
      <c r="J27" s="2356"/>
      <c r="K27" s="2356"/>
      <c r="L27" s="2356"/>
      <c r="M27" s="2356"/>
      <c r="N27" s="2356"/>
      <c r="O27" s="2356"/>
      <c r="P27" s="2356"/>
      <c r="Q27" s="2356"/>
      <c r="R27" s="2356"/>
      <c r="S27" s="2357"/>
      <c r="T27" s="2361">
        <f>Application!$AG$445</f>
        <v>1</v>
      </c>
      <c r="U27" s="2362"/>
      <c r="V27" s="2362"/>
      <c r="W27" s="2362"/>
      <c r="X27" s="2362"/>
      <c r="Y27" s="2361">
        <f>Application!$AG$445</f>
        <v>1</v>
      </c>
      <c r="Z27" s="2362"/>
      <c r="AA27" s="2362"/>
      <c r="AB27" s="2362"/>
      <c r="AC27" s="2362"/>
      <c r="AD27" s="2361">
        <f>Application!$AG$445</f>
        <v>1</v>
      </c>
      <c r="AE27" s="2362"/>
      <c r="AF27" s="2362"/>
      <c r="AG27" s="2362"/>
      <c r="AH27" s="2362"/>
      <c r="AI27" s="2361">
        <f>Application!$AG$445</f>
        <v>1</v>
      </c>
      <c r="AJ27" s="2362"/>
      <c r="AK27" s="2362"/>
      <c r="AL27" s="2362"/>
      <c r="AM27" s="2362"/>
    </row>
    <row r="28" spans="1:40" ht="12.95" customHeight="1">
      <c r="A28" s="405"/>
      <c r="B28" s="2348" t="s">
        <v>506</v>
      </c>
      <c r="C28" s="2349"/>
      <c r="D28" s="2349"/>
      <c r="E28" s="2349"/>
      <c r="F28" s="2349"/>
      <c r="G28" s="2349"/>
      <c r="H28" s="2349"/>
      <c r="I28" s="2349"/>
      <c r="J28" s="2349"/>
      <c r="K28" s="2349"/>
      <c r="L28" s="2349"/>
      <c r="M28" s="2349"/>
      <c r="N28" s="2349"/>
      <c r="O28" s="2349"/>
      <c r="P28" s="2349"/>
      <c r="Q28" s="2349"/>
      <c r="R28" s="2349"/>
      <c r="S28" s="2350"/>
      <c r="T28" s="2341">
        <f>IF(ISERROR((T26*T27)),0,(T26*T27))</f>
        <v>16036536.1</v>
      </c>
      <c r="U28" s="2342"/>
      <c r="V28" s="2342"/>
      <c r="W28" s="2342"/>
      <c r="X28" s="2342"/>
      <c r="Y28" s="2341">
        <f>IF(ISERROR((Y26*Y27)),0,(Y26*Y27))</f>
        <v>0</v>
      </c>
      <c r="Z28" s="2342"/>
      <c r="AA28" s="2342"/>
      <c r="AB28" s="2342"/>
      <c r="AC28" s="2342"/>
      <c r="AD28" s="2341">
        <f>IF(ISERROR((AD26*AD27)),0,(AD26*AD27))</f>
        <v>16212000</v>
      </c>
      <c r="AE28" s="2342"/>
      <c r="AF28" s="2342"/>
      <c r="AG28" s="2342"/>
      <c r="AH28" s="2342"/>
      <c r="AI28" s="2341">
        <f>IF(ISERROR((AI26*AI27)),0,(AI26*AI27))</f>
        <v>0</v>
      </c>
      <c r="AJ28" s="2342"/>
      <c r="AK28" s="2342"/>
      <c r="AL28" s="2342"/>
      <c r="AM28" s="2342"/>
    </row>
    <row r="29" spans="1:40" ht="12.95" customHeight="1">
      <c r="B29" s="2348" t="s">
        <v>523</v>
      </c>
      <c r="C29" s="2349"/>
      <c r="D29" s="2349"/>
      <c r="E29" s="2349"/>
      <c r="F29" s="2349"/>
      <c r="G29" s="2349"/>
      <c r="H29" s="2349"/>
      <c r="I29" s="2349"/>
      <c r="J29" s="2349"/>
      <c r="K29" s="2349"/>
      <c r="L29" s="2349"/>
      <c r="M29" s="2349"/>
      <c r="N29" s="2349"/>
      <c r="O29" s="2349"/>
      <c r="P29" s="2349"/>
      <c r="Q29" s="2349"/>
      <c r="R29" s="2349"/>
      <c r="S29" s="2350"/>
      <c r="T29" s="2343">
        <f>T28+Y28+AD28+AI28</f>
        <v>32248536.100000001</v>
      </c>
      <c r="U29" s="2344"/>
      <c r="V29" s="2344"/>
      <c r="W29" s="2344"/>
      <c r="X29" s="2344"/>
      <c r="Y29" s="2344"/>
      <c r="Z29" s="2344"/>
      <c r="AA29" s="2344"/>
      <c r="AB29" s="2344"/>
      <c r="AC29" s="2344"/>
      <c r="AD29" s="2344"/>
      <c r="AE29" s="2344"/>
      <c r="AF29" s="2344"/>
      <c r="AG29" s="2344"/>
      <c r="AH29" s="2344"/>
      <c r="AI29" s="2344"/>
      <c r="AJ29" s="2344"/>
      <c r="AK29" s="2344"/>
      <c r="AL29" s="2344"/>
      <c r="AM29" s="2341"/>
    </row>
    <row r="30" spans="1:40" ht="12.95" customHeight="1">
      <c r="B30" s="2351" t="s">
        <v>1266</v>
      </c>
      <c r="C30" s="2351"/>
      <c r="D30" s="2351"/>
      <c r="E30" s="2351"/>
      <c r="F30" s="2351"/>
      <c r="G30" s="2351"/>
      <c r="H30" s="2351"/>
      <c r="I30" s="2351"/>
      <c r="J30" s="2351"/>
      <c r="K30" s="2351"/>
      <c r="L30" s="2351"/>
      <c r="M30" s="2351"/>
      <c r="N30" s="2351"/>
      <c r="O30" s="2351"/>
      <c r="P30" s="2351"/>
      <c r="Q30" s="2351"/>
      <c r="R30" s="2351"/>
      <c r="S30" s="2351"/>
      <c r="T30" s="2351"/>
      <c r="U30" s="2351"/>
      <c r="V30" s="2351"/>
      <c r="W30" s="2351"/>
      <c r="X30" s="2351"/>
      <c r="Y30" s="2351"/>
      <c r="Z30" s="2351"/>
      <c r="AA30" s="2351"/>
      <c r="AB30" s="2351"/>
      <c r="AC30" s="2351"/>
      <c r="AD30" s="2351"/>
      <c r="AE30" s="2351"/>
      <c r="AF30" s="2351"/>
      <c r="AG30" s="2351"/>
      <c r="AH30" s="2351"/>
      <c r="AI30" s="2351"/>
      <c r="AJ30" s="2351"/>
      <c r="AK30" s="2351"/>
      <c r="AL30" s="2351"/>
      <c r="AM30" s="2351"/>
    </row>
    <row r="31" spans="1:40" ht="12.95" customHeight="1">
      <c r="B31" s="2351" t="s">
        <v>1265</v>
      </c>
      <c r="C31" s="2351"/>
      <c r="D31" s="2351"/>
      <c r="E31" s="2351"/>
      <c r="F31" s="2351"/>
      <c r="G31" s="2351"/>
      <c r="H31" s="2351"/>
      <c r="I31" s="2351"/>
      <c r="J31" s="2351"/>
      <c r="K31" s="2351"/>
      <c r="L31" s="2351"/>
      <c r="M31" s="2351"/>
      <c r="N31" s="2351"/>
      <c r="O31" s="2351"/>
      <c r="P31" s="2351"/>
      <c r="Q31" s="2351"/>
      <c r="R31" s="2351"/>
      <c r="S31" s="2351"/>
      <c r="T31" s="2351"/>
      <c r="U31" s="2351"/>
      <c r="V31" s="2351"/>
      <c r="W31" s="2351"/>
      <c r="X31" s="2351"/>
      <c r="Y31" s="2351"/>
      <c r="Z31" s="2351"/>
      <c r="AA31" s="2351"/>
      <c r="AB31" s="2351"/>
      <c r="AC31" s="2351"/>
      <c r="AD31" s="2351"/>
      <c r="AE31" s="2351"/>
      <c r="AF31" s="2351"/>
      <c r="AG31" s="2351"/>
      <c r="AH31" s="2351"/>
      <c r="AI31" s="2351"/>
      <c r="AJ31" s="2351"/>
      <c r="AK31" s="2351"/>
      <c r="AL31" s="2351"/>
      <c r="AM31" s="2351"/>
      <c r="AN31" s="519"/>
    </row>
    <row r="32" spans="1:40" ht="12.95" customHeight="1">
      <c r="B32" s="435"/>
      <c r="C32" s="512" t="s">
        <v>387</v>
      </c>
      <c r="D32" s="435"/>
      <c r="E32" s="435"/>
      <c r="F32" s="435"/>
      <c r="G32" s="435"/>
      <c r="H32" s="435"/>
      <c r="I32" s="435"/>
      <c r="J32" s="435"/>
      <c r="K32" s="435"/>
      <c r="L32" s="435"/>
      <c r="M32" s="435"/>
      <c r="N32" s="435"/>
      <c r="O32" s="435"/>
      <c r="P32" s="435"/>
      <c r="Q32" s="435"/>
      <c r="R32" s="435"/>
      <c r="S32" s="435"/>
      <c r="T32" s="435"/>
      <c r="U32" s="435"/>
      <c r="V32" s="435"/>
      <c r="W32" s="435"/>
      <c r="X32" s="435"/>
      <c r="Y32" s="435"/>
      <c r="Z32" s="435"/>
      <c r="AA32" s="435"/>
      <c r="AB32" s="435"/>
      <c r="AC32" s="435"/>
      <c r="AD32" s="435"/>
      <c r="AE32" s="435"/>
      <c r="AF32" s="435"/>
      <c r="AG32" s="435"/>
      <c r="AH32" s="435"/>
      <c r="AI32" s="435"/>
      <c r="AJ32" s="435"/>
      <c r="AK32" s="435"/>
      <c r="AL32" s="435"/>
      <c r="AM32" s="435"/>
    </row>
    <row r="34" spans="1:76" ht="12.95" customHeight="1">
      <c r="A34" s="405" t="s">
        <v>576</v>
      </c>
      <c r="C34" s="405" t="s">
        <v>568</v>
      </c>
    </row>
    <row r="35" spans="1:76" ht="12.95" customHeight="1">
      <c r="B35" s="406"/>
      <c r="C35" s="407"/>
      <c r="D35" s="407"/>
      <c r="E35" s="407"/>
      <c r="F35" s="407"/>
      <c r="G35" s="407"/>
      <c r="H35" s="407"/>
      <c r="I35" s="407"/>
      <c r="J35" s="407"/>
      <c r="K35" s="407"/>
      <c r="L35" s="407"/>
      <c r="M35" s="407"/>
      <c r="N35" s="407"/>
      <c r="O35" s="407"/>
      <c r="P35" s="407"/>
      <c r="Q35" s="407"/>
      <c r="R35" s="407"/>
      <c r="S35" s="407"/>
      <c r="T35" s="407"/>
      <c r="U35" s="407"/>
      <c r="V35" s="407"/>
      <c r="W35" s="407"/>
      <c r="X35" s="412"/>
      <c r="Y35" s="2369" t="s">
        <v>1154</v>
      </c>
      <c r="Z35" s="2369"/>
      <c r="AA35" s="2369"/>
      <c r="AB35" s="2369"/>
      <c r="AC35" s="2369"/>
      <c r="AD35" s="2389" t="s">
        <v>369</v>
      </c>
      <c r="AE35" s="2389"/>
      <c r="AF35" s="2389"/>
      <c r="AG35" s="2389"/>
      <c r="AH35" s="2389"/>
    </row>
    <row r="36" spans="1:76" ht="12.95" customHeight="1">
      <c r="B36" s="408"/>
      <c r="X36" s="413"/>
      <c r="Y36" s="2369"/>
      <c r="Z36" s="2369"/>
      <c r="AA36" s="2369"/>
      <c r="AB36" s="2369"/>
      <c r="AC36" s="2369"/>
      <c r="AD36" s="2389"/>
      <c r="AE36" s="2389"/>
      <c r="AF36" s="2389"/>
      <c r="AG36" s="2389"/>
      <c r="AH36" s="2389"/>
    </row>
    <row r="37" spans="1:76" ht="12.95" customHeight="1">
      <c r="B37" s="409"/>
      <c r="C37" s="410"/>
      <c r="D37" s="410"/>
      <c r="E37" s="410"/>
      <c r="F37" s="410"/>
      <c r="G37" s="410"/>
      <c r="H37" s="410"/>
      <c r="I37" s="410"/>
      <c r="J37" s="410"/>
      <c r="K37" s="410"/>
      <c r="L37" s="410"/>
      <c r="M37" s="410"/>
      <c r="N37" s="410"/>
      <c r="O37" s="410"/>
      <c r="P37" s="410"/>
      <c r="Q37" s="410"/>
      <c r="R37" s="410"/>
      <c r="S37" s="410"/>
      <c r="T37" s="410"/>
      <c r="U37" s="410"/>
      <c r="V37" s="410"/>
      <c r="W37" s="410"/>
      <c r="X37" s="414"/>
      <c r="Y37" s="2369"/>
      <c r="Z37" s="2369"/>
      <c r="AA37" s="2369"/>
      <c r="AB37" s="2369"/>
      <c r="AC37" s="2369"/>
      <c r="AD37" s="2389"/>
      <c r="AE37" s="2389"/>
      <c r="AF37" s="2389"/>
      <c r="AG37" s="2389"/>
      <c r="AH37" s="2389"/>
    </row>
    <row r="38" spans="1:76" ht="12.95" customHeight="1">
      <c r="A38" s="405"/>
      <c r="B38" s="2348" t="s">
        <v>506</v>
      </c>
      <c r="C38" s="2349"/>
      <c r="D38" s="2349"/>
      <c r="E38" s="2349"/>
      <c r="F38" s="2349"/>
      <c r="G38" s="2349"/>
      <c r="H38" s="2349"/>
      <c r="I38" s="2349"/>
      <c r="J38" s="2349"/>
      <c r="K38" s="2349"/>
      <c r="L38" s="2349"/>
      <c r="M38" s="2349"/>
      <c r="N38" s="2349"/>
      <c r="O38" s="2349"/>
      <c r="P38" s="2349"/>
      <c r="Q38" s="2349"/>
      <c r="R38" s="2349"/>
      <c r="S38" s="2349"/>
      <c r="T38" s="2349"/>
      <c r="U38" s="2349"/>
      <c r="V38" s="2349"/>
      <c r="W38" s="2349"/>
      <c r="X38" s="2350"/>
      <c r="Y38" s="2342">
        <f>IF(T24&gt;=(T23+Y23+AD23+AI23),T28+Y28,0)</f>
        <v>16036536.1</v>
      </c>
      <c r="Z38" s="2342"/>
      <c r="AA38" s="2342"/>
      <c r="AB38" s="2342"/>
      <c r="AC38" s="2342"/>
      <c r="AD38" s="2342">
        <f>IF(T24&gt;=(T23+Y23+AD23+AI23),AD28+AI28,0)</f>
        <v>16212000</v>
      </c>
      <c r="AE38" s="2342"/>
      <c r="AF38" s="2342"/>
      <c r="AG38" s="2342"/>
      <c r="AH38" s="2342"/>
    </row>
    <row r="39" spans="1:76" ht="12.95" customHeight="1">
      <c r="B39" s="2348" t="s">
        <v>1691</v>
      </c>
      <c r="C39" s="2349"/>
      <c r="D39" s="2349"/>
      <c r="E39" s="2349"/>
      <c r="F39" s="2349"/>
      <c r="G39" s="2349"/>
      <c r="H39" s="2349"/>
      <c r="I39" s="2349"/>
      <c r="J39" s="2349"/>
      <c r="K39" s="2349"/>
      <c r="L39" s="2349"/>
      <c r="M39" s="2349"/>
      <c r="N39" s="2349"/>
      <c r="O39" s="2349"/>
      <c r="P39" s="2349"/>
      <c r="Q39" s="2349"/>
      <c r="R39" s="2349"/>
      <c r="S39" s="2349"/>
      <c r="T39" s="2349"/>
      <c r="U39" s="2349"/>
      <c r="V39" s="2349"/>
      <c r="W39" s="2349"/>
      <c r="X39" s="2350"/>
      <c r="Y39" s="2390">
        <v>0.04</v>
      </c>
      <c r="Z39" s="2390"/>
      <c r="AA39" s="2390"/>
      <c r="AB39" s="2390"/>
      <c r="AC39" s="2390"/>
      <c r="AD39" s="2390">
        <v>0.04</v>
      </c>
      <c r="AE39" s="2390"/>
      <c r="AF39" s="2390"/>
      <c r="AG39" s="2390"/>
      <c r="AH39" s="2390"/>
    </row>
    <row r="40" spans="1:76" ht="12.95" customHeight="1">
      <c r="A40" s="405"/>
      <c r="B40" s="2348" t="s">
        <v>642</v>
      </c>
      <c r="C40" s="2349"/>
      <c r="D40" s="2349"/>
      <c r="E40" s="2349"/>
      <c r="F40" s="2349"/>
      <c r="G40" s="2349"/>
      <c r="H40" s="2349"/>
      <c r="I40" s="2349"/>
      <c r="J40" s="2349"/>
      <c r="K40" s="2349"/>
      <c r="L40" s="2349"/>
      <c r="M40" s="2349"/>
      <c r="N40" s="2349"/>
      <c r="O40" s="2349"/>
      <c r="P40" s="2349"/>
      <c r="Q40" s="2349"/>
      <c r="R40" s="2349"/>
      <c r="S40" s="2349"/>
      <c r="T40" s="2349"/>
      <c r="U40" s="2349"/>
      <c r="V40" s="2349"/>
      <c r="W40" s="2349"/>
      <c r="X40" s="2350"/>
      <c r="Y40" s="2342">
        <f>ROUND(Y38*Y39,0)</f>
        <v>641461</v>
      </c>
      <c r="Z40" s="2342"/>
      <c r="AA40" s="2342"/>
      <c r="AB40" s="2342"/>
      <c r="AC40" s="2342"/>
      <c r="AD40" s="2341">
        <f>ROUND(AD38*AD39,0)</f>
        <v>648480</v>
      </c>
      <c r="AE40" s="2342"/>
      <c r="AF40" s="2342"/>
      <c r="AG40" s="2342"/>
      <c r="AH40" s="2342"/>
    </row>
    <row r="41" spans="1:76" ht="12.95" customHeight="1">
      <c r="B41" s="2348" t="s">
        <v>643</v>
      </c>
      <c r="C41" s="2349"/>
      <c r="D41" s="2349"/>
      <c r="E41" s="2349"/>
      <c r="F41" s="2349"/>
      <c r="G41" s="2349"/>
      <c r="H41" s="2349"/>
      <c r="I41" s="2349"/>
      <c r="J41" s="2349"/>
      <c r="K41" s="2349"/>
      <c r="L41" s="2349"/>
      <c r="M41" s="2349"/>
      <c r="N41" s="2349"/>
      <c r="O41" s="2349"/>
      <c r="P41" s="2349"/>
      <c r="Q41" s="2349"/>
      <c r="R41" s="2349"/>
      <c r="S41" s="2349"/>
      <c r="T41" s="2349"/>
      <c r="U41" s="2349"/>
      <c r="V41" s="2349"/>
      <c r="W41" s="2349"/>
      <c r="X41" s="2350"/>
      <c r="Y41" s="2343">
        <f>Y40+AD40</f>
        <v>1289941</v>
      </c>
      <c r="Z41" s="2344"/>
      <c r="AA41" s="2344"/>
      <c r="AB41" s="2344"/>
      <c r="AC41" s="2344"/>
      <c r="AD41" s="2344"/>
      <c r="AE41" s="2344"/>
      <c r="AF41" s="2344"/>
      <c r="AG41" s="2344"/>
      <c r="AH41" s="2341"/>
    </row>
    <row r="42" spans="1:76" ht="12.95" customHeight="1">
      <c r="A42" s="405"/>
      <c r="B42" s="931"/>
      <c r="C42" s="931"/>
      <c r="D42" s="931"/>
      <c r="E42" s="931"/>
      <c r="F42" s="931"/>
      <c r="G42" s="931"/>
      <c r="H42" s="931"/>
      <c r="I42" s="931"/>
      <c r="J42" s="931"/>
      <c r="K42" s="931"/>
      <c r="L42" s="931"/>
      <c r="M42" s="931"/>
      <c r="N42" s="931"/>
      <c r="O42" s="931"/>
      <c r="P42" s="931"/>
      <c r="Q42" s="931"/>
      <c r="R42" s="931"/>
      <c r="S42" s="931"/>
      <c r="T42" s="931"/>
      <c r="U42" s="931"/>
      <c r="V42" s="931"/>
      <c r="W42" s="931"/>
      <c r="X42" s="931"/>
      <c r="Y42" s="931"/>
      <c r="Z42" s="931"/>
      <c r="AA42" s="931"/>
      <c r="AB42" s="931"/>
      <c r="AC42" s="931"/>
      <c r="AD42" s="931"/>
      <c r="AE42" s="931"/>
      <c r="AF42" s="931"/>
      <c r="AG42" s="931"/>
      <c r="AH42" s="931"/>
    </row>
    <row r="43" spans="1:76" ht="12.95" customHeight="1">
      <c r="B43" s="415"/>
      <c r="C43" s="415"/>
      <c r="D43" s="415"/>
      <c r="E43" s="415"/>
      <c r="F43" s="415"/>
      <c r="G43" s="415"/>
      <c r="H43" s="415"/>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row>
    <row r="44" spans="1:76" s="205" customFormat="1" ht="12.95" customHeight="1" thickBot="1">
      <c r="A44" s="2346" t="s">
        <v>1276</v>
      </c>
      <c r="B44" s="2346"/>
      <c r="C44" s="2346"/>
      <c r="D44" s="2346"/>
      <c r="E44" s="2346"/>
      <c r="F44" s="2346"/>
      <c r="G44" s="2346"/>
      <c r="H44" s="2346"/>
      <c r="I44" s="2346"/>
      <c r="J44" s="2346"/>
      <c r="K44" s="2346"/>
      <c r="L44" s="2346"/>
      <c r="M44" s="2346"/>
      <c r="N44" s="2346"/>
      <c r="O44" s="2346"/>
      <c r="P44" s="2346"/>
      <c r="Q44" s="2346"/>
      <c r="R44" s="2346"/>
      <c r="S44" s="2346"/>
      <c r="T44" s="2346"/>
      <c r="U44" s="2346"/>
      <c r="V44" s="2346"/>
      <c r="W44" s="2346"/>
      <c r="X44" s="2346"/>
      <c r="Y44" s="2346"/>
      <c r="Z44" s="2346"/>
      <c r="AA44" s="2346"/>
      <c r="AB44" s="2346"/>
      <c r="AC44" s="2346"/>
      <c r="AD44" s="2346"/>
      <c r="AE44" s="2346"/>
      <c r="AF44" s="2346"/>
      <c r="AG44" s="2346"/>
      <c r="AH44" s="2346"/>
      <c r="AI44" s="2346"/>
      <c r="AJ44" s="2346"/>
      <c r="AK44" s="2346"/>
      <c r="AL44" s="2346"/>
      <c r="AM44" s="2346"/>
      <c r="AN44" s="2346"/>
      <c r="AO44" s="2346"/>
      <c r="AP44" s="2346"/>
      <c r="AQ44" s="2346"/>
      <c r="AR44" s="2346"/>
      <c r="AS44" s="2346"/>
      <c r="AT44" s="2346"/>
      <c r="AU44" s="2346"/>
      <c r="AV44" s="2346"/>
      <c r="AW44" s="2346"/>
      <c r="AX44" s="2346"/>
      <c r="AY44" s="2346"/>
      <c r="AZ44" s="2346"/>
      <c r="BA44" s="2346"/>
      <c r="BB44" s="2346"/>
      <c r="BC44" s="2346"/>
      <c r="BD44" s="2346"/>
      <c r="BE44" s="2346"/>
      <c r="BF44" s="2346"/>
      <c r="BG44" s="2346"/>
      <c r="BH44" s="2346"/>
      <c r="BI44" s="2346"/>
      <c r="BJ44" s="2346"/>
      <c r="BK44" s="2346"/>
      <c r="BL44" s="2346"/>
      <c r="BM44" s="2346"/>
      <c r="BN44" s="2346"/>
      <c r="BO44" s="2346"/>
      <c r="BP44" s="2346"/>
      <c r="BQ44" s="2346"/>
      <c r="BR44" s="2346"/>
      <c r="BS44" s="2346"/>
      <c r="BT44" s="2346"/>
      <c r="BU44" s="2346"/>
      <c r="BV44" s="2346"/>
      <c r="BW44" s="2346"/>
      <c r="BX44" s="2346"/>
    </row>
    <row r="45" spans="1:76" s="205" customFormat="1" ht="12.95" customHeight="1" thickTop="1"/>
    <row r="46" spans="1:76" ht="12.95" customHeight="1">
      <c r="A46" s="405" t="s">
        <v>586</v>
      </c>
      <c r="C46" s="405" t="s">
        <v>282</v>
      </c>
    </row>
    <row r="47" spans="1:76" ht="12.95" customHeight="1">
      <c r="D47" s="405" t="s">
        <v>283</v>
      </c>
      <c r="AB47" s="2358">
        <f>'Sources and Uses Budget'!B105-MAX(IF('Sources and Uses Budget'!B15="",0,'Sources and Uses Budget'!B15),IF(Application!AG394="",0,Application!AG394))</f>
        <v>33516886</v>
      </c>
      <c r="AC47" s="2359"/>
      <c r="AD47" s="2359"/>
      <c r="AE47" s="2359"/>
      <c r="AF47" s="2360"/>
    </row>
    <row r="48" spans="1:76" ht="12.95" customHeight="1">
      <c r="D48" s="405" t="s">
        <v>21</v>
      </c>
      <c r="AB48" s="2358">
        <f>Application!AO639-MAX(IF('Sources and Uses Budget'!B15="",0,'Sources and Uses Budget'!B15),IF(Application!AG394="",0,Application!AG394))</f>
        <v>22036407</v>
      </c>
      <c r="AC48" s="2359"/>
      <c r="AD48" s="2359"/>
      <c r="AE48" s="2359"/>
      <c r="AF48" s="2360"/>
    </row>
    <row r="49" spans="1:76" ht="12.95" customHeight="1">
      <c r="D49" s="405" t="s">
        <v>91</v>
      </c>
      <c r="AB49" s="2358">
        <f>AB47-AB48</f>
        <v>11480479</v>
      </c>
      <c r="AC49" s="2359"/>
      <c r="AD49" s="2359"/>
      <c r="AE49" s="2359"/>
      <c r="AF49" s="2360"/>
    </row>
    <row r="50" spans="1:76" ht="12.95" customHeight="1">
      <c r="D50" s="405" t="s">
        <v>681</v>
      </c>
      <c r="AA50" s="416"/>
      <c r="AB50" s="2385">
        <v>0.89000029999999997</v>
      </c>
      <c r="AC50" s="2386"/>
      <c r="AD50" s="2386"/>
      <c r="AE50" s="2386"/>
      <c r="AF50" s="2387"/>
    </row>
    <row r="51" spans="1:76" s="418" customFormat="1" ht="12.95" customHeight="1">
      <c r="A51" s="403"/>
      <c r="B51" s="403"/>
      <c r="C51" s="403"/>
      <c r="D51" s="403"/>
      <c r="E51" s="2388" t="s">
        <v>1850</v>
      </c>
      <c r="F51" s="2388"/>
      <c r="G51" s="2388"/>
      <c r="H51" s="2388"/>
      <c r="I51" s="2388"/>
      <c r="J51" s="2388"/>
      <c r="K51" s="2388"/>
      <c r="L51" s="2388"/>
      <c r="M51" s="2388"/>
      <c r="N51" s="2388"/>
      <c r="O51" s="2388"/>
      <c r="P51" s="2388"/>
      <c r="Q51" s="2388"/>
      <c r="R51" s="2388"/>
      <c r="S51" s="2388"/>
      <c r="T51" s="2388"/>
      <c r="U51" s="2388"/>
      <c r="V51" s="2388"/>
      <c r="W51" s="2388"/>
      <c r="X51" s="2388"/>
      <c r="Y51" s="2388"/>
      <c r="Z51" s="2388"/>
      <c r="AA51" s="417"/>
      <c r="AB51" s="417"/>
      <c r="AC51" s="417"/>
      <c r="AD51" s="417"/>
      <c r="AE51" s="417"/>
      <c r="AF51" s="417"/>
      <c r="AG51" s="403"/>
      <c r="AH51" s="403"/>
      <c r="AI51" s="403"/>
      <c r="AJ51" s="403"/>
      <c r="AK51" s="403"/>
      <c r="AL51" s="403"/>
      <c r="AM51" s="403"/>
      <c r="AN51" s="403"/>
    </row>
    <row r="52" spans="1:76" s="418" customFormat="1" ht="12.95" customHeight="1">
      <c r="A52" s="403"/>
      <c r="B52" s="403"/>
      <c r="C52" s="403"/>
      <c r="D52" s="403"/>
      <c r="E52" s="2388"/>
      <c r="F52" s="2388"/>
      <c r="G52" s="2388"/>
      <c r="H52" s="2388"/>
      <c r="I52" s="2388"/>
      <c r="J52" s="2388"/>
      <c r="K52" s="2388"/>
      <c r="L52" s="2388"/>
      <c r="M52" s="2388"/>
      <c r="N52" s="2388"/>
      <c r="O52" s="2388"/>
      <c r="P52" s="2388"/>
      <c r="Q52" s="2388"/>
      <c r="R52" s="2388"/>
      <c r="S52" s="2388"/>
      <c r="T52" s="2388"/>
      <c r="U52" s="2388"/>
      <c r="V52" s="2388"/>
      <c r="W52" s="2388"/>
      <c r="X52" s="2388"/>
      <c r="Y52" s="2388"/>
      <c r="Z52" s="2388"/>
      <c r="AA52" s="419"/>
      <c r="AB52" s="419"/>
      <c r="AC52" s="419"/>
      <c r="AD52" s="419"/>
      <c r="AE52" s="419"/>
      <c r="AF52" s="419"/>
      <c r="AG52" s="420"/>
      <c r="AH52" s="403"/>
      <c r="AI52" s="403"/>
      <c r="AJ52" s="403"/>
      <c r="AK52" s="403"/>
      <c r="AL52" s="403"/>
      <c r="AM52" s="403"/>
      <c r="AN52" s="403"/>
    </row>
    <row r="53" spans="1:76" ht="12.95" customHeight="1">
      <c r="E53" s="417"/>
      <c r="F53" s="417"/>
      <c r="G53" s="417"/>
      <c r="H53" s="417"/>
      <c r="I53" s="417"/>
      <c r="J53" s="417"/>
      <c r="K53" s="417"/>
      <c r="L53" s="417"/>
      <c r="M53" s="417"/>
      <c r="N53" s="417"/>
      <c r="O53" s="417"/>
      <c r="P53" s="417"/>
      <c r="Q53" s="417"/>
      <c r="R53" s="417"/>
      <c r="S53" s="417"/>
      <c r="T53" s="417"/>
      <c r="U53" s="417"/>
      <c r="V53" s="417"/>
      <c r="W53" s="417"/>
      <c r="X53" s="417"/>
      <c r="Y53" s="417"/>
      <c r="Z53" s="417"/>
    </row>
    <row r="54" spans="1:76" ht="12.95" customHeight="1">
      <c r="D54" s="405" t="s">
        <v>332</v>
      </c>
      <c r="AB54" s="2358">
        <f>ROUND(IF(ISERROR((AB49/AB50)),0,(AB49/AB50)),0)</f>
        <v>12899410</v>
      </c>
      <c r="AC54" s="2359"/>
      <c r="AD54" s="2359"/>
      <c r="AE54" s="2359"/>
      <c r="AF54" s="2360"/>
    </row>
    <row r="55" spans="1:76" ht="12.95" customHeight="1">
      <c r="D55" s="405" t="s">
        <v>333</v>
      </c>
      <c r="AB55" s="2358">
        <f>(AB54/10)</f>
        <v>1289941</v>
      </c>
      <c r="AC55" s="2359"/>
      <c r="AD55" s="2359"/>
      <c r="AE55" s="2359"/>
      <c r="AF55" s="2360"/>
    </row>
    <row r="56" spans="1:76" ht="12.95" customHeight="1">
      <c r="D56" s="405" t="s">
        <v>756</v>
      </c>
      <c r="AB56" s="2358">
        <f>ROUND((IF((Y41&lt;AB55),Y41,AB55)),0)</f>
        <v>1289941</v>
      </c>
      <c r="AC56" s="2359"/>
      <c r="AD56" s="2359"/>
      <c r="AE56" s="2359"/>
      <c r="AF56" s="2360"/>
    </row>
    <row r="57" spans="1:76" ht="12.95" customHeight="1">
      <c r="D57" s="405" t="s">
        <v>755</v>
      </c>
      <c r="AB57" s="2358">
        <f>ROUND((10*AB56*AB50),0)</f>
        <v>11480479</v>
      </c>
      <c r="AC57" s="2359"/>
      <c r="AD57" s="2359"/>
      <c r="AE57" s="2359"/>
      <c r="AF57" s="2360"/>
    </row>
    <row r="58" spans="1:76" ht="12.95" customHeight="1">
      <c r="D58" s="405"/>
      <c r="AB58" s="424"/>
      <c r="AC58" s="424"/>
      <c r="AD58" s="424"/>
      <c r="AE58" s="424"/>
      <c r="AF58" s="424"/>
    </row>
    <row r="59" spans="1:76" ht="12.95" customHeight="1">
      <c r="D59" s="405" t="s">
        <v>754</v>
      </c>
      <c r="AB59" s="2381">
        <f>AB49-AB57</f>
        <v>0</v>
      </c>
      <c r="AC59" s="2381"/>
      <c r="AD59" s="2381"/>
      <c r="AE59" s="2381"/>
      <c r="AF59" s="2381"/>
    </row>
    <row r="60" spans="1:76" ht="12.95" customHeight="1">
      <c r="D60" s="405"/>
      <c r="AB60" s="424"/>
      <c r="AC60" s="424"/>
      <c r="AD60" s="424"/>
      <c r="AE60" s="424"/>
      <c r="AF60" s="424"/>
    </row>
    <row r="61" spans="1:76" s="205" customFormat="1" ht="12.95" customHeight="1" thickBot="1">
      <c r="A61" s="2346" t="str">
        <f>IF(Application!AP205="yes","Farmworker State Credit", "State Credit" )</f>
        <v>State Credit</v>
      </c>
      <c r="B61" s="2346"/>
      <c r="C61" s="2346"/>
      <c r="D61" s="2346"/>
      <c r="E61" s="2346"/>
      <c r="F61" s="2346"/>
      <c r="G61" s="2346"/>
      <c r="H61" s="2346"/>
      <c r="I61" s="2346"/>
      <c r="J61" s="2346"/>
      <c r="K61" s="2346"/>
      <c r="L61" s="2346"/>
      <c r="M61" s="2346"/>
      <c r="N61" s="2346"/>
      <c r="O61" s="2346"/>
      <c r="P61" s="2346"/>
      <c r="Q61" s="2346"/>
      <c r="R61" s="2346"/>
      <c r="S61" s="2346"/>
      <c r="T61" s="2346"/>
      <c r="U61" s="2346"/>
      <c r="V61" s="2346"/>
      <c r="W61" s="2346"/>
      <c r="X61" s="2346"/>
      <c r="Y61" s="2346"/>
      <c r="Z61" s="2346"/>
      <c r="AA61" s="2346"/>
      <c r="AB61" s="2346"/>
      <c r="AC61" s="2346"/>
      <c r="AD61" s="2346"/>
      <c r="AE61" s="2346"/>
      <c r="AF61" s="2346"/>
      <c r="AG61" s="2346"/>
      <c r="AH61" s="2346"/>
      <c r="AI61" s="2346"/>
      <c r="AJ61" s="2346"/>
      <c r="AK61" s="2346"/>
      <c r="AL61" s="2346"/>
      <c r="AM61" s="2346"/>
      <c r="AN61" s="2346"/>
      <c r="AO61" s="2346"/>
      <c r="AP61" s="2346"/>
      <c r="AQ61" s="2346"/>
      <c r="AR61" s="2346"/>
      <c r="AS61" s="2346"/>
      <c r="AT61" s="2346"/>
      <c r="AU61" s="2346"/>
      <c r="AV61" s="2346"/>
      <c r="AW61" s="2346"/>
      <c r="AX61" s="2346"/>
      <c r="AY61" s="2346"/>
      <c r="AZ61" s="2346"/>
      <c r="BA61" s="2346"/>
      <c r="BB61" s="2346"/>
      <c r="BC61" s="2346"/>
      <c r="BD61" s="2346"/>
      <c r="BE61" s="2346"/>
      <c r="BF61" s="2346"/>
      <c r="BG61" s="2346"/>
      <c r="BH61" s="2346"/>
      <c r="BI61" s="2346"/>
      <c r="BJ61" s="2346"/>
      <c r="BK61" s="2346"/>
      <c r="BL61" s="2346"/>
      <c r="BM61" s="2346"/>
      <c r="BN61" s="2346"/>
      <c r="BO61" s="2346"/>
      <c r="BP61" s="2346"/>
      <c r="BQ61" s="2346"/>
      <c r="BR61" s="2346"/>
      <c r="BS61" s="2346"/>
      <c r="BT61" s="2346"/>
      <c r="BU61" s="2346"/>
      <c r="BV61" s="2346"/>
      <c r="BW61" s="2346"/>
      <c r="BX61" s="2346"/>
    </row>
    <row r="62" spans="1:76" s="205" customFormat="1" ht="12.95" customHeight="1" thickTop="1"/>
    <row r="63" spans="1:76" ht="12.95" customHeight="1">
      <c r="A63" s="405" t="s">
        <v>589</v>
      </c>
      <c r="C63" s="206" t="s">
        <v>1248</v>
      </c>
      <c r="Y63" s="2382" t="s">
        <v>984</v>
      </c>
      <c r="Z63" s="2382"/>
      <c r="AA63" s="2382"/>
      <c r="AB63" s="2382"/>
      <c r="AC63" s="2382"/>
      <c r="AD63" s="2382" t="s">
        <v>369</v>
      </c>
      <c r="AE63" s="2382"/>
      <c r="AF63" s="2382"/>
      <c r="AG63" s="2382"/>
      <c r="AH63" s="2382"/>
    </row>
    <row r="64" spans="1:76" ht="12.95" customHeight="1">
      <c r="C64" s="405"/>
      <c r="D64" s="378" t="s">
        <v>1249</v>
      </c>
      <c r="E64" s="421"/>
      <c r="F64" s="421"/>
      <c r="G64" s="421"/>
      <c r="H64" s="421"/>
      <c r="I64" s="421"/>
      <c r="J64" s="421"/>
      <c r="K64" s="421"/>
      <c r="L64" s="421"/>
      <c r="M64" s="421"/>
      <c r="N64" s="421"/>
      <c r="O64" s="421"/>
      <c r="P64" s="421"/>
      <c r="Q64" s="421"/>
      <c r="R64" s="421"/>
      <c r="S64" s="421"/>
      <c r="T64" s="421"/>
      <c r="U64" s="421"/>
      <c r="V64" s="421"/>
      <c r="W64" s="421"/>
      <c r="X64" s="421"/>
      <c r="Y64" s="2343">
        <f>IF(Application!$Z$205="(select)",0,((T23*T27)+Y28))</f>
        <v>0</v>
      </c>
      <c r="Z64" s="2383"/>
      <c r="AA64" s="2383"/>
      <c r="AB64" s="2383"/>
      <c r="AC64" s="2384"/>
      <c r="AD64" s="2343">
        <f>IF(AND(OR(Application!D211="At-Risk",Application!D211="At-Risk and Special Needs"),Application!M358="yes"),AD28+AI28,0)</f>
        <v>0</v>
      </c>
      <c r="AE64" s="2383"/>
      <c r="AF64" s="2383"/>
      <c r="AG64" s="2383"/>
      <c r="AH64" s="2384"/>
    </row>
    <row r="65" spans="1:36" ht="12.95" customHeight="1">
      <c r="C65" s="405"/>
      <c r="E65" s="1018" t="s">
        <v>1848</v>
      </c>
      <c r="F65" s="440"/>
      <c r="G65" s="440"/>
      <c r="H65" s="440"/>
      <c r="I65" s="440"/>
      <c r="J65" s="440"/>
      <c r="K65" s="440"/>
      <c r="L65" s="440"/>
      <c r="M65" s="440"/>
      <c r="N65" s="440"/>
      <c r="O65" s="440"/>
      <c r="P65" s="440"/>
      <c r="Q65" s="440"/>
      <c r="R65" s="440"/>
      <c r="S65" s="440"/>
      <c r="T65" s="440"/>
      <c r="U65" s="440"/>
      <c r="V65" s="440"/>
      <c r="W65" s="440"/>
      <c r="X65" s="440"/>
      <c r="Y65" s="440"/>
      <c r="Z65" s="440"/>
      <c r="AA65" s="440"/>
      <c r="AB65" s="440"/>
      <c r="AC65" s="440"/>
      <c r="AD65" s="440"/>
      <c r="AE65" s="440"/>
      <c r="AF65" s="440"/>
      <c r="AG65" s="440"/>
      <c r="AH65" s="440"/>
      <c r="AI65" s="440"/>
      <c r="AJ65" s="440"/>
    </row>
    <row r="66" spans="1:36" ht="22.5" customHeight="1">
      <c r="C66" s="405"/>
      <c r="E66" s="1018" t="s">
        <v>1849</v>
      </c>
      <c r="F66" s="440"/>
      <c r="G66" s="440"/>
      <c r="H66" s="440"/>
      <c r="I66" s="440"/>
      <c r="J66" s="440"/>
      <c r="K66" s="440"/>
      <c r="L66" s="440"/>
      <c r="M66" s="440"/>
      <c r="N66" s="440"/>
      <c r="O66" s="440"/>
      <c r="P66" s="440"/>
      <c r="Q66" s="440"/>
      <c r="R66" s="440"/>
      <c r="S66" s="440"/>
      <c r="T66" s="440"/>
      <c r="U66" s="440"/>
      <c r="V66" s="440"/>
      <c r="W66" s="440"/>
      <c r="X66" s="440"/>
      <c r="Y66" s="440"/>
      <c r="Z66" s="440"/>
      <c r="AA66" s="440"/>
      <c r="AB66" s="440"/>
      <c r="AC66" s="440"/>
      <c r="AD66" s="440"/>
      <c r="AE66" s="440"/>
      <c r="AF66" s="440"/>
      <c r="AG66" s="440"/>
      <c r="AH66" s="440"/>
      <c r="AI66" s="440"/>
      <c r="AJ66" s="440"/>
    </row>
    <row r="67" spans="1:36" ht="12.95" customHeight="1">
      <c r="C67" s="405"/>
      <c r="D67" s="405" t="s">
        <v>270</v>
      </c>
      <c r="E67" s="422"/>
      <c r="F67" s="422"/>
      <c r="G67" s="422"/>
      <c r="H67" s="422"/>
      <c r="I67" s="422"/>
      <c r="J67" s="422"/>
      <c r="K67" s="422"/>
      <c r="L67" s="422"/>
      <c r="M67" s="422"/>
      <c r="N67" s="422"/>
      <c r="O67" s="422"/>
      <c r="P67" s="422"/>
      <c r="Q67" s="422"/>
      <c r="R67" s="422"/>
      <c r="S67" s="422"/>
      <c r="T67" s="422"/>
      <c r="U67" s="422"/>
      <c r="V67" s="422"/>
      <c r="W67" s="422"/>
      <c r="X67" s="422"/>
      <c r="Y67" s="2396" cm="1">
        <f t="array" ref="Y67">_xlfn.IFS(OR(Application!Z205="State Farmworker Credit",Application!Z205="$500M (Farmworker Housing)"),0.75,Application!Z205="15% set-aside",0.13,Application!Z205="15% set-aside with qualifying low value rehab",0.95,Application!Z205="$500M",0.3,TRUE,0)</f>
        <v>0</v>
      </c>
      <c r="Z67" s="2396"/>
      <c r="AA67" s="2396"/>
      <c r="AB67" s="2396"/>
      <c r="AC67" s="2396"/>
      <c r="AD67" s="2396" cm="1">
        <f t="array" ref="AD67">_xlfn.IFS(Application!Z205="15% set-aside with qualifying low value rehab", 0.95,OR(Application!D211="At-Risk",'Points System'!B13="Yes"),0.13,TRUE,0)</f>
        <v>0</v>
      </c>
      <c r="AE67" s="2396"/>
      <c r="AF67" s="2396"/>
      <c r="AG67" s="2396"/>
      <c r="AH67" s="2396"/>
    </row>
    <row r="68" spans="1:36" ht="12.95" customHeight="1">
      <c r="C68" s="405"/>
      <c r="D68" s="206" t="s">
        <v>2228</v>
      </c>
      <c r="Y68" s="2342">
        <f>ROUND(Y64*Y67,0)</f>
        <v>0</v>
      </c>
      <c r="Z68" s="2397"/>
      <c r="AA68" s="2397"/>
      <c r="AB68" s="2397"/>
      <c r="AC68" s="2397"/>
      <c r="AD68" s="2342">
        <f>ROUND(AD64*AD67,0)</f>
        <v>0</v>
      </c>
      <c r="AE68" s="2397"/>
      <c r="AF68" s="2397"/>
      <c r="AG68" s="2397"/>
      <c r="AH68" s="2397"/>
    </row>
    <row r="69" spans="1:36" ht="12.95" customHeight="1">
      <c r="C69" s="405"/>
      <c r="D69" s="206" t="s">
        <v>2229</v>
      </c>
      <c r="Y69" s="2342">
        <f>IF(OR(Application!Z205="State Farmworker Credit",Application!Z205="$500M (Farmworker Housing)"),Y68+AD68,MIN(Y68+AD68,200000*(Application!G753+Application!O777)))</f>
        <v>0</v>
      </c>
      <c r="Z69" s="2342"/>
      <c r="AA69" s="2342"/>
      <c r="AB69" s="2342"/>
      <c r="AC69" s="2342"/>
      <c r="AD69" s="2342"/>
      <c r="AE69" s="2342"/>
      <c r="AF69" s="2342"/>
      <c r="AG69" s="2342"/>
      <c r="AH69" s="2342"/>
    </row>
    <row r="70" spans="1:36" ht="12.95" customHeight="1">
      <c r="C70" s="405"/>
      <c r="E70" s="405"/>
      <c r="AB70" s="423"/>
      <c r="AC70" s="423"/>
      <c r="AD70" s="423"/>
      <c r="AE70" s="423"/>
      <c r="AF70" s="423"/>
    </row>
    <row r="71" spans="1:36" ht="12.95" customHeight="1">
      <c r="A71" s="405" t="s">
        <v>590</v>
      </c>
      <c r="C71" s="206" t="s">
        <v>284</v>
      </c>
    </row>
    <row r="72" spans="1:36" ht="12.95" customHeight="1">
      <c r="A72" s="405"/>
      <c r="C72" s="405"/>
      <c r="D72" s="206" t="s">
        <v>1250</v>
      </c>
      <c r="AB72" s="2385"/>
      <c r="AC72" s="2386"/>
      <c r="AD72" s="2386"/>
      <c r="AE72" s="2386"/>
      <c r="AF72" s="2387"/>
    </row>
    <row r="73" spans="1:36" ht="12.95" customHeight="1">
      <c r="A73" s="405"/>
      <c r="C73" s="405"/>
      <c r="D73" s="405"/>
      <c r="E73" s="2398" t="s">
        <v>1251</v>
      </c>
      <c r="F73" s="2398"/>
      <c r="G73" s="2398"/>
      <c r="H73" s="2398"/>
      <c r="I73" s="2398"/>
      <c r="J73" s="2398"/>
      <c r="K73" s="2398"/>
      <c r="L73" s="2398"/>
      <c r="M73" s="2398"/>
      <c r="N73" s="2398"/>
      <c r="O73" s="2398"/>
      <c r="P73" s="2398"/>
      <c r="Q73" s="2398"/>
      <c r="R73" s="2398"/>
      <c r="S73" s="2398"/>
      <c r="T73" s="2398"/>
      <c r="U73" s="2398"/>
      <c r="V73" s="2398"/>
      <c r="W73" s="2398"/>
      <c r="X73" s="2398"/>
      <c r="Y73" s="2398"/>
      <c r="Z73" s="2398"/>
      <c r="AA73" s="2398"/>
      <c r="AB73" s="439"/>
      <c r="AC73" s="439"/>
    </row>
    <row r="74" spans="1:36" ht="12.95" customHeight="1">
      <c r="A74" s="405"/>
      <c r="C74" s="405"/>
      <c r="D74" s="405"/>
      <c r="E74" s="2398"/>
      <c r="F74" s="2398"/>
      <c r="G74" s="2398"/>
      <c r="H74" s="2398"/>
      <c r="I74" s="2398"/>
      <c r="J74" s="2398"/>
      <c r="K74" s="2398"/>
      <c r="L74" s="2398"/>
      <c r="M74" s="2398"/>
      <c r="N74" s="2398"/>
      <c r="O74" s="2398"/>
      <c r="P74" s="2398"/>
      <c r="Q74" s="2398"/>
      <c r="R74" s="2398"/>
      <c r="S74" s="2398"/>
      <c r="T74" s="2398"/>
      <c r="U74" s="2398"/>
      <c r="V74" s="2398"/>
      <c r="W74" s="2398"/>
      <c r="X74" s="2398"/>
      <c r="Y74" s="2398"/>
      <c r="Z74" s="2398"/>
      <c r="AA74" s="2398"/>
      <c r="AB74" s="439"/>
      <c r="AC74" s="439"/>
    </row>
    <row r="75" spans="1:36" ht="12.95" customHeight="1">
      <c r="A75" s="405"/>
      <c r="C75" s="405"/>
      <c r="D75" s="405"/>
      <c r="E75" s="2398"/>
      <c r="F75" s="2398"/>
      <c r="G75" s="2398"/>
      <c r="H75" s="2398"/>
      <c r="I75" s="2398"/>
      <c r="J75" s="2398"/>
      <c r="K75" s="2398"/>
      <c r="L75" s="2398"/>
      <c r="M75" s="2398"/>
      <c r="N75" s="2398"/>
      <c r="O75" s="2398"/>
      <c r="P75" s="2398"/>
      <c r="Q75" s="2398"/>
      <c r="R75" s="2398"/>
      <c r="S75" s="2398"/>
      <c r="T75" s="2398"/>
      <c r="U75" s="2398"/>
      <c r="V75" s="2398"/>
      <c r="W75" s="2398"/>
      <c r="X75" s="2398"/>
      <c r="Y75" s="2398"/>
      <c r="Z75" s="2398"/>
      <c r="AA75" s="2398"/>
      <c r="AB75" s="439"/>
      <c r="AC75" s="439"/>
    </row>
    <row r="76" spans="1:36" ht="12.95" customHeight="1">
      <c r="A76" s="405"/>
      <c r="C76" s="405"/>
      <c r="D76" s="405"/>
      <c r="E76" s="425"/>
      <c r="F76" s="425"/>
      <c r="G76" s="425"/>
      <c r="H76" s="425"/>
      <c r="I76" s="425"/>
      <c r="J76" s="425"/>
      <c r="K76" s="425"/>
      <c r="L76" s="425"/>
      <c r="M76" s="425"/>
      <c r="N76" s="425"/>
      <c r="O76" s="425"/>
      <c r="P76" s="425"/>
      <c r="Q76" s="425"/>
      <c r="R76" s="425"/>
      <c r="S76" s="425"/>
      <c r="T76" s="425"/>
      <c r="U76" s="425"/>
      <c r="V76" s="425"/>
      <c r="W76" s="425"/>
      <c r="X76" s="425"/>
      <c r="Y76" s="425"/>
      <c r="Z76" s="425"/>
      <c r="AA76" s="361"/>
      <c r="AB76" s="361"/>
      <c r="AC76" s="361"/>
    </row>
    <row r="77" spans="1:36" ht="12.95" customHeight="1">
      <c r="C77" s="405"/>
      <c r="D77" s="206" t="s">
        <v>1252</v>
      </c>
      <c r="AB77" s="2391">
        <f>ROUND(IF(ISERROR((AB59/AB72)),0,(AB59/AB72)),0)</f>
        <v>0</v>
      </c>
      <c r="AC77" s="2391"/>
      <c r="AD77" s="2391"/>
      <c r="AE77" s="2391"/>
      <c r="AF77" s="2391"/>
    </row>
    <row r="78" spans="1:36" ht="12.95" customHeight="1">
      <c r="C78" s="405"/>
      <c r="D78" s="206" t="s">
        <v>1253</v>
      </c>
      <c r="AB78" s="2392">
        <f>ROUNDUP(MIN(Y69,AB77),0)</f>
        <v>0</v>
      </c>
      <c r="AC78" s="2393"/>
      <c r="AD78" s="2393"/>
      <c r="AE78" s="2393"/>
      <c r="AF78" s="2394"/>
    </row>
    <row r="79" spans="1:36" ht="12.95" customHeight="1">
      <c r="C79" s="405"/>
      <c r="D79" s="206" t="s">
        <v>1254</v>
      </c>
      <c r="AB79" s="2395">
        <f>AB78*AB72</f>
        <v>0</v>
      </c>
      <c r="AC79" s="2395"/>
      <c r="AD79" s="2395"/>
      <c r="AE79" s="2395"/>
      <c r="AF79" s="2395"/>
    </row>
    <row r="80" spans="1:36" ht="12.95" customHeight="1">
      <c r="C80" s="405"/>
      <c r="D80" s="405"/>
      <c r="AB80" s="426"/>
      <c r="AC80" s="426"/>
      <c r="AD80" s="426"/>
      <c r="AE80" s="426"/>
      <c r="AF80" s="426"/>
    </row>
    <row r="81" spans="1:78" ht="12.95" customHeight="1">
      <c r="D81" s="405" t="s">
        <v>754</v>
      </c>
      <c r="AB81" s="2381">
        <f>AB49-(AB57+AB79)</f>
        <v>0</v>
      </c>
      <c r="AC81" s="2381"/>
      <c r="AD81" s="2381"/>
      <c r="AE81" s="2381"/>
      <c r="AF81" s="2381"/>
    </row>
    <row r="82" spans="1:78" ht="12.95" customHeight="1">
      <c r="F82" s="523"/>
      <c r="J82" s="523" t="str">
        <f>IF(AB81&gt;0,"FUNDING GAP MUST NOT EXCEED ZERO","")</f>
        <v/>
      </c>
    </row>
    <row r="83" spans="1:78" ht="12.95" customHeight="1">
      <c r="D83" s="524"/>
    </row>
    <row r="84" spans="1:78" ht="12.95" customHeight="1" thickBot="1">
      <c r="A84" s="2346"/>
      <c r="B84" s="2346"/>
      <c r="C84" s="2346"/>
      <c r="D84" s="2346"/>
      <c r="E84" s="2346"/>
      <c r="F84" s="2346"/>
      <c r="G84" s="2346"/>
      <c r="H84" s="2346"/>
      <c r="I84" s="2346"/>
      <c r="J84" s="2346"/>
      <c r="K84" s="2346"/>
      <c r="L84" s="2346"/>
      <c r="M84" s="2346"/>
      <c r="N84" s="2346"/>
      <c r="O84" s="2346"/>
      <c r="P84" s="2346"/>
      <c r="Q84" s="2346"/>
      <c r="R84" s="2346"/>
      <c r="S84" s="2346"/>
      <c r="T84" s="2346"/>
      <c r="U84" s="2346"/>
      <c r="V84" s="2346"/>
      <c r="W84" s="2346"/>
      <c r="X84" s="2346"/>
      <c r="Y84" s="2346"/>
      <c r="Z84" s="2346"/>
      <c r="AA84" s="2346"/>
      <c r="AB84" s="2346"/>
      <c r="AC84" s="2346"/>
      <c r="AD84" s="2346"/>
      <c r="AE84" s="2346"/>
      <c r="AF84" s="2346"/>
      <c r="AG84" s="2346"/>
      <c r="AH84" s="2346"/>
      <c r="AI84" s="2346"/>
      <c r="AJ84" s="2346"/>
      <c r="AK84" s="2346"/>
      <c r="AL84" s="2346"/>
      <c r="AM84" s="2346"/>
      <c r="AN84" s="2346"/>
      <c r="AO84" s="2346"/>
      <c r="AP84" s="2346"/>
      <c r="AQ84" s="2346"/>
      <c r="AR84" s="2346"/>
      <c r="AS84" s="2346"/>
      <c r="AT84" s="2346"/>
      <c r="AU84" s="2346"/>
      <c r="AV84" s="2346"/>
      <c r="AW84" s="2346"/>
      <c r="AX84" s="2346"/>
      <c r="AY84" s="2346"/>
      <c r="AZ84" s="2346"/>
      <c r="BA84" s="2346"/>
      <c r="BB84" s="2346"/>
      <c r="BC84" s="2346"/>
      <c r="BD84" s="2346"/>
      <c r="BE84" s="2346"/>
      <c r="BF84" s="2346"/>
      <c r="BG84" s="2346"/>
      <c r="BH84" s="2346"/>
      <c r="BI84" s="2346"/>
      <c r="BJ84" s="2346"/>
      <c r="BK84" s="2346"/>
      <c r="BL84" s="2346"/>
      <c r="BM84" s="2346"/>
      <c r="BN84" s="2346"/>
      <c r="BO84" s="2346"/>
      <c r="BP84" s="2346"/>
      <c r="BQ84" s="2346"/>
      <c r="BR84" s="2346"/>
      <c r="BS84" s="2346"/>
      <c r="BT84" s="2346"/>
      <c r="BU84" s="2346"/>
      <c r="BV84" s="2346"/>
      <c r="BW84" s="2346"/>
      <c r="BX84" s="2346"/>
    </row>
    <row r="85" spans="1:78" ht="12.95" customHeight="1" thickTop="1"/>
    <row r="86" spans="1:78" ht="12.95" customHeight="1">
      <c r="A86" s="405"/>
      <c r="C86" s="206"/>
    </row>
    <row r="87" spans="1:78" ht="12.95" customHeight="1">
      <c r="D87" s="206"/>
      <c r="AB87" s="2347"/>
      <c r="AC87" s="2347"/>
      <c r="AD87" s="2347"/>
      <c r="AE87" s="2347"/>
      <c r="AF87" s="2347"/>
    </row>
    <row r="88" spans="1:78" ht="12.95" customHeight="1" thickBot="1">
      <c r="D88" s="206"/>
      <c r="AB88" s="2345"/>
      <c r="AC88" s="2345"/>
      <c r="AD88" s="2345"/>
      <c r="AE88" s="2345"/>
      <c r="AF88" s="2345"/>
      <c r="AO88" s="522"/>
      <c r="AP88" s="522"/>
      <c r="AQ88" s="522"/>
      <c r="AR88" s="522"/>
      <c r="AS88" s="522"/>
      <c r="AT88" s="522"/>
      <c r="AU88" s="522"/>
      <c r="AV88" s="522"/>
      <c r="AW88" s="522"/>
      <c r="AX88" s="522"/>
      <c r="AY88" s="522"/>
      <c r="AZ88" s="522"/>
      <c r="BA88" s="522"/>
      <c r="BB88" s="522"/>
      <c r="BC88" s="522"/>
      <c r="BD88" s="522"/>
      <c r="BE88" s="522"/>
      <c r="BF88" s="522"/>
      <c r="BG88" s="522"/>
      <c r="BH88" s="522"/>
      <c r="BI88" s="522"/>
      <c r="BJ88" s="522"/>
      <c r="BK88" s="522"/>
      <c r="BL88" s="522"/>
      <c r="BM88" s="522"/>
      <c r="BN88" s="522"/>
      <c r="BO88" s="522"/>
      <c r="BP88" s="522"/>
      <c r="BQ88" s="522"/>
      <c r="BR88" s="522"/>
      <c r="BS88" s="522"/>
      <c r="BT88" s="522"/>
      <c r="BU88" s="522"/>
      <c r="BV88" s="522"/>
      <c r="BW88" s="522"/>
      <c r="BX88" s="522"/>
      <c r="BY88" s="522"/>
      <c r="BZ88" s="522"/>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abSelected="1" workbookViewId="0">
      <selection activeCell="AN1" sqref="AN1:XFD1048576"/>
    </sheetView>
  </sheetViews>
  <sheetFormatPr defaultColWidth="0" defaultRowHeight="12.75" zeroHeight="1"/>
  <cols>
    <col min="1" max="1" width="2.570312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425781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5" hidden="1"/>
    <col min="41" max="41" width="5.5703125" style="30" hidden="1"/>
    <col min="42" max="45" width="5.5703125" style="14" hidden="1"/>
    <col min="46" max="46" width="10.85546875" style="14" hidden="1"/>
    <col min="47" max="48" width="5.5703125" style="14" hidden="1"/>
    <col min="49" max="49" width="8.5703125" style="14" hidden="1"/>
    <col min="50" max="50" width="7.42578125" style="14" hidden="1"/>
    <col min="51" max="55" width="5.5703125" style="14" hidden="1"/>
    <col min="56" max="60" width="5.5703125" style="32" hidden="1"/>
    <col min="61" max="81" width="5.5703125" style="14" hidden="1"/>
    <col min="82" max="16384" width="9.140625" style="14" hidden="1"/>
  </cols>
  <sheetData>
    <row r="1" spans="1:42" ht="15.75" customHeight="1">
      <c r="A1" s="2629" t="s">
        <v>1300</v>
      </c>
      <c r="B1" s="2629"/>
      <c r="C1" s="2629"/>
      <c r="D1" s="2629"/>
      <c r="E1" s="2629"/>
      <c r="F1" s="2629"/>
      <c r="G1" s="2629"/>
      <c r="H1" s="2629"/>
      <c r="I1" s="2629"/>
      <c r="J1" s="2629"/>
      <c r="K1" s="2629"/>
      <c r="L1" s="2629"/>
      <c r="M1" s="2629"/>
      <c r="N1" s="2629"/>
      <c r="O1" s="2629"/>
      <c r="P1" s="2629"/>
      <c r="Q1" s="2629"/>
      <c r="R1" s="2629"/>
      <c r="S1" s="2629"/>
      <c r="T1" s="2629"/>
      <c r="U1" s="2629"/>
      <c r="V1" s="2629"/>
      <c r="W1" s="2629"/>
      <c r="X1" s="2629"/>
      <c r="Y1" s="2629"/>
      <c r="Z1" s="2629"/>
      <c r="AA1" s="2629"/>
      <c r="AB1" s="2629"/>
      <c r="AC1" s="2629"/>
      <c r="AD1" s="2629"/>
      <c r="AE1" s="2629"/>
      <c r="AF1" s="2629"/>
      <c r="AG1" s="2629"/>
      <c r="AH1" s="2629"/>
      <c r="AI1" s="2629"/>
      <c r="AJ1" s="2629"/>
      <c r="AK1" s="2629"/>
      <c r="AL1" s="2629"/>
      <c r="AM1" s="2629"/>
    </row>
    <row r="2" spans="1:42" s="537" customFormat="1" ht="12.75" customHeight="1" thickBot="1">
      <c r="A2" s="2630"/>
      <c r="B2" s="2630"/>
      <c r="C2" s="2630"/>
      <c r="D2" s="2630"/>
      <c r="E2" s="2630"/>
      <c r="F2" s="2630"/>
      <c r="G2" s="2630"/>
      <c r="H2" s="2630"/>
      <c r="I2" s="2630"/>
      <c r="J2" s="2630"/>
      <c r="K2" s="2630"/>
      <c r="L2" s="2630"/>
      <c r="M2" s="2630"/>
      <c r="N2" s="2630"/>
      <c r="O2" s="2630"/>
      <c r="P2" s="2630"/>
      <c r="Q2" s="2630"/>
      <c r="R2" s="2630"/>
      <c r="S2" s="2630"/>
      <c r="T2" s="2630"/>
      <c r="U2" s="2630"/>
      <c r="V2" s="2630"/>
      <c r="W2" s="2630"/>
      <c r="X2" s="2630"/>
      <c r="Y2" s="2630"/>
      <c r="Z2" s="2630"/>
      <c r="AA2" s="2630"/>
      <c r="AB2" s="2630"/>
      <c r="AC2" s="2630"/>
      <c r="AD2" s="2630"/>
      <c r="AE2" s="2630"/>
      <c r="AF2" s="2630"/>
      <c r="AG2" s="2630"/>
      <c r="AH2" s="2630"/>
      <c r="AI2" s="2630"/>
      <c r="AJ2" s="2630"/>
      <c r="AK2" s="2630"/>
      <c r="AL2" s="2630"/>
      <c r="AM2" s="2630"/>
      <c r="AN2" s="536"/>
    </row>
    <row r="3" spans="1:42" s="537" customFormat="1" ht="12.75" customHeight="1" thickTop="1">
      <c r="A3" s="538"/>
      <c r="B3" s="538"/>
      <c r="C3" s="538"/>
      <c r="D3" s="538"/>
      <c r="E3" s="538"/>
      <c r="F3" s="538"/>
      <c r="G3" s="538"/>
      <c r="H3" s="538"/>
      <c r="I3" s="538"/>
      <c r="J3" s="538"/>
      <c r="K3" s="538"/>
      <c r="L3" s="538"/>
      <c r="M3" s="538"/>
      <c r="N3" s="538"/>
      <c r="O3" s="538"/>
      <c r="P3" s="538"/>
      <c r="Q3" s="538"/>
      <c r="R3" s="538"/>
      <c r="S3" s="538"/>
      <c r="T3" s="538"/>
      <c r="U3" s="538"/>
      <c r="V3" s="538"/>
      <c r="W3" s="538"/>
      <c r="X3" s="538"/>
      <c r="Y3" s="538"/>
      <c r="Z3" s="538"/>
      <c r="AA3" s="538"/>
      <c r="AB3" s="538"/>
      <c r="AC3" s="538"/>
      <c r="AD3" s="538"/>
      <c r="AE3" s="538"/>
      <c r="AF3" s="538"/>
      <c r="AG3" s="538"/>
      <c r="AH3" s="538"/>
      <c r="AI3" s="538"/>
      <c r="AJ3" s="538"/>
      <c r="AK3" s="538"/>
      <c r="AL3" s="538"/>
      <c r="AM3" s="538"/>
      <c r="AN3" s="536"/>
    </row>
    <row r="4" spans="1:42" s="537" customFormat="1" ht="12.75" customHeight="1">
      <c r="A4" s="539" t="s">
        <v>1301</v>
      </c>
      <c r="B4" s="540" t="s">
        <v>1302</v>
      </c>
      <c r="C4" s="541"/>
      <c r="D4" s="541"/>
      <c r="E4" s="541"/>
      <c r="F4" s="541"/>
      <c r="G4" s="541"/>
      <c r="H4" s="541"/>
      <c r="I4" s="541"/>
      <c r="J4" s="541"/>
      <c r="K4" s="541"/>
      <c r="L4" s="541"/>
      <c r="M4" s="541"/>
      <c r="N4" s="541"/>
      <c r="O4" s="541"/>
      <c r="P4" s="541"/>
      <c r="Q4" s="541"/>
      <c r="R4" s="541"/>
      <c r="S4" s="541"/>
      <c r="T4" s="541"/>
      <c r="U4" s="541"/>
      <c r="V4" s="541"/>
      <c r="W4" s="541"/>
      <c r="X4" s="541"/>
      <c r="Y4" s="541"/>
      <c r="Z4" s="541"/>
      <c r="AA4" s="541"/>
      <c r="AB4" s="541"/>
      <c r="AC4" s="541"/>
      <c r="AD4" s="541"/>
      <c r="AE4" s="541"/>
      <c r="AF4" s="541"/>
      <c r="AG4" s="541"/>
      <c r="AH4" s="541"/>
      <c r="AI4" s="541"/>
      <c r="AJ4" s="541"/>
      <c r="AK4" s="541"/>
      <c r="AL4" s="541"/>
      <c r="AM4" s="541"/>
      <c r="AN4" s="536"/>
    </row>
    <row r="5" spans="1:42" s="537" customFormat="1" ht="12.75" customHeight="1" thickBot="1">
      <c r="A5" s="539"/>
      <c r="B5" s="540"/>
      <c r="C5" s="541"/>
      <c r="D5" s="541"/>
      <c r="E5" s="541"/>
      <c r="F5" s="541"/>
      <c r="G5" s="541"/>
      <c r="H5" s="541"/>
      <c r="I5" s="541"/>
      <c r="J5" s="541"/>
      <c r="K5" s="541"/>
      <c r="L5" s="541"/>
      <c r="M5" s="541"/>
      <c r="N5" s="541"/>
      <c r="O5" s="541"/>
      <c r="P5" s="541"/>
      <c r="Q5" s="541"/>
      <c r="R5" s="541"/>
      <c r="S5" s="541"/>
      <c r="T5" s="541"/>
      <c r="U5" s="541"/>
      <c r="V5" s="541"/>
      <c r="W5" s="541"/>
      <c r="X5" s="541"/>
      <c r="Y5" s="541"/>
      <c r="Z5" s="541"/>
      <c r="AA5" s="541"/>
      <c r="AB5" s="541"/>
      <c r="AC5" s="541"/>
      <c r="AD5" s="541"/>
      <c r="AE5" s="541"/>
      <c r="AF5" s="541"/>
      <c r="AG5" s="541"/>
      <c r="AH5" s="541"/>
      <c r="AI5" s="541"/>
      <c r="AJ5" s="541"/>
      <c r="AK5" s="541"/>
      <c r="AL5" s="541"/>
      <c r="AM5" s="541"/>
      <c r="AN5" s="536"/>
    </row>
    <row r="6" spans="1:42" s="537" customFormat="1" ht="12.75" customHeight="1" thickTop="1">
      <c r="A6" s="542"/>
      <c r="B6" s="542"/>
      <c r="C6" s="542"/>
      <c r="D6" s="542"/>
      <c r="E6" s="542"/>
      <c r="F6" s="542"/>
      <c r="G6" s="542"/>
      <c r="H6" s="542"/>
      <c r="I6" s="542"/>
      <c r="J6" s="542"/>
      <c r="K6" s="542"/>
      <c r="L6" s="542"/>
      <c r="M6" s="542"/>
      <c r="N6" s="542"/>
      <c r="O6" s="542"/>
      <c r="P6" s="542"/>
      <c r="Q6" s="542"/>
      <c r="R6" s="542"/>
      <c r="S6" s="542"/>
      <c r="T6" s="542"/>
      <c r="U6" s="542"/>
      <c r="V6" s="542"/>
      <c r="W6" s="542"/>
      <c r="X6" s="542"/>
      <c r="Y6" s="542"/>
      <c r="Z6" s="542"/>
      <c r="AA6" s="542"/>
      <c r="AB6" s="542"/>
      <c r="AC6" s="542"/>
      <c r="AD6" s="542"/>
      <c r="AE6" s="542"/>
      <c r="AF6" s="542"/>
      <c r="AG6" s="542"/>
      <c r="AH6" s="542"/>
      <c r="AI6" s="542"/>
      <c r="AJ6" s="542"/>
      <c r="AK6" s="542"/>
      <c r="AL6" s="542"/>
      <c r="AM6" s="543"/>
      <c r="AN6" s="536"/>
    </row>
    <row r="7" spans="1:42" s="537" customFormat="1" ht="12.75" customHeight="1">
      <c r="A7" s="539" t="s">
        <v>1303</v>
      </c>
      <c r="B7" s="540" t="s">
        <v>1304</v>
      </c>
      <c r="C7" s="540"/>
      <c r="D7" s="540"/>
      <c r="E7" s="540"/>
      <c r="F7" s="540"/>
      <c r="G7" s="540"/>
      <c r="H7" s="540"/>
      <c r="I7" s="540"/>
      <c r="J7" s="540"/>
      <c r="K7" s="540"/>
      <c r="L7" s="540"/>
      <c r="M7" s="540"/>
      <c r="N7" s="540"/>
      <c r="O7" s="540"/>
      <c r="P7" s="540"/>
      <c r="Q7" s="540"/>
      <c r="R7" s="540"/>
      <c r="S7" s="540"/>
      <c r="T7" s="540"/>
      <c r="U7" s="540"/>
      <c r="V7" s="540"/>
      <c r="W7" s="540"/>
      <c r="X7" s="540"/>
      <c r="Y7" s="540"/>
      <c r="Z7" s="540"/>
      <c r="AA7" s="540"/>
      <c r="AB7" s="540"/>
      <c r="AC7" s="540"/>
      <c r="AD7" s="540"/>
      <c r="AE7" s="2470" t="s">
        <v>1305</v>
      </c>
      <c r="AF7" s="2470"/>
      <c r="AG7" s="2470"/>
      <c r="AH7" s="2470"/>
      <c r="AI7" s="2470"/>
      <c r="AJ7" s="2470"/>
      <c r="AK7" s="2470"/>
      <c r="AL7" s="541"/>
      <c r="AM7" s="541"/>
      <c r="AN7" s="536"/>
    </row>
    <row r="8" spans="1:42" s="537" customFormat="1" ht="12.75" customHeight="1">
      <c r="A8" s="539"/>
      <c r="B8" s="540" t="s">
        <v>1729</v>
      </c>
      <c r="C8" s="540"/>
      <c r="D8" s="540"/>
      <c r="E8" s="540"/>
      <c r="F8" s="540"/>
      <c r="G8" s="540"/>
      <c r="H8" s="540"/>
      <c r="I8" s="540"/>
      <c r="J8" s="540"/>
      <c r="K8" s="540"/>
      <c r="L8" s="540"/>
      <c r="M8" s="540"/>
      <c r="N8" s="540"/>
      <c r="O8" s="540"/>
      <c r="P8" s="540"/>
      <c r="Q8" s="540"/>
      <c r="R8" s="540"/>
      <c r="S8" s="540"/>
      <c r="T8" s="540"/>
      <c r="U8" s="540"/>
      <c r="V8" s="540"/>
      <c r="W8" s="540"/>
      <c r="X8" s="540"/>
      <c r="Y8" s="540"/>
      <c r="Z8" s="540"/>
      <c r="AA8" s="540"/>
      <c r="AB8" s="540"/>
      <c r="AC8" s="540"/>
      <c r="AD8" s="540"/>
      <c r="AE8" s="544"/>
      <c r="AF8" s="544"/>
      <c r="AG8" s="544"/>
      <c r="AH8" s="544"/>
      <c r="AI8" s="544"/>
      <c r="AJ8" s="544"/>
      <c r="AK8" s="544"/>
      <c r="AL8" s="541"/>
      <c r="AM8" s="541"/>
      <c r="AN8" s="536"/>
    </row>
    <row r="9" spans="1:42" s="537" customFormat="1" ht="12.75" customHeight="1">
      <c r="A9" s="539"/>
      <c r="B9" s="540"/>
      <c r="C9" s="540"/>
      <c r="D9" s="540"/>
      <c r="E9" s="540"/>
      <c r="F9" s="540"/>
      <c r="G9" s="540"/>
      <c r="H9" s="540"/>
      <c r="I9" s="540"/>
      <c r="J9" s="540"/>
      <c r="K9" s="540"/>
      <c r="L9" s="540"/>
      <c r="M9" s="540"/>
      <c r="N9" s="540"/>
      <c r="O9" s="540"/>
      <c r="P9" s="540"/>
      <c r="Q9" s="540"/>
      <c r="R9" s="540"/>
      <c r="S9" s="540"/>
      <c r="T9" s="540"/>
      <c r="U9" s="540"/>
      <c r="V9" s="540"/>
      <c r="W9" s="540"/>
      <c r="X9" s="540"/>
      <c r="Y9" s="540"/>
      <c r="Z9" s="540"/>
      <c r="AA9" s="540"/>
      <c r="AB9" s="540"/>
      <c r="AC9" s="540"/>
      <c r="AD9" s="540"/>
      <c r="AE9" s="544"/>
      <c r="AF9" s="544"/>
      <c r="AG9" s="544"/>
      <c r="AH9" s="544"/>
      <c r="AI9" s="544"/>
      <c r="AJ9" s="544"/>
      <c r="AK9" s="544"/>
      <c r="AL9" s="541"/>
      <c r="AM9" s="541"/>
      <c r="AN9" s="536"/>
    </row>
    <row r="10" spans="1:42" s="537" customFormat="1" ht="12.75" customHeight="1">
      <c r="A10" s="539"/>
      <c r="B10" s="540" t="s">
        <v>2012</v>
      </c>
      <c r="C10" s="540"/>
      <c r="D10" s="540"/>
      <c r="E10" s="540"/>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4"/>
      <c r="AF10" s="544"/>
      <c r="AG10" s="544"/>
      <c r="AH10" s="544"/>
      <c r="AI10" s="544"/>
      <c r="AJ10" s="544"/>
      <c r="AK10" s="544"/>
      <c r="AL10" s="541"/>
      <c r="AM10" s="541"/>
      <c r="AN10" s="536"/>
    </row>
    <row r="11" spans="1:42" s="537" customFormat="1" ht="12.75" customHeight="1">
      <c r="A11" s="541"/>
      <c r="C11" s="1143" t="s">
        <v>2008</v>
      </c>
      <c r="D11" s="1143"/>
      <c r="E11" s="1143"/>
      <c r="F11" s="1143"/>
      <c r="G11" s="1143"/>
      <c r="H11" s="1143"/>
      <c r="I11" s="1143"/>
      <c r="J11" s="1143"/>
      <c r="K11" s="1143"/>
      <c r="L11" s="1143"/>
      <c r="M11" s="1143"/>
      <c r="N11" s="1143"/>
      <c r="O11" s="1143"/>
      <c r="P11" s="1143"/>
      <c r="Q11" s="1143"/>
      <c r="R11" s="1143"/>
      <c r="S11" s="1143"/>
      <c r="T11" s="1143"/>
      <c r="U11" s="1143"/>
      <c r="V11" s="1143"/>
      <c r="W11" s="1143"/>
      <c r="X11" s="1143"/>
      <c r="Y11" s="1143"/>
      <c r="Z11" s="1143"/>
      <c r="AA11" s="1143"/>
      <c r="AB11" s="1143"/>
      <c r="AC11" s="1143"/>
      <c r="AD11" s="1143"/>
      <c r="AE11" s="1143"/>
      <c r="AF11" s="1143"/>
      <c r="AG11" s="1143"/>
      <c r="AH11" s="1143"/>
      <c r="AI11" s="1143"/>
      <c r="AJ11" s="1143"/>
      <c r="AK11" s="541"/>
      <c r="AL11" s="541"/>
      <c r="AM11" s="541"/>
      <c r="AN11" s="536"/>
      <c r="AO11" s="448"/>
      <c r="AP11" s="546"/>
    </row>
    <row r="12" spans="1:42" s="537" customFormat="1" ht="12.75" customHeight="1">
      <c r="A12" s="541"/>
      <c r="B12" s="547"/>
      <c r="C12" s="541"/>
      <c r="D12" s="541"/>
      <c r="E12" s="541"/>
      <c r="F12" s="541"/>
      <c r="G12" s="541"/>
      <c r="H12" s="541"/>
      <c r="I12" s="541"/>
      <c r="J12" s="541"/>
      <c r="K12" s="541"/>
      <c r="L12" s="541"/>
      <c r="M12" s="541"/>
      <c r="N12" s="541"/>
      <c r="O12" s="541"/>
      <c r="P12" s="541"/>
      <c r="Q12" s="541"/>
      <c r="R12" s="541"/>
      <c r="S12" s="541"/>
      <c r="T12" s="541"/>
      <c r="U12" s="541"/>
      <c r="V12" s="541"/>
      <c r="W12" s="541"/>
      <c r="X12" s="541"/>
      <c r="Y12" s="541"/>
      <c r="Z12" s="541"/>
      <c r="AA12" s="541"/>
      <c r="AB12" s="541"/>
      <c r="AC12" s="541"/>
      <c r="AD12" s="541"/>
      <c r="AE12" s="541"/>
      <c r="AF12" s="541"/>
      <c r="AG12" s="541"/>
      <c r="AH12" s="541"/>
      <c r="AI12" s="541"/>
      <c r="AJ12" s="541"/>
      <c r="AK12" s="541"/>
      <c r="AL12" s="541"/>
      <c r="AM12" s="541"/>
      <c r="AN12" s="536"/>
      <c r="AP12" s="14"/>
    </row>
    <row r="13" spans="1:42" s="537" customFormat="1" ht="12.75" customHeight="1">
      <c r="A13" s="541"/>
      <c r="B13" s="2623" t="s">
        <v>591</v>
      </c>
      <c r="C13" s="2623"/>
      <c r="D13" s="548"/>
      <c r="E13" s="549" t="s">
        <v>1306</v>
      </c>
      <c r="F13" s="550"/>
      <c r="G13" s="550"/>
      <c r="H13" s="550"/>
      <c r="I13" s="550"/>
      <c r="J13" s="550"/>
      <c r="K13" s="550"/>
      <c r="L13" s="550"/>
      <c r="M13" s="550"/>
      <c r="N13" s="550"/>
      <c r="O13" s="550"/>
      <c r="P13" s="550"/>
      <c r="Q13" s="550"/>
      <c r="R13" s="550"/>
      <c r="S13" s="550"/>
      <c r="T13" s="550"/>
      <c r="U13" s="550"/>
      <c r="V13" s="550"/>
      <c r="W13" s="550"/>
      <c r="X13" s="550"/>
      <c r="Y13" s="550"/>
      <c r="Z13" s="550"/>
      <c r="AA13" s="550"/>
      <c r="AB13" s="550"/>
      <c r="AC13" s="550"/>
      <c r="AD13" s="550"/>
      <c r="AE13" s="550"/>
      <c r="AF13" s="550"/>
      <c r="AG13" s="2631"/>
      <c r="AH13" s="2631"/>
      <c r="AI13" s="2631"/>
      <c r="AJ13" s="2632"/>
      <c r="AK13" s="541"/>
      <c r="AL13" s="541"/>
      <c r="AM13" s="541"/>
      <c r="AN13" s="536"/>
      <c r="AO13" s="551">
        <f>IF($B13="yes",20,0)</f>
        <v>0</v>
      </c>
      <c r="AP13" s="14"/>
    </row>
    <row r="14" spans="1:42" s="537" customFormat="1" ht="12.75" customHeight="1">
      <c r="A14" s="541"/>
      <c r="B14" s="541"/>
      <c r="C14" s="541"/>
      <c r="D14" s="14"/>
      <c r="E14" s="541"/>
      <c r="F14" s="541"/>
      <c r="G14" s="541"/>
      <c r="H14" s="541"/>
      <c r="I14" s="541"/>
      <c r="J14" s="541"/>
      <c r="K14" s="541"/>
      <c r="L14" s="541"/>
      <c r="M14" s="541"/>
      <c r="N14" s="541"/>
      <c r="O14" s="541"/>
      <c r="P14" s="541"/>
      <c r="Q14" s="541"/>
      <c r="R14" s="541"/>
      <c r="S14" s="541"/>
      <c r="T14" s="541"/>
      <c r="U14" s="541"/>
      <c r="V14" s="541"/>
      <c r="W14" s="541"/>
      <c r="X14" s="541"/>
      <c r="Y14" s="541"/>
      <c r="Z14" s="541"/>
      <c r="AA14" s="541"/>
      <c r="AB14" s="541"/>
      <c r="AC14" s="541"/>
      <c r="AD14" s="541"/>
      <c r="AE14" s="541"/>
      <c r="AF14" s="541"/>
      <c r="AG14" s="541"/>
      <c r="AH14" s="541"/>
      <c r="AI14" s="541"/>
      <c r="AJ14" s="541"/>
      <c r="AK14" s="541"/>
      <c r="AL14" s="541"/>
      <c r="AM14" s="541"/>
      <c r="AN14" s="536"/>
      <c r="AO14" s="551">
        <f>IF(AND($B16="yes",E20&gt;0),20,0)</f>
        <v>0</v>
      </c>
      <c r="AP14" s="14"/>
    </row>
    <row r="15" spans="1:42" s="537" customFormat="1" ht="12.75" customHeight="1">
      <c r="A15" s="541"/>
      <c r="B15" s="541"/>
      <c r="C15" s="541"/>
      <c r="D15" s="551"/>
      <c r="E15" s="541"/>
      <c r="F15" s="541"/>
      <c r="G15" s="541"/>
      <c r="H15" s="541"/>
      <c r="I15" s="541"/>
      <c r="J15" s="541"/>
      <c r="K15" s="541"/>
      <c r="L15" s="541"/>
      <c r="M15" s="541"/>
      <c r="N15" s="541"/>
      <c r="O15" s="541"/>
      <c r="P15" s="541"/>
      <c r="Q15" s="541"/>
      <c r="R15" s="541"/>
      <c r="S15" s="541"/>
      <c r="T15" s="541"/>
      <c r="U15" s="541"/>
      <c r="V15" s="541"/>
      <c r="W15" s="541"/>
      <c r="X15" s="541"/>
      <c r="Y15" s="541"/>
      <c r="Z15" s="541"/>
      <c r="AA15" s="541"/>
      <c r="AB15" s="541"/>
      <c r="AC15" s="541"/>
      <c r="AD15" s="541"/>
      <c r="AE15" s="541"/>
      <c r="AF15" s="541"/>
      <c r="AG15" s="541"/>
      <c r="AH15" s="541"/>
      <c r="AI15" s="541"/>
      <c r="AJ15" s="541"/>
      <c r="AK15" s="541"/>
      <c r="AL15" s="541"/>
      <c r="AM15" s="541"/>
      <c r="AN15" s="536"/>
      <c r="AO15" s="551">
        <f>IF($B22="yes",20,0)</f>
        <v>0</v>
      </c>
      <c r="AP15" s="14"/>
    </row>
    <row r="16" spans="1:42" s="537" customFormat="1" ht="12.75" customHeight="1">
      <c r="A16" s="541"/>
      <c r="B16" s="2623" t="s">
        <v>591</v>
      </c>
      <c r="C16" s="2623"/>
      <c r="D16" s="548"/>
      <c r="E16" s="2615" t="s">
        <v>1307</v>
      </c>
      <c r="F16" s="2616"/>
      <c r="G16" s="2616"/>
      <c r="H16" s="2616"/>
      <c r="I16" s="2616"/>
      <c r="J16" s="2616"/>
      <c r="K16" s="2616"/>
      <c r="L16" s="2616"/>
      <c r="M16" s="2616"/>
      <c r="N16" s="2616"/>
      <c r="O16" s="2616"/>
      <c r="P16" s="2616"/>
      <c r="Q16" s="2616"/>
      <c r="R16" s="2616"/>
      <c r="S16" s="2616"/>
      <c r="T16" s="2616"/>
      <c r="U16" s="2616"/>
      <c r="V16" s="2616"/>
      <c r="W16" s="2616"/>
      <c r="X16" s="2616"/>
      <c r="Y16" s="2616"/>
      <c r="Z16" s="2616"/>
      <c r="AA16" s="2616"/>
      <c r="AB16" s="2616"/>
      <c r="AC16" s="2616"/>
      <c r="AD16" s="2616"/>
      <c r="AE16" s="2616"/>
      <c r="AF16" s="2616"/>
      <c r="AG16" s="2616"/>
      <c r="AH16" s="2616"/>
      <c r="AI16" s="2616"/>
      <c r="AJ16" s="2617"/>
      <c r="AK16" s="541"/>
      <c r="AL16" s="541"/>
      <c r="AM16" s="541"/>
      <c r="AN16" s="536"/>
      <c r="AO16" s="551">
        <f>IF($B25="yes",20,0)</f>
        <v>0</v>
      </c>
      <c r="AP16" s="14"/>
    </row>
    <row r="17" spans="1:42" s="537" customFormat="1" ht="12.75" customHeight="1">
      <c r="A17" s="541"/>
      <c r="B17" s="541"/>
      <c r="C17" s="541"/>
      <c r="D17" s="552"/>
      <c r="E17" s="2618"/>
      <c r="F17" s="2619"/>
      <c r="G17" s="2619"/>
      <c r="H17" s="2619"/>
      <c r="I17" s="2619"/>
      <c r="J17" s="2619"/>
      <c r="K17" s="2619"/>
      <c r="L17" s="2619"/>
      <c r="M17" s="2619"/>
      <c r="N17" s="2619"/>
      <c r="O17" s="2619"/>
      <c r="P17" s="2619"/>
      <c r="Q17" s="2619"/>
      <c r="R17" s="2619"/>
      <c r="S17" s="2619"/>
      <c r="T17" s="2619"/>
      <c r="U17" s="2619"/>
      <c r="V17" s="2619"/>
      <c r="W17" s="2619"/>
      <c r="X17" s="2619"/>
      <c r="Y17" s="2619"/>
      <c r="Z17" s="2619"/>
      <c r="AA17" s="2619"/>
      <c r="AB17" s="2619"/>
      <c r="AC17" s="2619"/>
      <c r="AD17" s="2619"/>
      <c r="AE17" s="2619"/>
      <c r="AF17" s="2619"/>
      <c r="AG17" s="2619"/>
      <c r="AH17" s="2619"/>
      <c r="AI17" s="2619"/>
      <c r="AJ17" s="2620"/>
      <c r="AK17" s="541"/>
      <c r="AL17" s="541"/>
      <c r="AM17" s="541"/>
      <c r="AN17" s="536"/>
      <c r="AO17" s="551">
        <f>IF($B28="yes",20,0)</f>
        <v>0</v>
      </c>
    </row>
    <row r="18" spans="1:42" s="537" customFormat="1" ht="12.75" customHeight="1">
      <c r="A18" s="541"/>
      <c r="B18" s="541"/>
      <c r="C18" s="541"/>
      <c r="D18" s="552"/>
      <c r="E18" s="2618"/>
      <c r="F18" s="2619"/>
      <c r="G18" s="2619"/>
      <c r="H18" s="2619"/>
      <c r="I18" s="2619"/>
      <c r="J18" s="2619"/>
      <c r="K18" s="2619"/>
      <c r="L18" s="2619"/>
      <c r="M18" s="2619"/>
      <c r="N18" s="2619"/>
      <c r="O18" s="2619"/>
      <c r="P18" s="2619"/>
      <c r="Q18" s="2619"/>
      <c r="R18" s="2619"/>
      <c r="S18" s="2619"/>
      <c r="T18" s="2619"/>
      <c r="U18" s="2619"/>
      <c r="V18" s="2619"/>
      <c r="W18" s="2619"/>
      <c r="X18" s="2619"/>
      <c r="Y18" s="2619"/>
      <c r="Z18" s="2619"/>
      <c r="AA18" s="2619"/>
      <c r="AB18" s="2619"/>
      <c r="AC18" s="2619"/>
      <c r="AD18" s="2619"/>
      <c r="AE18" s="2619"/>
      <c r="AF18" s="2619"/>
      <c r="AG18" s="2619"/>
      <c r="AH18" s="2619"/>
      <c r="AI18" s="2619"/>
      <c r="AJ18" s="2620"/>
      <c r="AK18" s="541"/>
      <c r="AL18" s="541"/>
      <c r="AM18" s="541"/>
      <c r="AN18" s="536"/>
      <c r="AO18" s="537">
        <f>IF(SUM(AO13:AO17)&gt;20,20,(SUM(AO13:AO17)))</f>
        <v>0</v>
      </c>
      <c r="AP18" s="537" t="s">
        <v>1308</v>
      </c>
    </row>
    <row r="19" spans="1:42" s="537" customFormat="1" ht="12.75" customHeight="1">
      <c r="A19" s="541"/>
      <c r="B19" s="541"/>
      <c r="C19" s="541"/>
      <c r="D19" s="552"/>
      <c r="E19" s="553" t="s">
        <v>1309</v>
      </c>
      <c r="F19" s="554"/>
      <c r="G19" s="554"/>
      <c r="H19" s="554"/>
      <c r="I19" s="554"/>
      <c r="J19" s="554"/>
      <c r="K19" s="554"/>
      <c r="L19" s="554"/>
      <c r="M19" s="554"/>
      <c r="N19" s="554"/>
      <c r="O19" s="554"/>
      <c r="P19" s="554"/>
      <c r="Q19" s="554"/>
      <c r="R19" s="554"/>
      <c r="S19" s="554"/>
      <c r="T19" s="554"/>
      <c r="U19" s="554"/>
      <c r="V19" s="554"/>
      <c r="W19" s="554"/>
      <c r="X19" s="554"/>
      <c r="Y19" s="554"/>
      <c r="Z19" s="554"/>
      <c r="AA19" s="554"/>
      <c r="AB19" s="554"/>
      <c r="AC19" s="554"/>
      <c r="AD19" s="554"/>
      <c r="AE19" s="554"/>
      <c r="AF19" s="554"/>
      <c r="AG19" s="554"/>
      <c r="AH19" s="554"/>
      <c r="AI19" s="554"/>
      <c r="AJ19" s="555"/>
      <c r="AK19" s="541"/>
      <c r="AL19" s="541"/>
      <c r="AM19" s="541"/>
      <c r="AN19" s="536"/>
    </row>
    <row r="20" spans="1:42" s="537" customFormat="1" ht="12.75" customHeight="1">
      <c r="A20" s="541"/>
      <c r="B20" s="541"/>
      <c r="C20" s="541"/>
      <c r="D20" s="552"/>
      <c r="E20" s="2639"/>
      <c r="F20" s="2640"/>
      <c r="G20" s="2640"/>
      <c r="H20" s="2640"/>
      <c r="I20" s="2640"/>
      <c r="J20" s="2640"/>
      <c r="K20" s="2640"/>
      <c r="L20" s="2640"/>
      <c r="M20" s="2640"/>
      <c r="N20" s="2640"/>
      <c r="O20" s="2640"/>
      <c r="P20" s="2640"/>
      <c r="Q20" s="2640"/>
      <c r="R20" s="2640"/>
      <c r="S20" s="2640"/>
      <c r="T20" s="2640"/>
      <c r="U20" s="2640"/>
      <c r="V20" s="2640"/>
      <c r="W20" s="2640"/>
      <c r="X20" s="2640"/>
      <c r="Y20" s="2640"/>
      <c r="Z20" s="2640"/>
      <c r="AA20" s="2640"/>
      <c r="AB20" s="2640"/>
      <c r="AC20" s="2640"/>
      <c r="AD20" s="2640"/>
      <c r="AE20" s="2640"/>
      <c r="AF20" s="2640"/>
      <c r="AG20" s="2640"/>
      <c r="AH20" s="2640"/>
      <c r="AI20" s="2640"/>
      <c r="AJ20" s="2641"/>
      <c r="AK20" s="541"/>
      <c r="AL20" s="541"/>
      <c r="AM20" s="541"/>
      <c r="AN20" s="536"/>
      <c r="AO20" s="551">
        <f>IF($B33="yes",14,0)</f>
        <v>0</v>
      </c>
    </row>
    <row r="21" spans="1:42" s="537" customFormat="1" ht="12.75" customHeight="1">
      <c r="A21" s="541"/>
      <c r="B21" s="541"/>
      <c r="C21" s="541"/>
      <c r="E21" s="541"/>
      <c r="F21" s="541"/>
      <c r="G21" s="541"/>
      <c r="H21" s="541"/>
      <c r="I21" s="541"/>
      <c r="J21" s="541"/>
      <c r="K21" s="541"/>
      <c r="L21" s="541"/>
      <c r="M21" s="541"/>
      <c r="N21" s="541"/>
      <c r="O21" s="541"/>
      <c r="P21" s="541"/>
      <c r="Q21" s="541"/>
      <c r="R21" s="541"/>
      <c r="S21" s="541"/>
      <c r="T21" s="541"/>
      <c r="U21" s="541"/>
      <c r="V21" s="541"/>
      <c r="W21" s="541"/>
      <c r="X21" s="541"/>
      <c r="Y21" s="541"/>
      <c r="Z21" s="541"/>
      <c r="AA21" s="541"/>
      <c r="AB21" s="541"/>
      <c r="AC21" s="541"/>
      <c r="AD21" s="541"/>
      <c r="AE21" s="541"/>
      <c r="AF21" s="541"/>
      <c r="AG21" s="541"/>
      <c r="AH21" s="541"/>
      <c r="AI21" s="541"/>
      <c r="AJ21" s="541"/>
      <c r="AK21" s="541"/>
      <c r="AL21" s="541"/>
      <c r="AM21" s="541"/>
      <c r="AN21" s="536"/>
      <c r="AO21" s="551">
        <f>IF($B36="yes",14,0)</f>
        <v>0</v>
      </c>
      <c r="AP21" s="14"/>
    </row>
    <row r="22" spans="1:42" s="537" customFormat="1" ht="12.75" customHeight="1">
      <c r="A22" s="541"/>
      <c r="B22" s="2623" t="s">
        <v>591</v>
      </c>
      <c r="C22" s="2623"/>
      <c r="D22" s="548"/>
      <c r="E22" s="2633" t="s">
        <v>1310</v>
      </c>
      <c r="F22" s="2634"/>
      <c r="G22" s="2634"/>
      <c r="H22" s="2634"/>
      <c r="I22" s="2634"/>
      <c r="J22" s="2634"/>
      <c r="K22" s="2634"/>
      <c r="L22" s="2634"/>
      <c r="M22" s="2634"/>
      <c r="N22" s="2634"/>
      <c r="O22" s="2634"/>
      <c r="P22" s="2634"/>
      <c r="Q22" s="2634"/>
      <c r="R22" s="2634"/>
      <c r="S22" s="2634"/>
      <c r="T22" s="2634"/>
      <c r="U22" s="2634"/>
      <c r="V22" s="2634"/>
      <c r="W22" s="2634"/>
      <c r="X22" s="2634"/>
      <c r="Y22" s="2634"/>
      <c r="Z22" s="2634"/>
      <c r="AA22" s="2634"/>
      <c r="AB22" s="2634"/>
      <c r="AC22" s="2634"/>
      <c r="AD22" s="2634"/>
      <c r="AE22" s="2634"/>
      <c r="AF22" s="2634"/>
      <c r="AG22" s="2634"/>
      <c r="AH22" s="2634"/>
      <c r="AI22" s="2634"/>
      <c r="AJ22" s="2635"/>
      <c r="AK22" s="541"/>
      <c r="AL22" s="541"/>
      <c r="AM22" s="541"/>
      <c r="AN22" s="536"/>
      <c r="AO22" s="551">
        <f>IF($B40="yes",14,0)</f>
        <v>0</v>
      </c>
    </row>
    <row r="23" spans="1:42" s="537" customFormat="1" ht="12.75" customHeight="1">
      <c r="A23" s="541"/>
      <c r="B23" s="541"/>
      <c r="C23" s="541"/>
      <c r="D23" s="551"/>
      <c r="E23" s="2636"/>
      <c r="F23" s="2637"/>
      <c r="G23" s="2637"/>
      <c r="H23" s="2637"/>
      <c r="I23" s="2637"/>
      <c r="J23" s="2637"/>
      <c r="K23" s="2637"/>
      <c r="L23" s="2637"/>
      <c r="M23" s="2637"/>
      <c r="N23" s="2637"/>
      <c r="O23" s="2637"/>
      <c r="P23" s="2637"/>
      <c r="Q23" s="2637"/>
      <c r="R23" s="2637"/>
      <c r="S23" s="2637"/>
      <c r="T23" s="2637"/>
      <c r="U23" s="2637"/>
      <c r="V23" s="2637"/>
      <c r="W23" s="2637"/>
      <c r="X23" s="2637"/>
      <c r="Y23" s="2637"/>
      <c r="Z23" s="2637"/>
      <c r="AA23" s="2637"/>
      <c r="AB23" s="2637"/>
      <c r="AC23" s="2637"/>
      <c r="AD23" s="2637"/>
      <c r="AE23" s="2637"/>
      <c r="AF23" s="2637"/>
      <c r="AG23" s="2637"/>
      <c r="AH23" s="2637"/>
      <c r="AI23" s="2637"/>
      <c r="AJ23" s="2638"/>
      <c r="AK23" s="541"/>
      <c r="AL23" s="541"/>
      <c r="AM23" s="541"/>
      <c r="AN23" s="536"/>
      <c r="AO23" s="537">
        <f>IF(SUM(AO20:AO22)&gt;14,14,SUM(AO20:AO22))</f>
        <v>0</v>
      </c>
      <c r="AP23" s="537" t="s">
        <v>1308</v>
      </c>
    </row>
    <row r="24" spans="1:42" s="537" customFormat="1" ht="12.75" customHeight="1">
      <c r="A24" s="541"/>
      <c r="B24" s="541"/>
      <c r="C24" s="541"/>
      <c r="D24" s="552"/>
      <c r="E24" s="541"/>
      <c r="F24" s="541"/>
      <c r="G24" s="541"/>
      <c r="H24" s="541"/>
      <c r="I24" s="541"/>
      <c r="J24" s="541"/>
      <c r="K24" s="541"/>
      <c r="L24" s="541"/>
      <c r="M24" s="541"/>
      <c r="N24" s="541"/>
      <c r="O24" s="541"/>
      <c r="P24" s="541"/>
      <c r="Q24" s="541"/>
      <c r="R24" s="541"/>
      <c r="S24" s="541"/>
      <c r="T24" s="541"/>
      <c r="U24" s="541"/>
      <c r="V24" s="541"/>
      <c r="W24" s="541"/>
      <c r="X24" s="541"/>
      <c r="Y24" s="541"/>
      <c r="Z24" s="541"/>
      <c r="AA24" s="541"/>
      <c r="AB24" s="541"/>
      <c r="AC24" s="541"/>
      <c r="AD24" s="541"/>
      <c r="AE24" s="541"/>
      <c r="AF24" s="541"/>
      <c r="AG24" s="541"/>
      <c r="AH24" s="541"/>
      <c r="AI24" s="541"/>
      <c r="AJ24" s="541"/>
      <c r="AK24" s="541"/>
      <c r="AL24" s="541"/>
      <c r="AM24" s="541"/>
      <c r="AN24" s="536"/>
    </row>
    <row r="25" spans="1:42" s="537" customFormat="1" ht="12.75" customHeight="1">
      <c r="A25" s="541"/>
      <c r="B25" s="2623" t="s">
        <v>591</v>
      </c>
      <c r="C25" s="2623"/>
      <c r="D25" s="548"/>
      <c r="E25" s="2550" t="s">
        <v>2035</v>
      </c>
      <c r="F25" s="2551"/>
      <c r="G25" s="2551"/>
      <c r="H25" s="2551"/>
      <c r="I25" s="2551"/>
      <c r="J25" s="2551"/>
      <c r="K25" s="2551"/>
      <c r="L25" s="2551"/>
      <c r="M25" s="2551"/>
      <c r="N25" s="2551"/>
      <c r="O25" s="2551"/>
      <c r="P25" s="2551"/>
      <c r="Q25" s="2551"/>
      <c r="R25" s="2551"/>
      <c r="S25" s="2551"/>
      <c r="T25" s="2551"/>
      <c r="U25" s="2551"/>
      <c r="V25" s="2551"/>
      <c r="W25" s="2551"/>
      <c r="X25" s="2551"/>
      <c r="Y25" s="2551"/>
      <c r="Z25" s="2551"/>
      <c r="AA25" s="2551"/>
      <c r="AB25" s="2551"/>
      <c r="AC25" s="2551"/>
      <c r="AD25" s="2551"/>
      <c r="AE25" s="2551"/>
      <c r="AF25" s="2551"/>
      <c r="AG25" s="2551"/>
      <c r="AH25" s="2551"/>
      <c r="AI25" s="2551"/>
      <c r="AJ25" s="2552"/>
      <c r="AK25" s="541"/>
      <c r="AL25" s="541"/>
      <c r="AM25" s="541"/>
      <c r="AN25" s="536"/>
      <c r="AO25" s="551">
        <f>IF($B45="yes",6,0)</f>
        <v>0</v>
      </c>
    </row>
    <row r="26" spans="1:42" s="537" customFormat="1" ht="12.75" customHeight="1">
      <c r="A26" s="541"/>
      <c r="B26" s="541"/>
      <c r="C26" s="541"/>
      <c r="D26" s="551"/>
      <c r="E26" s="2575"/>
      <c r="F26" s="2576"/>
      <c r="G26" s="2576"/>
      <c r="H26" s="2576"/>
      <c r="I26" s="2576"/>
      <c r="J26" s="2576"/>
      <c r="K26" s="2576"/>
      <c r="L26" s="2576"/>
      <c r="M26" s="2576"/>
      <c r="N26" s="2576"/>
      <c r="O26" s="2576"/>
      <c r="P26" s="2576"/>
      <c r="Q26" s="2576"/>
      <c r="R26" s="2576"/>
      <c r="S26" s="2576"/>
      <c r="T26" s="2576"/>
      <c r="U26" s="2576"/>
      <c r="V26" s="2576"/>
      <c r="W26" s="2576"/>
      <c r="X26" s="2576"/>
      <c r="Y26" s="2576"/>
      <c r="Z26" s="2576"/>
      <c r="AA26" s="2576"/>
      <c r="AB26" s="2576"/>
      <c r="AC26" s="2576"/>
      <c r="AD26" s="2576"/>
      <c r="AE26" s="2576"/>
      <c r="AF26" s="2576"/>
      <c r="AG26" s="2576"/>
      <c r="AH26" s="2576"/>
      <c r="AI26" s="2576"/>
      <c r="AJ26" s="2577"/>
      <c r="AK26" s="541"/>
      <c r="AL26" s="541"/>
      <c r="AM26" s="541"/>
      <c r="AN26" s="536"/>
      <c r="AO26" s="537">
        <f>IF(AO25&gt;6,6,AO25)</f>
        <v>0</v>
      </c>
      <c r="AP26" s="537" t="s">
        <v>1308</v>
      </c>
    </row>
    <row r="27" spans="1:42" s="537" customFormat="1" ht="12.75" customHeight="1">
      <c r="A27" s="541"/>
      <c r="B27" s="541"/>
      <c r="C27" s="541"/>
      <c r="D27" s="551"/>
      <c r="E27" s="541"/>
      <c r="F27" s="541"/>
      <c r="G27" s="541"/>
      <c r="H27" s="541"/>
      <c r="I27" s="541"/>
      <c r="J27" s="541"/>
      <c r="K27" s="541"/>
      <c r="L27" s="541"/>
      <c r="M27" s="541"/>
      <c r="N27" s="541"/>
      <c r="O27" s="541"/>
      <c r="P27" s="541"/>
      <c r="Q27" s="541"/>
      <c r="R27" s="541"/>
      <c r="S27" s="541"/>
      <c r="T27" s="541"/>
      <c r="U27" s="541"/>
      <c r="V27" s="541"/>
      <c r="W27" s="541"/>
      <c r="X27" s="541"/>
      <c r="Y27" s="541"/>
      <c r="Z27" s="541"/>
      <c r="AA27" s="541"/>
      <c r="AB27" s="541"/>
      <c r="AC27" s="541"/>
      <c r="AD27" s="541"/>
      <c r="AE27" s="541"/>
      <c r="AF27" s="541"/>
      <c r="AG27" s="541"/>
      <c r="AH27" s="541"/>
      <c r="AI27" s="541"/>
      <c r="AJ27" s="541"/>
      <c r="AK27" s="541"/>
      <c r="AL27" s="541"/>
      <c r="AM27" s="541"/>
      <c r="AN27" s="536"/>
      <c r="AO27" s="551"/>
    </row>
    <row r="28" spans="1:42" s="537" customFormat="1" ht="12.75" customHeight="1">
      <c r="A28" s="541"/>
      <c r="B28" s="2623" t="s">
        <v>591</v>
      </c>
      <c r="C28" s="2623"/>
      <c r="D28" s="548"/>
      <c r="E28" s="2652" t="s">
        <v>2252</v>
      </c>
      <c r="F28" s="2653"/>
      <c r="G28" s="2653"/>
      <c r="H28" s="2653"/>
      <c r="I28" s="2653"/>
      <c r="J28" s="2653"/>
      <c r="K28" s="2653"/>
      <c r="L28" s="2653"/>
      <c r="M28" s="2653"/>
      <c r="N28" s="2653"/>
      <c r="O28" s="2653"/>
      <c r="P28" s="2653"/>
      <c r="Q28" s="2653"/>
      <c r="R28" s="2653"/>
      <c r="S28" s="2653"/>
      <c r="T28" s="2653"/>
      <c r="U28" s="2653"/>
      <c r="V28" s="2653"/>
      <c r="W28" s="2653"/>
      <c r="X28" s="2653"/>
      <c r="Y28" s="2653"/>
      <c r="Z28" s="2653"/>
      <c r="AA28" s="2653"/>
      <c r="AB28" s="2653"/>
      <c r="AC28" s="2653"/>
      <c r="AD28" s="2653"/>
      <c r="AE28" s="2653"/>
      <c r="AF28" s="2653"/>
      <c r="AG28" s="2653"/>
      <c r="AH28" s="2653"/>
      <c r="AI28" s="2653"/>
      <c r="AJ28" s="2654"/>
      <c r="AK28" s="541"/>
      <c r="AL28" s="541"/>
      <c r="AM28" s="541"/>
      <c r="AN28" s="536"/>
      <c r="AO28" s="551"/>
    </row>
    <row r="29" spans="1:42" s="537" customFormat="1" ht="12.75" customHeight="1">
      <c r="A29" s="541"/>
      <c r="B29" s="541"/>
      <c r="C29" s="541"/>
      <c r="D29" s="551"/>
      <c r="E29" s="541"/>
      <c r="F29" s="541"/>
      <c r="G29" s="541"/>
      <c r="H29" s="541"/>
      <c r="I29" s="541"/>
      <c r="J29" s="541"/>
      <c r="K29" s="541"/>
      <c r="L29" s="541"/>
      <c r="M29" s="541"/>
      <c r="N29" s="541"/>
      <c r="O29" s="541"/>
      <c r="P29" s="541"/>
      <c r="Q29" s="541"/>
      <c r="R29" s="541"/>
      <c r="S29" s="541"/>
      <c r="T29" s="541"/>
      <c r="U29" s="541"/>
      <c r="V29" s="541"/>
      <c r="W29" s="541"/>
      <c r="X29" s="541"/>
      <c r="Y29" s="541"/>
      <c r="Z29" s="541"/>
      <c r="AA29" s="541"/>
      <c r="AB29" s="541"/>
      <c r="AC29" s="541"/>
      <c r="AD29" s="541"/>
      <c r="AE29" s="541"/>
      <c r="AF29" s="541"/>
      <c r="AG29" s="541"/>
      <c r="AH29" s="541"/>
      <c r="AI29" s="541"/>
      <c r="AJ29" s="541"/>
      <c r="AK29" s="541"/>
      <c r="AL29" s="541"/>
      <c r="AM29" s="541"/>
      <c r="AN29" s="536"/>
      <c r="AO29" s="551"/>
    </row>
    <row r="30" spans="1:42" s="537" customFormat="1" ht="12.75" customHeight="1">
      <c r="A30" s="541"/>
      <c r="B30" s="541"/>
      <c r="C30" s="541"/>
      <c r="D30" s="551"/>
      <c r="E30" s="541"/>
      <c r="F30" s="541"/>
      <c r="G30" s="541"/>
      <c r="H30" s="541"/>
      <c r="I30" s="541"/>
      <c r="J30" s="541"/>
      <c r="K30" s="541"/>
      <c r="L30" s="541"/>
      <c r="M30" s="541"/>
      <c r="N30" s="541"/>
      <c r="O30" s="541"/>
      <c r="P30" s="541"/>
      <c r="Q30" s="541"/>
      <c r="R30" s="541"/>
      <c r="S30" s="541"/>
      <c r="T30" s="541"/>
      <c r="U30" s="541"/>
      <c r="V30" s="541"/>
      <c r="W30" s="541"/>
      <c r="X30" s="541"/>
      <c r="Y30" s="541"/>
      <c r="Z30" s="541"/>
      <c r="AA30" s="541"/>
      <c r="AB30" s="541"/>
      <c r="AC30" s="541"/>
      <c r="AD30" s="541"/>
      <c r="AE30" s="541"/>
      <c r="AF30" s="541"/>
      <c r="AG30" s="541"/>
      <c r="AH30" s="541"/>
      <c r="AI30" s="541"/>
      <c r="AJ30" s="541"/>
      <c r="AK30" s="541"/>
      <c r="AL30" s="541"/>
      <c r="AM30" s="541"/>
      <c r="AN30" s="536"/>
      <c r="AO30" s="551"/>
    </row>
    <row r="31" spans="1:42" s="537" customFormat="1" ht="12.75" customHeight="1">
      <c r="A31" s="541"/>
      <c r="C31" s="545" t="s">
        <v>2009</v>
      </c>
      <c r="E31" s="541"/>
      <c r="F31" s="541"/>
      <c r="G31" s="541"/>
      <c r="H31" s="541"/>
      <c r="I31" s="541"/>
      <c r="J31" s="541"/>
      <c r="K31" s="541"/>
      <c r="L31" s="541"/>
      <c r="M31" s="541"/>
      <c r="N31" s="541"/>
      <c r="O31" s="541"/>
      <c r="P31" s="541"/>
      <c r="Q31" s="541"/>
      <c r="R31" s="541"/>
      <c r="S31" s="541"/>
      <c r="T31" s="541"/>
      <c r="U31" s="541"/>
      <c r="V31" s="541"/>
      <c r="W31" s="541"/>
      <c r="X31" s="541"/>
      <c r="Y31" s="541"/>
      <c r="Z31" s="541"/>
      <c r="AA31" s="541"/>
      <c r="AB31" s="541"/>
      <c r="AC31" s="541"/>
      <c r="AD31" s="541"/>
      <c r="AE31" s="541"/>
      <c r="AF31" s="541"/>
      <c r="AG31" s="541"/>
      <c r="AH31" s="541"/>
      <c r="AI31" s="541"/>
      <c r="AJ31" s="541"/>
      <c r="AK31" s="541"/>
      <c r="AL31" s="541"/>
      <c r="AM31" s="541"/>
      <c r="AN31" s="536"/>
      <c r="AO31" s="551">
        <f>IF(AND(B52="Yes",B56="Yes",B58="Yes"),20,0)</f>
        <v>20</v>
      </c>
    </row>
    <row r="32" spans="1:42" s="537" customFormat="1" ht="12.75" customHeight="1">
      <c r="A32" s="541"/>
      <c r="B32" s="541"/>
      <c r="C32" s="541"/>
      <c r="E32" s="541"/>
      <c r="F32" s="541"/>
      <c r="G32" s="541"/>
      <c r="H32" s="541"/>
      <c r="I32" s="541"/>
      <c r="J32" s="541"/>
      <c r="K32" s="541"/>
      <c r="L32" s="541"/>
      <c r="M32" s="541"/>
      <c r="N32" s="541"/>
      <c r="O32" s="541"/>
      <c r="P32" s="541"/>
      <c r="Q32" s="541"/>
      <c r="R32" s="541"/>
      <c r="S32" s="541"/>
      <c r="T32" s="541"/>
      <c r="U32" s="541"/>
      <c r="V32" s="541"/>
      <c r="W32" s="541"/>
      <c r="X32" s="541"/>
      <c r="Y32" s="541"/>
      <c r="Z32" s="541"/>
      <c r="AA32" s="541"/>
      <c r="AB32" s="541"/>
      <c r="AC32" s="541"/>
      <c r="AD32" s="541"/>
      <c r="AE32" s="541"/>
      <c r="AF32" s="541"/>
      <c r="AG32" s="541"/>
      <c r="AH32" s="541"/>
      <c r="AI32" s="541"/>
      <c r="AJ32" s="541"/>
      <c r="AK32" s="541"/>
      <c r="AL32" s="541"/>
      <c r="AM32" s="541"/>
      <c r="AN32" s="536"/>
      <c r="AO32" s="537">
        <f>IF(AO31&gt;20,20,AO31)</f>
        <v>20</v>
      </c>
      <c r="AP32" s="537" t="s">
        <v>1308</v>
      </c>
    </row>
    <row r="33" spans="1:41" s="537" customFormat="1" ht="12.75" customHeight="1">
      <c r="A33" s="541"/>
      <c r="B33" s="2623" t="s">
        <v>591</v>
      </c>
      <c r="C33" s="2623"/>
      <c r="D33" s="548"/>
      <c r="E33" s="2633" t="s">
        <v>2254</v>
      </c>
      <c r="F33" s="2634"/>
      <c r="G33" s="2634"/>
      <c r="H33" s="2634"/>
      <c r="I33" s="2634"/>
      <c r="J33" s="2634"/>
      <c r="K33" s="2634"/>
      <c r="L33" s="2634"/>
      <c r="M33" s="2634"/>
      <c r="N33" s="2634"/>
      <c r="O33" s="2634"/>
      <c r="P33" s="2634"/>
      <c r="Q33" s="2634"/>
      <c r="R33" s="2634"/>
      <c r="S33" s="2634"/>
      <c r="T33" s="2634"/>
      <c r="U33" s="2634"/>
      <c r="V33" s="2634"/>
      <c r="W33" s="2634"/>
      <c r="X33" s="2634"/>
      <c r="Y33" s="2634"/>
      <c r="Z33" s="2634"/>
      <c r="AA33" s="2634"/>
      <c r="AB33" s="2634"/>
      <c r="AC33" s="2634"/>
      <c r="AD33" s="2634"/>
      <c r="AE33" s="2634"/>
      <c r="AF33" s="2634"/>
      <c r="AG33" s="2634"/>
      <c r="AH33" s="2634"/>
      <c r="AI33" s="2634"/>
      <c r="AJ33" s="2635"/>
      <c r="AK33" s="541"/>
      <c r="AL33" s="541"/>
      <c r="AM33" s="541"/>
      <c r="AN33" s="536"/>
      <c r="AO33" s="551"/>
    </row>
    <row r="34" spans="1:41" s="537" customFormat="1" ht="12.75" customHeight="1">
      <c r="A34" s="541"/>
      <c r="B34" s="541"/>
      <c r="C34" s="541"/>
      <c r="E34" s="2636"/>
      <c r="F34" s="2637"/>
      <c r="G34" s="2637"/>
      <c r="H34" s="2637"/>
      <c r="I34" s="2637"/>
      <c r="J34" s="2637"/>
      <c r="K34" s="2637"/>
      <c r="L34" s="2637"/>
      <c r="M34" s="2637"/>
      <c r="N34" s="2637"/>
      <c r="O34" s="2637"/>
      <c r="P34" s="2637"/>
      <c r="Q34" s="2637"/>
      <c r="R34" s="2637"/>
      <c r="S34" s="2637"/>
      <c r="T34" s="2637"/>
      <c r="U34" s="2637"/>
      <c r="V34" s="2637"/>
      <c r="W34" s="2637"/>
      <c r="X34" s="2637"/>
      <c r="Y34" s="2637"/>
      <c r="Z34" s="2637"/>
      <c r="AA34" s="2637"/>
      <c r="AB34" s="2637"/>
      <c r="AC34" s="2637"/>
      <c r="AD34" s="2637"/>
      <c r="AE34" s="2637"/>
      <c r="AF34" s="2637"/>
      <c r="AG34" s="2637"/>
      <c r="AH34" s="2637"/>
      <c r="AI34" s="2637"/>
      <c r="AJ34" s="2638"/>
      <c r="AK34" s="541"/>
      <c r="AL34" s="541"/>
      <c r="AM34" s="541"/>
      <c r="AN34" s="536"/>
    </row>
    <row r="35" spans="1:41" s="537" customFormat="1" ht="12.75" customHeight="1">
      <c r="A35" s="541"/>
      <c r="B35" s="541"/>
      <c r="C35" s="541"/>
      <c r="F35" s="907"/>
      <c r="G35" s="907"/>
      <c r="H35" s="907"/>
      <c r="I35" s="907"/>
      <c r="J35" s="907"/>
      <c r="K35" s="907"/>
      <c r="L35" s="907"/>
      <c r="M35" s="907"/>
      <c r="N35" s="907"/>
      <c r="O35" s="907"/>
      <c r="P35" s="907"/>
      <c r="Q35" s="907"/>
      <c r="R35" s="907"/>
      <c r="S35" s="907"/>
      <c r="T35" s="907"/>
      <c r="U35" s="907"/>
      <c r="V35" s="907"/>
      <c r="W35" s="907"/>
      <c r="X35" s="907"/>
      <c r="Y35" s="907"/>
      <c r="Z35" s="907"/>
      <c r="AA35" s="907"/>
      <c r="AB35" s="907"/>
      <c r="AC35" s="907"/>
      <c r="AD35" s="907"/>
      <c r="AE35" s="907"/>
      <c r="AF35" s="907"/>
      <c r="AG35" s="907"/>
      <c r="AH35" s="907"/>
      <c r="AI35" s="907"/>
      <c r="AJ35" s="907"/>
      <c r="AK35" s="541"/>
      <c r="AL35" s="541"/>
      <c r="AM35" s="541"/>
      <c r="AN35" s="536"/>
    </row>
    <row r="36" spans="1:41" s="537" customFormat="1" ht="12.75" customHeight="1">
      <c r="A36" s="541"/>
      <c r="B36" s="2623" t="s">
        <v>591</v>
      </c>
      <c r="C36" s="2623"/>
      <c r="D36" s="548"/>
      <c r="E36" s="2550" t="s">
        <v>2255</v>
      </c>
      <c r="F36" s="2551"/>
      <c r="G36" s="2551"/>
      <c r="H36" s="2551"/>
      <c r="I36" s="2551"/>
      <c r="J36" s="2551"/>
      <c r="K36" s="2551"/>
      <c r="L36" s="2551"/>
      <c r="M36" s="2551"/>
      <c r="N36" s="2551"/>
      <c r="O36" s="2551"/>
      <c r="P36" s="2551"/>
      <c r="Q36" s="2551"/>
      <c r="R36" s="2551"/>
      <c r="S36" s="2551"/>
      <c r="T36" s="2551"/>
      <c r="U36" s="2551"/>
      <c r="V36" s="2551"/>
      <c r="W36" s="2551"/>
      <c r="X36" s="2551"/>
      <c r="Y36" s="2551"/>
      <c r="Z36" s="2551"/>
      <c r="AA36" s="2551"/>
      <c r="AB36" s="2551"/>
      <c r="AC36" s="2551"/>
      <c r="AD36" s="2551"/>
      <c r="AE36" s="2551"/>
      <c r="AF36" s="2551"/>
      <c r="AG36" s="2551"/>
      <c r="AH36" s="2551"/>
      <c r="AI36" s="2551"/>
      <c r="AJ36" s="2552"/>
      <c r="AK36" s="541"/>
      <c r="AL36" s="541"/>
      <c r="AM36" s="541"/>
      <c r="AN36" s="536"/>
    </row>
    <row r="37" spans="1:41" s="537" customFormat="1" ht="12.75" customHeight="1">
      <c r="A37" s="541"/>
      <c r="B37" s="541"/>
      <c r="C37" s="541"/>
      <c r="E37" s="2553"/>
      <c r="F37" s="2554"/>
      <c r="G37" s="2554"/>
      <c r="H37" s="2554"/>
      <c r="I37" s="2554"/>
      <c r="J37" s="2554"/>
      <c r="K37" s="2554"/>
      <c r="L37" s="2554"/>
      <c r="M37" s="2554"/>
      <c r="N37" s="2554"/>
      <c r="O37" s="2554"/>
      <c r="P37" s="2554"/>
      <c r="Q37" s="2554"/>
      <c r="R37" s="2554"/>
      <c r="S37" s="2554"/>
      <c r="T37" s="2554"/>
      <c r="U37" s="2554"/>
      <c r="V37" s="2554"/>
      <c r="W37" s="2554"/>
      <c r="X37" s="2554"/>
      <c r="Y37" s="2554"/>
      <c r="Z37" s="2554"/>
      <c r="AA37" s="2554"/>
      <c r="AB37" s="2554"/>
      <c r="AC37" s="2554"/>
      <c r="AD37" s="2554"/>
      <c r="AE37" s="2554"/>
      <c r="AF37" s="2554"/>
      <c r="AG37" s="2554"/>
      <c r="AH37" s="2554"/>
      <c r="AI37" s="2554"/>
      <c r="AJ37" s="2555"/>
      <c r="AK37" s="541"/>
      <c r="AL37" s="541"/>
      <c r="AM37" s="541"/>
      <c r="AN37" s="536"/>
    </row>
    <row r="38" spans="1:41" s="537" customFormat="1" ht="12.75" customHeight="1">
      <c r="A38" s="541"/>
      <c r="B38" s="541"/>
      <c r="C38" s="541"/>
      <c r="E38" s="2575"/>
      <c r="F38" s="2576"/>
      <c r="G38" s="2576"/>
      <c r="H38" s="2576"/>
      <c r="I38" s="2576"/>
      <c r="J38" s="2576"/>
      <c r="K38" s="2576"/>
      <c r="L38" s="2576"/>
      <c r="M38" s="2576"/>
      <c r="N38" s="2576"/>
      <c r="O38" s="2576"/>
      <c r="P38" s="2576"/>
      <c r="Q38" s="2576"/>
      <c r="R38" s="2576"/>
      <c r="S38" s="2576"/>
      <c r="T38" s="2576"/>
      <c r="U38" s="2576"/>
      <c r="V38" s="2576"/>
      <c r="W38" s="2576"/>
      <c r="X38" s="2576"/>
      <c r="Y38" s="2576"/>
      <c r="Z38" s="2576"/>
      <c r="AA38" s="2576"/>
      <c r="AB38" s="2576"/>
      <c r="AC38" s="2576"/>
      <c r="AD38" s="2576"/>
      <c r="AE38" s="2576"/>
      <c r="AF38" s="2576"/>
      <c r="AG38" s="2576"/>
      <c r="AH38" s="2576"/>
      <c r="AI38" s="2576"/>
      <c r="AJ38" s="2577"/>
      <c r="AK38" s="541"/>
      <c r="AL38" s="541"/>
      <c r="AM38" s="541"/>
      <c r="AN38" s="536"/>
    </row>
    <row r="39" spans="1:41" s="537" customFormat="1" ht="12.75" customHeight="1">
      <c r="A39" s="541"/>
      <c r="B39" s="541"/>
      <c r="C39" s="541"/>
      <c r="E39" s="541"/>
      <c r="F39" s="541"/>
      <c r="G39" s="541"/>
      <c r="H39" s="541"/>
      <c r="I39" s="541"/>
      <c r="J39" s="541"/>
      <c r="K39" s="541"/>
      <c r="L39" s="541"/>
      <c r="M39" s="541"/>
      <c r="N39" s="541"/>
      <c r="O39" s="541"/>
      <c r="P39" s="541"/>
      <c r="Q39" s="541"/>
      <c r="R39" s="541"/>
      <c r="S39" s="541"/>
      <c r="T39" s="541"/>
      <c r="U39" s="541"/>
      <c r="V39" s="541"/>
      <c r="W39" s="541"/>
      <c r="X39" s="541"/>
      <c r="Y39" s="541"/>
      <c r="Z39" s="541"/>
      <c r="AA39" s="541"/>
      <c r="AB39" s="541"/>
      <c r="AC39" s="541"/>
      <c r="AD39" s="541"/>
      <c r="AE39" s="541"/>
      <c r="AF39" s="541"/>
      <c r="AG39" s="541"/>
      <c r="AH39" s="541"/>
      <c r="AI39" s="541"/>
      <c r="AJ39" s="541"/>
      <c r="AK39" s="541"/>
      <c r="AL39" s="541"/>
      <c r="AM39" s="541"/>
      <c r="AN39" s="536"/>
      <c r="AO39" s="537">
        <f>MAX(AO18,AO23,AO26,AO32)</f>
        <v>20</v>
      </c>
    </row>
    <row r="40" spans="1:41" s="537" customFormat="1" ht="12.75" customHeight="1">
      <c r="A40" s="541"/>
      <c r="B40" s="2623" t="s">
        <v>591</v>
      </c>
      <c r="C40" s="2623"/>
      <c r="D40" s="548"/>
      <c r="E40" s="2550" t="s">
        <v>2253</v>
      </c>
      <c r="F40" s="2551"/>
      <c r="G40" s="2551"/>
      <c r="H40" s="2551"/>
      <c r="I40" s="2551"/>
      <c r="J40" s="2551"/>
      <c r="K40" s="2551"/>
      <c r="L40" s="2551"/>
      <c r="M40" s="2551"/>
      <c r="N40" s="2551"/>
      <c r="O40" s="2551"/>
      <c r="P40" s="2551"/>
      <c r="Q40" s="2551"/>
      <c r="R40" s="2551"/>
      <c r="S40" s="2551"/>
      <c r="T40" s="2551"/>
      <c r="U40" s="2551"/>
      <c r="V40" s="2551"/>
      <c r="W40" s="2551"/>
      <c r="X40" s="2551"/>
      <c r="Y40" s="2551"/>
      <c r="Z40" s="2551"/>
      <c r="AA40" s="2551"/>
      <c r="AB40" s="2551"/>
      <c r="AC40" s="2551"/>
      <c r="AD40" s="2551"/>
      <c r="AE40" s="2551"/>
      <c r="AF40" s="2551"/>
      <c r="AG40" s="2551"/>
      <c r="AH40" s="2551"/>
      <c r="AI40" s="2551"/>
      <c r="AJ40" s="2552"/>
      <c r="AK40" s="541"/>
      <c r="AL40" s="541"/>
      <c r="AM40" s="541"/>
      <c r="AN40" s="536"/>
    </row>
    <row r="41" spans="1:41" s="537" customFormat="1" ht="12.75" customHeight="1">
      <c r="A41" s="541"/>
      <c r="B41" s="541"/>
      <c r="C41" s="541"/>
      <c r="E41" s="2575"/>
      <c r="F41" s="2576"/>
      <c r="G41" s="2576"/>
      <c r="H41" s="2576"/>
      <c r="I41" s="2576"/>
      <c r="J41" s="2576"/>
      <c r="K41" s="2576"/>
      <c r="L41" s="2576"/>
      <c r="M41" s="2576"/>
      <c r="N41" s="2576"/>
      <c r="O41" s="2576"/>
      <c r="P41" s="2576"/>
      <c r="Q41" s="2576"/>
      <c r="R41" s="2576"/>
      <c r="S41" s="2576"/>
      <c r="T41" s="2576"/>
      <c r="U41" s="2576"/>
      <c r="V41" s="2576"/>
      <c r="W41" s="2576"/>
      <c r="X41" s="2576"/>
      <c r="Y41" s="2576"/>
      <c r="Z41" s="2576"/>
      <c r="AA41" s="2576"/>
      <c r="AB41" s="2576"/>
      <c r="AC41" s="2576"/>
      <c r="AD41" s="2576"/>
      <c r="AE41" s="2576"/>
      <c r="AF41" s="2576"/>
      <c r="AG41" s="2576"/>
      <c r="AH41" s="2576"/>
      <c r="AI41" s="2576"/>
      <c r="AJ41" s="2577"/>
      <c r="AK41" s="541"/>
      <c r="AL41" s="541"/>
      <c r="AM41" s="541"/>
      <c r="AN41" s="536"/>
    </row>
    <row r="42" spans="1:41" s="537" customFormat="1" ht="12.75" customHeight="1">
      <c r="A42" s="541"/>
      <c r="B42" s="541"/>
      <c r="C42" s="541"/>
      <c r="E42" s="541"/>
      <c r="F42" s="541"/>
      <c r="G42" s="541"/>
      <c r="H42" s="541"/>
      <c r="I42" s="541"/>
      <c r="J42" s="541"/>
      <c r="K42" s="541"/>
      <c r="L42" s="541"/>
      <c r="M42" s="541"/>
      <c r="N42" s="541"/>
      <c r="O42" s="541"/>
      <c r="P42" s="541"/>
      <c r="Q42" s="541"/>
      <c r="R42" s="541"/>
      <c r="S42" s="541"/>
      <c r="T42" s="541"/>
      <c r="U42" s="541"/>
      <c r="V42" s="541"/>
      <c r="W42" s="541"/>
      <c r="X42" s="541"/>
      <c r="Y42" s="541"/>
      <c r="Z42" s="541"/>
      <c r="AA42" s="541"/>
      <c r="AB42" s="541"/>
      <c r="AC42" s="541"/>
      <c r="AD42" s="541"/>
      <c r="AE42" s="541"/>
      <c r="AF42" s="541"/>
      <c r="AG42" s="541"/>
      <c r="AH42" s="541"/>
      <c r="AI42" s="541"/>
      <c r="AJ42" s="541"/>
      <c r="AK42" s="541"/>
      <c r="AL42" s="541"/>
      <c r="AM42" s="541"/>
      <c r="AN42" s="536"/>
      <c r="AO42" s="537">
        <f>MAX(AO18,AO23,AO26,AO32)</f>
        <v>20</v>
      </c>
    </row>
    <row r="43" spans="1:41" s="537" customFormat="1" ht="12.75" customHeight="1">
      <c r="A43" s="541"/>
      <c r="C43" s="545" t="s">
        <v>2011</v>
      </c>
      <c r="E43" s="541"/>
      <c r="F43" s="541"/>
      <c r="G43" s="541"/>
      <c r="H43" s="541"/>
      <c r="I43" s="541"/>
      <c r="J43" s="541"/>
      <c r="K43" s="541"/>
      <c r="L43" s="541"/>
      <c r="M43" s="541"/>
      <c r="N43" s="541"/>
      <c r="O43" s="541"/>
      <c r="P43" s="541"/>
      <c r="Q43" s="541"/>
      <c r="R43" s="541"/>
      <c r="S43" s="541"/>
      <c r="T43" s="541"/>
      <c r="U43" s="541"/>
      <c r="V43" s="541"/>
      <c r="W43" s="541"/>
      <c r="X43" s="541"/>
      <c r="Y43" s="541"/>
      <c r="Z43" s="541"/>
      <c r="AA43" s="541"/>
      <c r="AB43" s="541"/>
      <c r="AC43" s="541"/>
      <c r="AD43" s="541"/>
      <c r="AE43" s="541"/>
      <c r="AF43" s="541"/>
      <c r="AG43" s="541"/>
      <c r="AH43" s="541"/>
      <c r="AI43" s="541"/>
      <c r="AJ43" s="541"/>
      <c r="AK43" s="541"/>
      <c r="AL43" s="541"/>
      <c r="AM43" s="541"/>
      <c r="AN43" s="536"/>
    </row>
    <row r="44" spans="1:41" s="537" customFormat="1" ht="12.75" customHeight="1">
      <c r="A44" s="541"/>
      <c r="C44" s="1144"/>
      <c r="D44" s="1144"/>
      <c r="E44" s="1144"/>
      <c r="F44" s="1144"/>
      <c r="G44" s="1144"/>
      <c r="H44" s="1144"/>
      <c r="I44" s="1144"/>
      <c r="J44" s="1144"/>
      <c r="K44" s="1144"/>
      <c r="L44" s="1144"/>
      <c r="M44" s="1144"/>
      <c r="N44" s="1144"/>
      <c r="O44" s="1144"/>
      <c r="P44" s="1144"/>
      <c r="Q44" s="1144"/>
      <c r="R44" s="1144"/>
      <c r="S44" s="1144"/>
      <c r="T44" s="1144"/>
      <c r="U44" s="1144"/>
      <c r="V44" s="1144"/>
      <c r="W44" s="1144"/>
      <c r="X44" s="1144"/>
      <c r="Y44" s="1144"/>
      <c r="Z44" s="1144"/>
      <c r="AA44" s="1144"/>
      <c r="AB44" s="1144"/>
      <c r="AC44" s="1144"/>
      <c r="AD44" s="1144"/>
      <c r="AE44" s="1144"/>
      <c r="AF44" s="1144"/>
      <c r="AG44" s="1144"/>
      <c r="AH44" s="1144"/>
      <c r="AI44" s="1144"/>
      <c r="AJ44" s="1144"/>
      <c r="AK44" s="1144"/>
      <c r="AL44" s="541"/>
      <c r="AM44" s="541"/>
      <c r="AN44" s="536"/>
    </row>
    <row r="45" spans="1:41" s="537" customFormat="1" ht="12.75" customHeight="1">
      <c r="A45" s="541"/>
      <c r="B45" s="2623" t="s">
        <v>591</v>
      </c>
      <c r="C45" s="2623"/>
      <c r="D45" s="1144"/>
      <c r="E45" s="2550" t="s">
        <v>2010</v>
      </c>
      <c r="F45" s="2551"/>
      <c r="G45" s="2551"/>
      <c r="H45" s="2551"/>
      <c r="I45" s="2551"/>
      <c r="J45" s="2551"/>
      <c r="K45" s="2551"/>
      <c r="L45" s="2551"/>
      <c r="M45" s="2551"/>
      <c r="N45" s="2551"/>
      <c r="O45" s="2551"/>
      <c r="P45" s="2551"/>
      <c r="Q45" s="2551"/>
      <c r="R45" s="2551"/>
      <c r="S45" s="2551"/>
      <c r="T45" s="2551"/>
      <c r="U45" s="2551"/>
      <c r="V45" s="2551"/>
      <c r="W45" s="2551"/>
      <c r="X45" s="2551"/>
      <c r="Y45" s="2551"/>
      <c r="Z45" s="2551"/>
      <c r="AA45" s="2551"/>
      <c r="AB45" s="2551"/>
      <c r="AC45" s="2551"/>
      <c r="AD45" s="2551"/>
      <c r="AE45" s="2551"/>
      <c r="AF45" s="2551"/>
      <c r="AG45" s="2551"/>
      <c r="AH45" s="2551"/>
      <c r="AI45" s="2551"/>
      <c r="AJ45" s="2552"/>
      <c r="AK45" s="1144"/>
      <c r="AL45" s="541"/>
      <c r="AM45" s="541"/>
      <c r="AN45" s="536"/>
    </row>
    <row r="46" spans="1:41" s="537" customFormat="1" ht="12.75" customHeight="1">
      <c r="A46" s="541"/>
      <c r="B46" s="541"/>
      <c r="C46" s="541"/>
      <c r="E46" s="2553"/>
      <c r="F46" s="2554"/>
      <c r="G46" s="2554"/>
      <c r="H46" s="2554"/>
      <c r="I46" s="2554"/>
      <c r="J46" s="2554"/>
      <c r="K46" s="2554"/>
      <c r="L46" s="2554"/>
      <c r="M46" s="2554"/>
      <c r="N46" s="2554"/>
      <c r="O46" s="2554"/>
      <c r="P46" s="2554"/>
      <c r="Q46" s="2554"/>
      <c r="R46" s="2554"/>
      <c r="S46" s="2554"/>
      <c r="T46" s="2554"/>
      <c r="U46" s="2554"/>
      <c r="V46" s="2554"/>
      <c r="W46" s="2554"/>
      <c r="X46" s="2554"/>
      <c r="Y46" s="2554"/>
      <c r="Z46" s="2554"/>
      <c r="AA46" s="2554"/>
      <c r="AB46" s="2554"/>
      <c r="AC46" s="2554"/>
      <c r="AD46" s="2554"/>
      <c r="AE46" s="2554"/>
      <c r="AF46" s="2554"/>
      <c r="AG46" s="2554"/>
      <c r="AH46" s="2554"/>
      <c r="AI46" s="2554"/>
      <c r="AJ46" s="2555"/>
      <c r="AK46" s="541"/>
      <c r="AL46" s="541"/>
      <c r="AM46" s="541"/>
      <c r="AN46" s="536"/>
    </row>
    <row r="47" spans="1:41" s="537" customFormat="1" ht="12.75" customHeight="1">
      <c r="A47" s="541"/>
      <c r="D47" s="548"/>
      <c r="E47" s="2575"/>
      <c r="F47" s="2576"/>
      <c r="G47" s="2576"/>
      <c r="H47" s="2576"/>
      <c r="I47" s="2576"/>
      <c r="J47" s="2576"/>
      <c r="K47" s="2576"/>
      <c r="L47" s="2576"/>
      <c r="M47" s="2576"/>
      <c r="N47" s="2576"/>
      <c r="O47" s="2576"/>
      <c r="P47" s="2576"/>
      <c r="Q47" s="2576"/>
      <c r="R47" s="2576"/>
      <c r="S47" s="2576"/>
      <c r="T47" s="2576"/>
      <c r="U47" s="2576"/>
      <c r="V47" s="2576"/>
      <c r="W47" s="2576"/>
      <c r="X47" s="2576"/>
      <c r="Y47" s="2576"/>
      <c r="Z47" s="2576"/>
      <c r="AA47" s="2576"/>
      <c r="AB47" s="2576"/>
      <c r="AC47" s="2576"/>
      <c r="AD47" s="2576"/>
      <c r="AE47" s="2576"/>
      <c r="AF47" s="2576"/>
      <c r="AG47" s="2576"/>
      <c r="AH47" s="2576"/>
      <c r="AI47" s="2576"/>
      <c r="AJ47" s="2577"/>
      <c r="AK47" s="541"/>
      <c r="AL47" s="541"/>
      <c r="AM47" s="541"/>
      <c r="AN47" s="536"/>
      <c r="AO47" s="557"/>
    </row>
    <row r="48" spans="1:41" s="537" customFormat="1" ht="12.75" customHeight="1">
      <c r="A48" s="541"/>
      <c r="B48" s="541"/>
      <c r="C48" s="541"/>
      <c r="E48" s="541"/>
      <c r="F48" s="541"/>
      <c r="G48" s="541"/>
      <c r="H48" s="541"/>
      <c r="I48" s="541"/>
      <c r="J48" s="541"/>
      <c r="K48" s="541"/>
      <c r="L48" s="541"/>
      <c r="M48" s="541"/>
      <c r="N48" s="541"/>
      <c r="O48" s="541"/>
      <c r="P48" s="541"/>
      <c r="Q48" s="541"/>
      <c r="R48" s="541"/>
      <c r="S48" s="541"/>
      <c r="T48" s="541"/>
      <c r="U48" s="541"/>
      <c r="V48" s="541"/>
      <c r="W48" s="541"/>
      <c r="X48" s="541"/>
      <c r="Y48" s="541"/>
      <c r="Z48" s="541"/>
      <c r="AA48" s="541"/>
      <c r="AB48" s="541"/>
      <c r="AC48" s="541"/>
      <c r="AD48" s="541"/>
      <c r="AE48" s="541"/>
      <c r="AF48" s="541"/>
      <c r="AG48" s="541"/>
      <c r="AH48" s="541"/>
      <c r="AI48" s="541"/>
      <c r="AJ48" s="541"/>
      <c r="AK48" s="541"/>
      <c r="AL48" s="541"/>
      <c r="AM48" s="541"/>
      <c r="AN48" s="536"/>
      <c r="AO48" s="557"/>
    </row>
    <row r="49" spans="1:50" s="537" customFormat="1" ht="12.75" customHeight="1">
      <c r="A49" s="540"/>
      <c r="B49" s="540" t="s">
        <v>2013</v>
      </c>
      <c r="C49" s="548"/>
      <c r="D49" s="548"/>
      <c r="E49" s="558"/>
      <c r="F49" s="541"/>
      <c r="G49" s="541"/>
      <c r="H49" s="541"/>
      <c r="I49" s="541"/>
      <c r="J49" s="541"/>
      <c r="K49" s="541"/>
      <c r="L49" s="541"/>
      <c r="M49" s="541"/>
      <c r="N49" s="541"/>
      <c r="O49" s="541"/>
      <c r="P49" s="541"/>
      <c r="Q49" s="541"/>
      <c r="R49" s="541"/>
      <c r="S49" s="541"/>
      <c r="T49" s="541"/>
      <c r="U49" s="541"/>
      <c r="V49" s="541"/>
      <c r="W49" s="541"/>
      <c r="X49" s="541"/>
      <c r="Y49" s="541"/>
      <c r="Z49" s="541"/>
      <c r="AA49" s="541"/>
      <c r="AB49" s="541"/>
      <c r="AC49" s="541"/>
      <c r="AD49" s="541"/>
      <c r="AE49" s="541"/>
      <c r="AF49" s="541"/>
      <c r="AG49" s="541"/>
      <c r="AH49" s="541"/>
      <c r="AI49" s="541"/>
      <c r="AJ49" s="541"/>
      <c r="AK49" s="541"/>
      <c r="AL49" s="541"/>
      <c r="AM49" s="541"/>
      <c r="AN49" s="536"/>
      <c r="AO49" s="557"/>
    </row>
    <row r="50" spans="1:50" s="537" customFormat="1" ht="12.75" customHeight="1">
      <c r="A50" s="541"/>
      <c r="B50" s="541"/>
      <c r="C50" s="1143" t="s">
        <v>2014</v>
      </c>
      <c r="D50" s="541"/>
      <c r="E50" s="541"/>
      <c r="F50" s="541"/>
      <c r="G50" s="541"/>
      <c r="H50" s="541"/>
      <c r="I50" s="541"/>
      <c r="J50" s="541"/>
      <c r="K50" s="541"/>
      <c r="L50" s="541"/>
      <c r="M50" s="541"/>
      <c r="N50" s="541"/>
      <c r="O50" s="541"/>
      <c r="P50" s="541"/>
      <c r="Q50" s="541"/>
      <c r="R50" s="541"/>
      <c r="S50" s="541"/>
      <c r="T50" s="541"/>
      <c r="U50" s="541"/>
      <c r="V50" s="541"/>
      <c r="W50" s="541"/>
      <c r="X50" s="541"/>
      <c r="Y50" s="541"/>
      <c r="Z50" s="541"/>
      <c r="AA50" s="541"/>
      <c r="AB50" s="541"/>
      <c r="AC50" s="541"/>
      <c r="AD50" s="541"/>
      <c r="AE50" s="541"/>
      <c r="AF50" s="541"/>
      <c r="AG50" s="541"/>
      <c r="AH50" s="541"/>
      <c r="AI50" s="541"/>
      <c r="AJ50" s="541"/>
      <c r="AK50" s="541"/>
      <c r="AL50" s="541"/>
      <c r="AM50" s="541"/>
      <c r="AN50" s="536"/>
      <c r="AO50" s="557"/>
    </row>
    <row r="51" spans="1:50" s="537" customFormat="1" ht="12.75" customHeight="1">
      <c r="A51" s="548"/>
      <c r="B51" s="548"/>
      <c r="C51" s="548"/>
      <c r="D51" s="548"/>
      <c r="E51" s="559"/>
      <c r="F51" s="541"/>
      <c r="G51" s="541"/>
      <c r="H51" s="541"/>
      <c r="I51" s="541"/>
      <c r="J51" s="541"/>
      <c r="K51" s="541"/>
      <c r="L51" s="541"/>
      <c r="M51" s="541"/>
      <c r="N51" s="541"/>
      <c r="O51" s="541"/>
      <c r="P51" s="541"/>
      <c r="Q51" s="541"/>
      <c r="R51" s="541"/>
      <c r="S51" s="541"/>
      <c r="T51" s="541"/>
      <c r="U51" s="541"/>
      <c r="V51" s="541"/>
      <c r="W51" s="541"/>
      <c r="X51" s="541"/>
      <c r="Y51" s="541"/>
      <c r="Z51" s="541"/>
      <c r="AA51" s="541"/>
      <c r="AB51" s="541"/>
      <c r="AC51" s="541"/>
      <c r="AD51" s="541"/>
      <c r="AE51" s="541"/>
      <c r="AF51" s="541"/>
      <c r="AG51" s="541"/>
      <c r="AH51" s="541"/>
      <c r="AI51" s="541"/>
      <c r="AJ51" s="541"/>
      <c r="AK51" s="541"/>
      <c r="AL51" s="541"/>
      <c r="AM51" s="541"/>
      <c r="AN51" s="536"/>
      <c r="AO51" s="557"/>
    </row>
    <row r="52" spans="1:50" s="537" customFormat="1" ht="12.75" customHeight="1">
      <c r="A52" s="541"/>
      <c r="B52" s="2623" t="s">
        <v>545</v>
      </c>
      <c r="C52" s="2623"/>
      <c r="D52" s="541"/>
      <c r="E52" s="2550" t="s">
        <v>2015</v>
      </c>
      <c r="F52" s="2551"/>
      <c r="G52" s="2551"/>
      <c r="H52" s="2551"/>
      <c r="I52" s="2551"/>
      <c r="J52" s="2551"/>
      <c r="K52" s="2551"/>
      <c r="L52" s="2551"/>
      <c r="M52" s="2551"/>
      <c r="N52" s="2551"/>
      <c r="O52" s="2551"/>
      <c r="P52" s="2551"/>
      <c r="Q52" s="2551"/>
      <c r="R52" s="2551"/>
      <c r="S52" s="2551"/>
      <c r="T52" s="2551"/>
      <c r="U52" s="2551"/>
      <c r="V52" s="2551"/>
      <c r="W52" s="2551"/>
      <c r="X52" s="2551"/>
      <c r="Y52" s="2551"/>
      <c r="Z52" s="2551"/>
      <c r="AA52" s="2551"/>
      <c r="AB52" s="2551"/>
      <c r="AC52" s="2551"/>
      <c r="AD52" s="2551"/>
      <c r="AE52" s="2551"/>
      <c r="AF52" s="2551"/>
      <c r="AG52" s="2551"/>
      <c r="AH52" s="2551"/>
      <c r="AI52" s="2551"/>
      <c r="AJ52" s="2552"/>
      <c r="AK52" s="541"/>
      <c r="AL52" s="541"/>
      <c r="AM52" s="541"/>
      <c r="AN52" s="536"/>
      <c r="AO52" s="560"/>
    </row>
    <row r="53" spans="1:50" s="537" customFormat="1" ht="12.75" customHeight="1">
      <c r="A53" s="541"/>
      <c r="D53" s="548"/>
      <c r="E53" s="2553"/>
      <c r="F53" s="2554"/>
      <c r="G53" s="2554"/>
      <c r="H53" s="2554"/>
      <c r="I53" s="2554"/>
      <c r="J53" s="2554"/>
      <c r="K53" s="2554"/>
      <c r="L53" s="2554"/>
      <c r="M53" s="2554"/>
      <c r="N53" s="2554"/>
      <c r="O53" s="2554"/>
      <c r="P53" s="2554"/>
      <c r="Q53" s="2554"/>
      <c r="R53" s="2554"/>
      <c r="S53" s="2554"/>
      <c r="T53" s="2554"/>
      <c r="U53" s="2554"/>
      <c r="V53" s="2554"/>
      <c r="W53" s="2554"/>
      <c r="X53" s="2554"/>
      <c r="Y53" s="2554"/>
      <c r="Z53" s="2554"/>
      <c r="AA53" s="2554"/>
      <c r="AB53" s="2554"/>
      <c r="AC53" s="2554"/>
      <c r="AD53" s="2554"/>
      <c r="AE53" s="2554"/>
      <c r="AF53" s="2554"/>
      <c r="AG53" s="2554"/>
      <c r="AH53" s="2554"/>
      <c r="AI53" s="2554"/>
      <c r="AJ53" s="2555"/>
      <c r="AK53" s="541"/>
      <c r="AL53" s="541"/>
      <c r="AM53" s="541"/>
      <c r="AN53" s="536"/>
      <c r="AO53" s="560"/>
    </row>
    <row r="54" spans="1:50" s="537" customFormat="1" ht="12.75" customHeight="1">
      <c r="A54" s="541"/>
      <c r="D54" s="541"/>
      <c r="E54" s="2575"/>
      <c r="F54" s="2576"/>
      <c r="G54" s="2576"/>
      <c r="H54" s="2576"/>
      <c r="I54" s="2576"/>
      <c r="J54" s="2576"/>
      <c r="K54" s="2576"/>
      <c r="L54" s="2576"/>
      <c r="M54" s="2576"/>
      <c r="N54" s="2576"/>
      <c r="O54" s="2576"/>
      <c r="P54" s="2576"/>
      <c r="Q54" s="2576"/>
      <c r="R54" s="2576"/>
      <c r="S54" s="2576"/>
      <c r="T54" s="2576"/>
      <c r="U54" s="2576"/>
      <c r="V54" s="2576"/>
      <c r="W54" s="2576"/>
      <c r="X54" s="2576"/>
      <c r="Y54" s="2576"/>
      <c r="Z54" s="2576"/>
      <c r="AA54" s="2576"/>
      <c r="AB54" s="2576"/>
      <c r="AC54" s="2576"/>
      <c r="AD54" s="2576"/>
      <c r="AE54" s="2576"/>
      <c r="AF54" s="2576"/>
      <c r="AG54" s="2576"/>
      <c r="AH54" s="2576"/>
      <c r="AI54" s="2576"/>
      <c r="AJ54" s="2577"/>
      <c r="AK54" s="541"/>
      <c r="AL54" s="541"/>
      <c r="AM54" s="541"/>
      <c r="AN54" s="536"/>
    </row>
    <row r="55" spans="1:50" s="537" customFormat="1" ht="12.75" customHeight="1">
      <c r="A55" s="541"/>
      <c r="B55" s="541"/>
      <c r="C55" s="541"/>
      <c r="D55" s="548"/>
      <c r="E55" s="559"/>
      <c r="F55" s="557"/>
      <c r="G55" s="557"/>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36"/>
    </row>
    <row r="56" spans="1:50" s="537" customFormat="1" ht="12.75" customHeight="1">
      <c r="A56" s="541"/>
      <c r="B56" s="2623" t="s">
        <v>545</v>
      </c>
      <c r="C56" s="2623"/>
      <c r="D56" s="541"/>
      <c r="E56" s="2649" t="s">
        <v>2016</v>
      </c>
      <c r="F56" s="2650"/>
      <c r="G56" s="2650"/>
      <c r="H56" s="2650"/>
      <c r="I56" s="2650"/>
      <c r="J56" s="2650"/>
      <c r="K56" s="2650"/>
      <c r="L56" s="2650"/>
      <c r="M56" s="2650"/>
      <c r="N56" s="2650"/>
      <c r="O56" s="2650"/>
      <c r="P56" s="2650"/>
      <c r="Q56" s="2650"/>
      <c r="R56" s="2650"/>
      <c r="S56" s="2650"/>
      <c r="T56" s="2650"/>
      <c r="U56" s="2650"/>
      <c r="V56" s="2650"/>
      <c r="W56" s="2650"/>
      <c r="X56" s="2650"/>
      <c r="Y56" s="2650"/>
      <c r="Z56" s="2650"/>
      <c r="AA56" s="2650"/>
      <c r="AB56" s="2650"/>
      <c r="AC56" s="2650"/>
      <c r="AD56" s="2650"/>
      <c r="AE56" s="2650"/>
      <c r="AF56" s="2650"/>
      <c r="AG56" s="2650"/>
      <c r="AH56" s="2650"/>
      <c r="AI56" s="2650"/>
      <c r="AJ56" s="2651"/>
      <c r="AK56" s="541"/>
      <c r="AL56" s="541"/>
      <c r="AM56" s="541"/>
      <c r="AN56" s="536"/>
    </row>
    <row r="57" spans="1:50" s="537" customFormat="1" ht="12.75" customHeight="1">
      <c r="A57" s="541"/>
      <c r="B57" s="541"/>
      <c r="C57" s="541"/>
      <c r="D57" s="548"/>
      <c r="E57" s="561"/>
      <c r="F57" s="557"/>
      <c r="G57" s="557"/>
      <c r="H57" s="541"/>
      <c r="I57" s="541"/>
      <c r="J57" s="541"/>
      <c r="K57" s="541"/>
      <c r="L57" s="541"/>
      <c r="M57" s="541"/>
      <c r="N57" s="541"/>
      <c r="O57" s="541"/>
      <c r="P57" s="541"/>
      <c r="Q57" s="541"/>
      <c r="R57" s="541"/>
      <c r="S57" s="541"/>
      <c r="T57" s="541"/>
      <c r="U57" s="541"/>
      <c r="V57" s="541"/>
      <c r="W57" s="541"/>
      <c r="X57" s="541"/>
      <c r="Y57" s="541"/>
      <c r="Z57" s="541"/>
      <c r="AA57" s="541"/>
      <c r="AB57" s="541"/>
      <c r="AC57" s="541"/>
      <c r="AD57" s="541"/>
      <c r="AE57" s="541"/>
      <c r="AF57" s="541"/>
      <c r="AG57" s="541"/>
      <c r="AH57" s="541"/>
      <c r="AI57" s="541"/>
      <c r="AJ57" s="541"/>
      <c r="AK57" s="541"/>
      <c r="AL57" s="541"/>
      <c r="AM57" s="541"/>
      <c r="AN57" s="536"/>
    </row>
    <row r="58" spans="1:50" s="537" customFormat="1" ht="12.75" customHeight="1">
      <c r="A58" s="541"/>
      <c r="B58" s="2623" t="s">
        <v>545</v>
      </c>
      <c r="C58" s="2623"/>
      <c r="D58" s="541"/>
      <c r="E58" s="2550" t="s">
        <v>2017</v>
      </c>
      <c r="F58" s="2551"/>
      <c r="G58" s="2551"/>
      <c r="H58" s="2551"/>
      <c r="I58" s="2551"/>
      <c r="J58" s="2551"/>
      <c r="K58" s="2551"/>
      <c r="L58" s="2551"/>
      <c r="M58" s="2551"/>
      <c r="N58" s="2551"/>
      <c r="O58" s="2551"/>
      <c r="P58" s="2551"/>
      <c r="Q58" s="2551"/>
      <c r="R58" s="2551"/>
      <c r="S58" s="2551"/>
      <c r="T58" s="2551"/>
      <c r="U58" s="2551"/>
      <c r="V58" s="2551"/>
      <c r="W58" s="2551"/>
      <c r="X58" s="2551"/>
      <c r="Y58" s="2551"/>
      <c r="Z58" s="2551"/>
      <c r="AA58" s="2551"/>
      <c r="AB58" s="2551"/>
      <c r="AC58" s="2551"/>
      <c r="AD58" s="2551"/>
      <c r="AE58" s="2551"/>
      <c r="AF58" s="2551"/>
      <c r="AG58" s="2551"/>
      <c r="AH58" s="2551"/>
      <c r="AI58" s="2551"/>
      <c r="AJ58" s="2552"/>
      <c r="AK58" s="541"/>
      <c r="AL58" s="541"/>
      <c r="AM58" s="541"/>
      <c r="AN58" s="536"/>
    </row>
    <row r="59" spans="1:50" s="537" customFormat="1" ht="12.75" customHeight="1">
      <c r="A59" s="541"/>
      <c r="B59" s="548"/>
      <c r="C59" s="548"/>
      <c r="D59" s="548"/>
      <c r="E59" s="2575"/>
      <c r="F59" s="2576"/>
      <c r="G59" s="2576"/>
      <c r="H59" s="2576"/>
      <c r="I59" s="2576"/>
      <c r="J59" s="2576"/>
      <c r="K59" s="2576"/>
      <c r="L59" s="2576"/>
      <c r="M59" s="2576"/>
      <c r="N59" s="2576"/>
      <c r="O59" s="2576"/>
      <c r="P59" s="2576"/>
      <c r="Q59" s="2576"/>
      <c r="R59" s="2576"/>
      <c r="S59" s="2576"/>
      <c r="T59" s="2576"/>
      <c r="U59" s="2576"/>
      <c r="V59" s="2576"/>
      <c r="W59" s="2576"/>
      <c r="X59" s="2576"/>
      <c r="Y59" s="2576"/>
      <c r="Z59" s="2576"/>
      <c r="AA59" s="2576"/>
      <c r="AB59" s="2576"/>
      <c r="AC59" s="2576"/>
      <c r="AD59" s="2576"/>
      <c r="AE59" s="2576"/>
      <c r="AF59" s="2576"/>
      <c r="AG59" s="2576"/>
      <c r="AH59" s="2576"/>
      <c r="AI59" s="2576"/>
      <c r="AJ59" s="2577"/>
      <c r="AK59" s="541"/>
      <c r="AL59" s="541"/>
      <c r="AM59" s="541"/>
      <c r="AN59" s="536"/>
      <c r="AX59" s="540"/>
    </row>
    <row r="60" spans="1:50" s="537" customFormat="1" ht="12.75" customHeight="1">
      <c r="A60" s="541"/>
      <c r="B60" s="548"/>
      <c r="C60" s="548"/>
      <c r="D60" s="548"/>
      <c r="E60" s="561"/>
      <c r="F60" s="541"/>
      <c r="G60" s="541"/>
      <c r="H60" s="541"/>
      <c r="I60" s="541"/>
      <c r="J60" s="541"/>
      <c r="K60" s="541"/>
      <c r="L60" s="541"/>
      <c r="M60" s="541"/>
      <c r="N60" s="541"/>
      <c r="O60" s="541"/>
      <c r="P60" s="541"/>
      <c r="Q60" s="541"/>
      <c r="R60" s="541"/>
      <c r="S60" s="541"/>
      <c r="T60" s="541"/>
      <c r="U60" s="541"/>
      <c r="V60" s="541"/>
      <c r="W60" s="541"/>
      <c r="X60" s="541"/>
      <c r="Y60" s="541"/>
      <c r="Z60" s="541"/>
      <c r="AA60" s="541"/>
      <c r="AB60" s="541"/>
      <c r="AC60" s="541"/>
      <c r="AD60" s="541"/>
      <c r="AE60" s="541"/>
      <c r="AF60" s="541"/>
      <c r="AG60" s="541"/>
      <c r="AH60" s="541"/>
      <c r="AI60" s="541"/>
      <c r="AJ60" s="541"/>
      <c r="AK60" s="541"/>
      <c r="AL60" s="541"/>
      <c r="AM60" s="541"/>
      <c r="AN60" s="536"/>
      <c r="AX60" s="540"/>
    </row>
    <row r="61" spans="1:50" s="537" customFormat="1" ht="12.75" customHeight="1">
      <c r="A61" s="541"/>
      <c r="B61" s="541"/>
      <c r="C61" s="541"/>
      <c r="D61" s="541"/>
      <c r="E61" s="541"/>
      <c r="F61" s="541"/>
      <c r="G61" s="541"/>
      <c r="H61" s="541"/>
      <c r="I61" s="541"/>
      <c r="J61" s="541"/>
      <c r="K61" s="541"/>
      <c r="L61" s="541"/>
      <c r="M61" s="541"/>
      <c r="N61" s="541"/>
      <c r="O61" s="541"/>
      <c r="P61" s="541"/>
      <c r="Q61" s="541"/>
      <c r="R61" s="541"/>
      <c r="S61" s="541"/>
      <c r="T61" s="541"/>
      <c r="U61" s="541"/>
      <c r="V61" s="541"/>
      <c r="W61" s="541"/>
      <c r="X61" s="541"/>
      <c r="Y61" s="541"/>
      <c r="Z61" s="541"/>
      <c r="AA61" s="541"/>
      <c r="AB61" s="541"/>
      <c r="AC61" s="541"/>
      <c r="AD61" s="541"/>
      <c r="AE61" s="541"/>
      <c r="AF61" s="541"/>
      <c r="AG61" s="541"/>
      <c r="AH61" s="541"/>
      <c r="AI61" s="541"/>
      <c r="AJ61" s="541"/>
      <c r="AK61" s="541"/>
      <c r="AL61" s="541"/>
      <c r="AM61" s="541"/>
      <c r="AN61" s="536"/>
    </row>
    <row r="62" spans="1:50" s="537" customFormat="1" ht="12.75" customHeight="1">
      <c r="A62" s="562"/>
      <c r="B62" s="563"/>
      <c r="C62" s="563"/>
      <c r="D62" s="563"/>
      <c r="E62" s="563"/>
      <c r="F62" s="563"/>
      <c r="G62" s="564"/>
      <c r="H62" s="565"/>
      <c r="I62" s="565"/>
      <c r="J62" s="565"/>
      <c r="K62" s="565"/>
      <c r="L62" s="565"/>
      <c r="M62" s="565"/>
      <c r="N62" s="565"/>
      <c r="O62" s="565"/>
      <c r="P62" s="565"/>
      <c r="Q62" s="565"/>
      <c r="R62" s="565"/>
      <c r="S62" s="565"/>
      <c r="T62" s="565"/>
      <c r="U62" s="565"/>
      <c r="V62" s="565"/>
      <c r="W62" s="565"/>
      <c r="X62" s="565"/>
      <c r="Y62" s="565"/>
      <c r="Z62" s="565"/>
      <c r="AA62" s="565"/>
      <c r="AB62" s="565"/>
      <c r="AC62" s="565"/>
      <c r="AD62" s="565"/>
      <c r="AE62" s="565"/>
      <c r="AF62" s="565"/>
      <c r="AG62" s="565"/>
      <c r="AH62" s="565"/>
      <c r="AI62" s="566"/>
      <c r="AJ62" s="566" t="s">
        <v>1311</v>
      </c>
      <c r="AK62" s="2596">
        <f>AO39</f>
        <v>20</v>
      </c>
      <c r="AL62" s="2597"/>
      <c r="AM62" s="2598"/>
      <c r="AN62" s="536"/>
    </row>
    <row r="63" spans="1:50" s="537" customFormat="1" ht="12.75" customHeight="1" thickBot="1">
      <c r="A63" s="567"/>
      <c r="B63" s="568"/>
      <c r="C63" s="569"/>
      <c r="D63" s="569"/>
      <c r="E63" s="569"/>
      <c r="F63" s="569"/>
      <c r="G63" s="569"/>
      <c r="H63" s="569"/>
      <c r="I63" s="569"/>
      <c r="J63" s="569"/>
      <c r="K63" s="569"/>
      <c r="L63" s="569"/>
      <c r="M63" s="569"/>
      <c r="N63" s="569"/>
      <c r="O63" s="569"/>
      <c r="P63" s="569"/>
      <c r="Q63" s="569"/>
      <c r="R63" s="569"/>
      <c r="S63" s="569"/>
      <c r="T63" s="569"/>
      <c r="U63" s="569"/>
      <c r="V63" s="569"/>
      <c r="W63" s="569"/>
      <c r="X63" s="569"/>
      <c r="Y63" s="569"/>
      <c r="Z63" s="569"/>
      <c r="AA63" s="569"/>
      <c r="AB63" s="569"/>
      <c r="AC63" s="569"/>
      <c r="AD63" s="569"/>
      <c r="AE63" s="569"/>
      <c r="AF63" s="569"/>
      <c r="AG63" s="569"/>
      <c r="AH63" s="569"/>
      <c r="AI63" s="569"/>
      <c r="AJ63" s="569"/>
      <c r="AK63" s="569"/>
      <c r="AL63" s="569"/>
      <c r="AM63" s="570"/>
      <c r="AN63" s="536"/>
    </row>
    <row r="64" spans="1:50" s="537" customFormat="1" ht="12.75" customHeight="1" thickTop="1">
      <c r="A64" s="571"/>
      <c r="B64" s="572"/>
      <c r="C64" s="573"/>
      <c r="D64" s="573"/>
      <c r="E64" s="573"/>
      <c r="F64" s="573"/>
      <c r="G64" s="573"/>
      <c r="H64" s="573"/>
      <c r="I64" s="574"/>
      <c r="J64" s="574"/>
      <c r="K64" s="574"/>
      <c r="L64" s="574"/>
      <c r="M64" s="574"/>
      <c r="N64" s="574"/>
      <c r="O64" s="574"/>
      <c r="P64" s="574"/>
      <c r="Q64" s="574"/>
      <c r="R64" s="571"/>
      <c r="S64" s="540"/>
      <c r="T64" s="540"/>
      <c r="U64" s="540"/>
      <c r="V64" s="540"/>
      <c r="W64" s="540"/>
      <c r="X64" s="540"/>
      <c r="Y64" s="540"/>
      <c r="Z64" s="540"/>
      <c r="AA64" s="540"/>
      <c r="AB64" s="540"/>
      <c r="AC64" s="540"/>
      <c r="AD64" s="540"/>
      <c r="AE64" s="540"/>
      <c r="AF64" s="571"/>
      <c r="AG64" s="540"/>
      <c r="AH64" s="540"/>
      <c r="AI64" s="540"/>
      <c r="AJ64" s="540"/>
      <c r="AK64" s="551"/>
      <c r="AL64" s="551"/>
      <c r="AM64" s="551"/>
      <c r="AN64" s="536"/>
    </row>
    <row r="65" spans="1:42" s="537" customFormat="1" ht="12.75" customHeight="1">
      <c r="A65" s="539" t="s">
        <v>1312</v>
      </c>
      <c r="B65" s="540" t="s">
        <v>1313</v>
      </c>
      <c r="C65" s="540"/>
      <c r="D65" s="540"/>
      <c r="E65" s="540"/>
      <c r="F65" s="540"/>
      <c r="G65" s="540"/>
      <c r="H65" s="540"/>
      <c r="I65" s="540"/>
      <c r="J65" s="540"/>
      <c r="K65" s="540"/>
      <c r="L65" s="540"/>
      <c r="M65" s="540"/>
      <c r="N65" s="540"/>
      <c r="O65" s="540"/>
      <c r="P65" s="540"/>
      <c r="Q65" s="540"/>
      <c r="R65" s="540"/>
      <c r="S65" s="540"/>
      <c r="T65" s="540"/>
      <c r="U65" s="540"/>
      <c r="V65" s="540"/>
      <c r="W65" s="540"/>
      <c r="X65" s="540"/>
      <c r="Y65" s="540"/>
      <c r="Z65" s="540"/>
      <c r="AA65" s="540"/>
      <c r="AB65" s="540"/>
      <c r="AC65" s="540"/>
      <c r="AD65" s="540"/>
      <c r="AE65" s="2470" t="s">
        <v>1314</v>
      </c>
      <c r="AF65" s="2470"/>
      <c r="AG65" s="2470"/>
      <c r="AH65" s="2470"/>
      <c r="AI65" s="2470"/>
      <c r="AJ65" s="2470"/>
      <c r="AK65" s="2470"/>
      <c r="AL65" s="541"/>
      <c r="AM65" s="541"/>
      <c r="AN65" s="536"/>
    </row>
    <row r="66" spans="1:42" s="537" customFormat="1" ht="12.75" customHeight="1">
      <c r="A66" s="539"/>
      <c r="B66" s="540" t="s">
        <v>1728</v>
      </c>
      <c r="C66" s="540"/>
      <c r="D66" s="540"/>
      <c r="E66" s="540"/>
      <c r="F66" s="540"/>
      <c r="G66" s="540"/>
      <c r="H66" s="540"/>
      <c r="I66" s="540"/>
      <c r="J66" s="540"/>
      <c r="K66" s="540"/>
      <c r="L66" s="540"/>
      <c r="M66" s="540"/>
      <c r="N66" s="540"/>
      <c r="O66" s="540"/>
      <c r="P66" s="540"/>
      <c r="Q66" s="540"/>
      <c r="R66" s="540"/>
      <c r="S66" s="540"/>
      <c r="T66" s="540"/>
      <c r="U66" s="540"/>
      <c r="V66" s="540"/>
      <c r="W66" s="540"/>
      <c r="X66" s="540"/>
      <c r="Y66" s="540"/>
      <c r="Z66" s="540"/>
      <c r="AA66" s="540"/>
      <c r="AB66" s="540"/>
      <c r="AC66" s="540"/>
      <c r="AD66" s="540"/>
      <c r="AE66" s="544"/>
      <c r="AF66" s="544"/>
      <c r="AG66" s="544"/>
      <c r="AH66" s="544"/>
      <c r="AI66" s="544"/>
      <c r="AJ66" s="544"/>
      <c r="AK66" s="544"/>
      <c r="AL66" s="541"/>
      <c r="AM66" s="541"/>
      <c r="AN66" s="536"/>
    </row>
    <row r="67" spans="1:42" s="537" customFormat="1" ht="12.75" customHeight="1">
      <c r="A67" s="539"/>
      <c r="B67" s="540"/>
      <c r="C67" s="540"/>
      <c r="D67" s="540"/>
      <c r="E67" s="540"/>
      <c r="F67" s="540"/>
      <c r="G67" s="540"/>
      <c r="H67" s="540"/>
      <c r="I67" s="540"/>
      <c r="J67" s="540"/>
      <c r="K67" s="540"/>
      <c r="L67" s="540"/>
      <c r="M67" s="540"/>
      <c r="N67" s="540"/>
      <c r="O67" s="540"/>
      <c r="P67" s="540"/>
      <c r="Q67" s="540"/>
      <c r="R67" s="540"/>
      <c r="S67" s="540"/>
      <c r="T67" s="540"/>
      <c r="U67" s="540"/>
      <c r="V67" s="540"/>
      <c r="W67" s="540"/>
      <c r="X67" s="540"/>
      <c r="Y67" s="540"/>
      <c r="Z67" s="540"/>
      <c r="AA67" s="540"/>
      <c r="AB67" s="540"/>
      <c r="AC67" s="540"/>
      <c r="AD67" s="540"/>
      <c r="AE67" s="544"/>
      <c r="AF67" s="544"/>
      <c r="AG67" s="544"/>
      <c r="AH67" s="544"/>
      <c r="AI67" s="544"/>
      <c r="AJ67" s="544"/>
      <c r="AK67" s="544"/>
      <c r="AL67" s="541"/>
      <c r="AM67" s="541"/>
      <c r="AN67" s="536"/>
    </row>
    <row r="68" spans="1:42" s="537" customFormat="1" ht="12.75" customHeight="1">
      <c r="A68" s="539"/>
      <c r="B68" s="2623" t="s">
        <v>591</v>
      </c>
      <c r="C68" s="2623"/>
      <c r="D68" s="548" t="s">
        <v>1315</v>
      </c>
      <c r="E68" s="2615" t="s">
        <v>2018</v>
      </c>
      <c r="F68" s="2616"/>
      <c r="G68" s="2616"/>
      <c r="H68" s="2616"/>
      <c r="I68" s="2616"/>
      <c r="J68" s="2616"/>
      <c r="K68" s="2616"/>
      <c r="L68" s="2616"/>
      <c r="M68" s="2616"/>
      <c r="N68" s="2616"/>
      <c r="O68" s="2616"/>
      <c r="P68" s="2616"/>
      <c r="Q68" s="2616"/>
      <c r="R68" s="2616"/>
      <c r="S68" s="2616"/>
      <c r="T68" s="2616"/>
      <c r="U68" s="2616"/>
      <c r="V68" s="2616"/>
      <c r="W68" s="2616"/>
      <c r="X68" s="2616"/>
      <c r="Y68" s="2616"/>
      <c r="Z68" s="2616"/>
      <c r="AA68" s="2616"/>
      <c r="AB68" s="2616"/>
      <c r="AC68" s="2616"/>
      <c r="AD68" s="2616"/>
      <c r="AE68" s="2616"/>
      <c r="AF68" s="2616"/>
      <c r="AG68" s="2616"/>
      <c r="AH68" s="2616"/>
      <c r="AI68" s="2616"/>
      <c r="AJ68" s="2617"/>
      <c r="AK68" s="544"/>
      <c r="AL68" s="541"/>
      <c r="AM68" s="541"/>
      <c r="AN68" s="536"/>
      <c r="AO68" s="551">
        <f>IF($B68="yes",10,0)</f>
        <v>0</v>
      </c>
    </row>
    <row r="69" spans="1:42" s="537" customFormat="1" ht="12.75" customHeight="1">
      <c r="A69" s="539"/>
      <c r="B69" s="541"/>
      <c r="C69" s="541"/>
      <c r="D69" s="552"/>
      <c r="E69" s="2618"/>
      <c r="F69" s="2619"/>
      <c r="G69" s="2619"/>
      <c r="H69" s="2619"/>
      <c r="I69" s="2619"/>
      <c r="J69" s="2619"/>
      <c r="K69" s="2619"/>
      <c r="L69" s="2619"/>
      <c r="M69" s="2619"/>
      <c r="N69" s="2619"/>
      <c r="O69" s="2619"/>
      <c r="P69" s="2619"/>
      <c r="Q69" s="2619"/>
      <c r="R69" s="2619"/>
      <c r="S69" s="2619"/>
      <c r="T69" s="2619"/>
      <c r="U69" s="2619"/>
      <c r="V69" s="2619"/>
      <c r="W69" s="2619"/>
      <c r="X69" s="2619"/>
      <c r="Y69" s="2619"/>
      <c r="Z69" s="2619"/>
      <c r="AA69" s="2619"/>
      <c r="AB69" s="2619"/>
      <c r="AC69" s="2619"/>
      <c r="AD69" s="2619"/>
      <c r="AE69" s="2619"/>
      <c r="AF69" s="2619"/>
      <c r="AG69" s="2619"/>
      <c r="AH69" s="2619"/>
      <c r="AI69" s="2619"/>
      <c r="AJ69" s="2620"/>
      <c r="AK69" s="544"/>
      <c r="AL69" s="541"/>
      <c r="AM69" s="541"/>
      <c r="AN69" s="536"/>
      <c r="AO69" s="551">
        <f>IF($B74="yes",10,0)</f>
        <v>10</v>
      </c>
    </row>
    <row r="70" spans="1:42" s="537" customFormat="1" ht="12.75" customHeight="1">
      <c r="A70" s="539"/>
      <c r="B70" s="541"/>
      <c r="C70" s="541"/>
      <c r="D70" s="552"/>
      <c r="E70" s="2618"/>
      <c r="F70" s="2619"/>
      <c r="G70" s="2619"/>
      <c r="H70" s="2619"/>
      <c r="I70" s="2619"/>
      <c r="J70" s="2619"/>
      <c r="K70" s="2619"/>
      <c r="L70" s="2619"/>
      <c r="M70" s="2619"/>
      <c r="N70" s="2619"/>
      <c r="O70" s="2619"/>
      <c r="P70" s="2619"/>
      <c r="Q70" s="2619"/>
      <c r="R70" s="2619"/>
      <c r="S70" s="2619"/>
      <c r="T70" s="2619"/>
      <c r="U70" s="2619"/>
      <c r="V70" s="2619"/>
      <c r="W70" s="2619"/>
      <c r="X70" s="2619"/>
      <c r="Y70" s="2619"/>
      <c r="Z70" s="2619"/>
      <c r="AA70" s="2619"/>
      <c r="AB70" s="2619"/>
      <c r="AC70" s="2619"/>
      <c r="AD70" s="2619"/>
      <c r="AE70" s="2619"/>
      <c r="AF70" s="2619"/>
      <c r="AG70" s="2619"/>
      <c r="AH70" s="2619"/>
      <c r="AI70" s="2619"/>
      <c r="AJ70" s="2620"/>
      <c r="AK70" s="544"/>
      <c r="AL70" s="541"/>
      <c r="AM70" s="541"/>
      <c r="AN70" s="536"/>
      <c r="AO70" s="551">
        <f>IF($B81="yes",10,0)</f>
        <v>0</v>
      </c>
    </row>
    <row r="71" spans="1:42" s="537" customFormat="1" ht="12.75" customHeight="1">
      <c r="A71" s="539"/>
      <c r="B71" s="541"/>
      <c r="C71" s="541"/>
      <c r="D71" s="552"/>
      <c r="E71" s="2618"/>
      <c r="F71" s="2619"/>
      <c r="G71" s="2619"/>
      <c r="H71" s="2619"/>
      <c r="I71" s="2619"/>
      <c r="J71" s="2619"/>
      <c r="K71" s="2619"/>
      <c r="L71" s="2619"/>
      <c r="M71" s="2619"/>
      <c r="N71" s="2619"/>
      <c r="O71" s="2619"/>
      <c r="P71" s="2619"/>
      <c r="Q71" s="2619"/>
      <c r="R71" s="2619"/>
      <c r="S71" s="2619"/>
      <c r="T71" s="2619"/>
      <c r="U71" s="2619"/>
      <c r="V71" s="2619"/>
      <c r="W71" s="2619"/>
      <c r="X71" s="2619"/>
      <c r="Y71" s="2619"/>
      <c r="Z71" s="2619"/>
      <c r="AA71" s="2619"/>
      <c r="AB71" s="2619"/>
      <c r="AC71" s="2619"/>
      <c r="AD71" s="2619"/>
      <c r="AE71" s="2619"/>
      <c r="AF71" s="2619"/>
      <c r="AG71" s="2619"/>
      <c r="AH71" s="2619"/>
      <c r="AI71" s="2619"/>
      <c r="AJ71" s="2620"/>
      <c r="AK71" s="544"/>
      <c r="AL71" s="541"/>
      <c r="AM71" s="541"/>
      <c r="AN71" s="536"/>
      <c r="AO71" s="537">
        <f>IF(SUM(AO68:AO70)&gt;10,10,(SUM(AO68:AO70)))</f>
        <v>10</v>
      </c>
      <c r="AP71" s="575" t="s">
        <v>1316</v>
      </c>
    </row>
    <row r="72" spans="1:42" s="537" customFormat="1" ht="12.75" customHeight="1">
      <c r="A72" s="539"/>
      <c r="B72" s="541"/>
      <c r="C72" s="541"/>
      <c r="D72" s="552"/>
      <c r="E72" s="2645"/>
      <c r="F72" s="2646"/>
      <c r="G72" s="2646"/>
      <c r="H72" s="2646"/>
      <c r="I72" s="2646"/>
      <c r="J72" s="2646"/>
      <c r="K72" s="2646"/>
      <c r="L72" s="2646"/>
      <c r="M72" s="2646"/>
      <c r="N72" s="2646"/>
      <c r="O72" s="2646"/>
      <c r="P72" s="2646"/>
      <c r="Q72" s="2646"/>
      <c r="R72" s="2646"/>
      <c r="S72" s="2646"/>
      <c r="T72" s="2646"/>
      <c r="U72" s="2646"/>
      <c r="V72" s="2646"/>
      <c r="W72" s="2646"/>
      <c r="X72" s="2646"/>
      <c r="Y72" s="2646"/>
      <c r="Z72" s="2646"/>
      <c r="AA72" s="2646"/>
      <c r="AB72" s="2646"/>
      <c r="AC72" s="2646"/>
      <c r="AD72" s="2646"/>
      <c r="AE72" s="2646"/>
      <c r="AF72" s="2646"/>
      <c r="AG72" s="2646"/>
      <c r="AH72" s="2646"/>
      <c r="AI72" s="2646"/>
      <c r="AJ72" s="2647"/>
      <c r="AK72" s="544"/>
      <c r="AL72" s="541"/>
      <c r="AM72" s="541"/>
      <c r="AN72" s="536"/>
    </row>
    <row r="73" spans="1:42" s="537" customFormat="1" ht="12.75" customHeight="1">
      <c r="A73" s="539"/>
      <c r="B73" s="541"/>
      <c r="C73" s="541"/>
      <c r="E73" s="541"/>
      <c r="F73" s="541"/>
      <c r="G73" s="541"/>
      <c r="H73" s="541"/>
      <c r="I73" s="541"/>
      <c r="J73" s="541"/>
      <c r="K73" s="541"/>
      <c r="L73" s="541"/>
      <c r="M73" s="541"/>
      <c r="N73" s="541"/>
      <c r="O73" s="541"/>
      <c r="P73" s="541"/>
      <c r="Q73" s="541"/>
      <c r="R73" s="541"/>
      <c r="S73" s="541"/>
      <c r="T73" s="541"/>
      <c r="U73" s="541"/>
      <c r="V73" s="541"/>
      <c r="W73" s="541"/>
      <c r="X73" s="541"/>
      <c r="Y73" s="541"/>
      <c r="Z73" s="541"/>
      <c r="AA73" s="541"/>
      <c r="AB73" s="541"/>
      <c r="AC73" s="541"/>
      <c r="AD73" s="541"/>
      <c r="AE73" s="541"/>
      <c r="AF73" s="541"/>
      <c r="AG73" s="541"/>
      <c r="AH73" s="541"/>
      <c r="AI73" s="541"/>
      <c r="AJ73" s="541"/>
      <c r="AK73" s="544"/>
      <c r="AL73" s="541"/>
      <c r="AM73" s="541"/>
      <c r="AN73" s="536"/>
    </row>
    <row r="74" spans="1:42" s="537" customFormat="1" ht="12.75" customHeight="1">
      <c r="A74" s="539"/>
      <c r="B74" s="2623" t="s">
        <v>545</v>
      </c>
      <c r="C74" s="2623"/>
      <c r="D74" s="548" t="s">
        <v>1317</v>
      </c>
      <c r="E74" s="972" t="s">
        <v>1724</v>
      </c>
      <c r="F74" s="973"/>
      <c r="G74" s="973"/>
      <c r="H74" s="973"/>
      <c r="I74" s="973"/>
      <c r="J74" s="973"/>
      <c r="K74" s="973"/>
      <c r="L74" s="973"/>
      <c r="M74" s="973"/>
      <c r="N74" s="973"/>
      <c r="O74" s="973"/>
      <c r="P74" s="973"/>
      <c r="Q74" s="973"/>
      <c r="R74" s="973"/>
      <c r="S74" s="973"/>
      <c r="T74" s="973"/>
      <c r="U74" s="973"/>
      <c r="V74" s="973"/>
      <c r="W74" s="973"/>
      <c r="X74" s="973"/>
      <c r="Y74" s="973"/>
      <c r="Z74" s="973"/>
      <c r="AA74" s="973"/>
      <c r="AB74" s="973"/>
      <c r="AC74" s="973"/>
      <c r="AD74" s="973"/>
      <c r="AE74" s="973"/>
      <c r="AF74" s="973"/>
      <c r="AG74" s="973"/>
      <c r="AH74" s="973"/>
      <c r="AI74" s="973"/>
      <c r="AJ74" s="974"/>
      <c r="AK74" s="544"/>
      <c r="AL74" s="541"/>
      <c r="AM74" s="541"/>
      <c r="AN74" s="536"/>
    </row>
    <row r="75" spans="1:42" s="537" customFormat="1" ht="12.75" customHeight="1">
      <c r="A75" s="539"/>
      <c r="B75" s="541"/>
      <c r="C75" s="541"/>
      <c r="D75" s="551"/>
      <c r="E75" s="2648" t="s">
        <v>545</v>
      </c>
      <c r="F75" s="2623"/>
      <c r="G75" s="576"/>
      <c r="H75" s="559" t="s">
        <v>1318</v>
      </c>
      <c r="I75" s="909"/>
      <c r="J75" s="576"/>
      <c r="K75" s="576"/>
      <c r="L75" s="576"/>
      <c r="M75" s="576"/>
      <c r="N75" s="576"/>
      <c r="O75" s="576"/>
      <c r="P75" s="576"/>
      <c r="Q75" s="576"/>
      <c r="R75" s="576"/>
      <c r="S75" s="576"/>
      <c r="T75" s="576"/>
      <c r="U75" s="576"/>
      <c r="V75" s="576"/>
      <c r="W75" s="576"/>
      <c r="X75" s="576"/>
      <c r="Y75" s="576"/>
      <c r="Z75" s="576"/>
      <c r="AA75" s="576"/>
      <c r="AB75" s="576"/>
      <c r="AC75" s="576"/>
      <c r="AD75" s="576"/>
      <c r="AE75" s="576"/>
      <c r="AF75" s="576"/>
      <c r="AG75" s="576"/>
      <c r="AH75" s="576"/>
      <c r="AI75" s="576"/>
      <c r="AJ75" s="975"/>
      <c r="AK75" s="544"/>
      <c r="AL75" s="541"/>
      <c r="AM75" s="541"/>
      <c r="AN75" s="536"/>
    </row>
    <row r="76" spans="1:42" s="537" customFormat="1" ht="12.75" customHeight="1">
      <c r="A76" s="539"/>
      <c r="B76" s="541"/>
      <c r="C76" s="541"/>
      <c r="D76" s="551"/>
      <c r="E76" s="2643" t="s">
        <v>591</v>
      </c>
      <c r="F76" s="2644"/>
      <c r="G76" s="576"/>
      <c r="H76" s="559" t="s">
        <v>1319</v>
      </c>
      <c r="I76" s="576"/>
      <c r="J76" s="576"/>
      <c r="K76" s="576"/>
      <c r="L76" s="576"/>
      <c r="M76" s="576"/>
      <c r="N76" s="576"/>
      <c r="O76" s="576"/>
      <c r="P76" s="576"/>
      <c r="Q76" s="576"/>
      <c r="R76" s="576"/>
      <c r="S76" s="576"/>
      <c r="T76" s="576"/>
      <c r="U76" s="576"/>
      <c r="V76" s="576"/>
      <c r="W76" s="576"/>
      <c r="X76" s="576"/>
      <c r="Y76" s="576"/>
      <c r="Z76" s="576"/>
      <c r="AA76" s="576"/>
      <c r="AB76" s="576"/>
      <c r="AC76" s="576"/>
      <c r="AD76" s="576"/>
      <c r="AE76" s="576"/>
      <c r="AF76" s="576"/>
      <c r="AG76" s="576"/>
      <c r="AH76" s="576"/>
      <c r="AI76" s="576"/>
      <c r="AJ76" s="975"/>
      <c r="AK76" s="544"/>
      <c r="AL76" s="541"/>
      <c r="AM76" s="541"/>
      <c r="AN76" s="536"/>
    </row>
    <row r="77" spans="1:42" s="537" customFormat="1" ht="12.75" customHeight="1">
      <c r="A77" s="539"/>
      <c r="B77" s="541"/>
      <c r="C77" s="541"/>
      <c r="D77" s="551"/>
      <c r="E77" s="2643" t="s">
        <v>591</v>
      </c>
      <c r="F77" s="2644"/>
      <c r="G77" s="576"/>
      <c r="H77" s="559" t="s">
        <v>1739</v>
      </c>
      <c r="I77" s="576"/>
      <c r="J77" s="576"/>
      <c r="K77" s="576"/>
      <c r="L77" s="576"/>
      <c r="M77" s="576"/>
      <c r="N77" s="576"/>
      <c r="O77" s="576"/>
      <c r="P77" s="576"/>
      <c r="Q77" s="576"/>
      <c r="R77" s="576"/>
      <c r="S77" s="576"/>
      <c r="T77" s="576"/>
      <c r="U77" s="576"/>
      <c r="V77" s="576"/>
      <c r="W77" s="576"/>
      <c r="X77" s="576"/>
      <c r="Y77" s="576"/>
      <c r="Z77" s="576"/>
      <c r="AA77" s="576"/>
      <c r="AB77" s="576"/>
      <c r="AC77" s="576"/>
      <c r="AD77" s="576"/>
      <c r="AE77" s="576"/>
      <c r="AF77" s="576"/>
      <c r="AG77" s="576"/>
      <c r="AH77" s="576"/>
      <c r="AI77" s="576"/>
      <c r="AJ77" s="975"/>
      <c r="AK77" s="544"/>
      <c r="AL77" s="541"/>
      <c r="AM77" s="541"/>
      <c r="AN77" s="536"/>
    </row>
    <row r="78" spans="1:42" s="537" customFormat="1" ht="12.75" customHeight="1">
      <c r="A78" s="539"/>
      <c r="B78" s="541"/>
      <c r="C78" s="541"/>
      <c r="D78" s="551"/>
      <c r="E78" s="657"/>
      <c r="F78" s="576"/>
      <c r="G78" s="576"/>
      <c r="H78" s="576"/>
      <c r="I78" s="576"/>
      <c r="J78" s="576"/>
      <c r="K78" s="576"/>
      <c r="L78" s="576"/>
      <c r="M78" s="576"/>
      <c r="N78" s="576"/>
      <c r="O78" s="576"/>
      <c r="P78" s="576"/>
      <c r="Q78" s="576"/>
      <c r="R78" s="576"/>
      <c r="S78" s="576"/>
      <c r="T78" s="576"/>
      <c r="U78" s="576"/>
      <c r="V78" s="576"/>
      <c r="W78" s="576"/>
      <c r="X78" s="576"/>
      <c r="Y78" s="576"/>
      <c r="Z78" s="576"/>
      <c r="AA78" s="576"/>
      <c r="AB78" s="576"/>
      <c r="AC78" s="576"/>
      <c r="AD78" s="576"/>
      <c r="AE78" s="576"/>
      <c r="AF78" s="576"/>
      <c r="AG78" s="576"/>
      <c r="AH78" s="576"/>
      <c r="AI78" s="576"/>
      <c r="AJ78" s="975"/>
      <c r="AK78" s="544"/>
      <c r="AL78" s="541"/>
      <c r="AM78" s="541"/>
      <c r="AN78" s="536"/>
    </row>
    <row r="79" spans="1:42" s="537" customFormat="1" ht="12.75" customHeight="1">
      <c r="A79" s="539"/>
      <c r="B79" s="541"/>
      <c r="C79" s="541"/>
      <c r="D79" s="551"/>
      <c r="E79" s="2648" t="s">
        <v>591</v>
      </c>
      <c r="F79" s="2623"/>
      <c r="G79" s="907"/>
      <c r="H79" s="977" t="s">
        <v>1738</v>
      </c>
      <c r="I79" s="907"/>
      <c r="J79" s="907"/>
      <c r="K79" s="907"/>
      <c r="L79" s="907"/>
      <c r="M79" s="907"/>
      <c r="N79" s="907"/>
      <c r="O79" s="907"/>
      <c r="P79" s="907"/>
      <c r="Q79" s="907"/>
      <c r="R79" s="907"/>
      <c r="S79" s="907"/>
      <c r="T79" s="907"/>
      <c r="U79" s="907"/>
      <c r="V79" s="907"/>
      <c r="W79" s="907"/>
      <c r="X79" s="907"/>
      <c r="Y79" s="907"/>
      <c r="Z79" s="907"/>
      <c r="AA79" s="907"/>
      <c r="AB79" s="907"/>
      <c r="AC79" s="907"/>
      <c r="AD79" s="907"/>
      <c r="AE79" s="907"/>
      <c r="AF79" s="907"/>
      <c r="AG79" s="907"/>
      <c r="AH79" s="907"/>
      <c r="AI79" s="907"/>
      <c r="AJ79" s="908"/>
      <c r="AK79" s="544"/>
      <c r="AL79" s="541"/>
      <c r="AM79" s="541"/>
      <c r="AN79" s="536"/>
    </row>
    <row r="80" spans="1:42" s="537" customFormat="1" ht="12.75" customHeight="1">
      <c r="A80" s="539"/>
      <c r="B80" s="541"/>
      <c r="C80" s="541"/>
      <c r="D80" s="552"/>
      <c r="E80" s="541"/>
      <c r="F80" s="541"/>
      <c r="G80" s="541"/>
      <c r="H80" s="541"/>
      <c r="I80" s="541"/>
      <c r="J80" s="541"/>
      <c r="K80" s="541"/>
      <c r="L80" s="541"/>
      <c r="M80" s="541"/>
      <c r="N80" s="541"/>
      <c r="O80" s="541"/>
      <c r="P80" s="541"/>
      <c r="Q80" s="541"/>
      <c r="R80" s="541"/>
      <c r="S80" s="541"/>
      <c r="T80" s="541"/>
      <c r="U80" s="541"/>
      <c r="V80" s="541"/>
      <c r="W80" s="541"/>
      <c r="X80" s="541"/>
      <c r="Y80" s="541"/>
      <c r="Z80" s="541"/>
      <c r="AA80" s="541"/>
      <c r="AB80" s="541"/>
      <c r="AC80" s="541"/>
      <c r="AD80" s="541"/>
      <c r="AE80" s="541"/>
      <c r="AF80" s="541"/>
      <c r="AG80" s="541"/>
      <c r="AH80" s="541"/>
      <c r="AI80" s="541"/>
      <c r="AJ80" s="541"/>
      <c r="AK80" s="544"/>
      <c r="AL80" s="541"/>
      <c r="AM80" s="541"/>
      <c r="AN80" s="536"/>
    </row>
    <row r="81" spans="1:43" s="537" customFormat="1" ht="12.75" customHeight="1">
      <c r="A81" s="539"/>
      <c r="B81" s="2623" t="s">
        <v>591</v>
      </c>
      <c r="C81" s="2623"/>
      <c r="D81" s="548" t="s">
        <v>1320</v>
      </c>
      <c r="E81" s="2550" t="s">
        <v>1740</v>
      </c>
      <c r="F81" s="2551"/>
      <c r="G81" s="2551"/>
      <c r="H81" s="2551"/>
      <c r="I81" s="2551"/>
      <c r="J81" s="2551"/>
      <c r="K81" s="2551"/>
      <c r="L81" s="2551"/>
      <c r="M81" s="2551"/>
      <c r="N81" s="2551"/>
      <c r="O81" s="2551"/>
      <c r="P81" s="2551"/>
      <c r="Q81" s="2551"/>
      <c r="R81" s="2551"/>
      <c r="S81" s="2551"/>
      <c r="T81" s="2551"/>
      <c r="U81" s="2551"/>
      <c r="V81" s="2551"/>
      <c r="W81" s="2551"/>
      <c r="X81" s="2551"/>
      <c r="Y81" s="2551"/>
      <c r="Z81" s="2551"/>
      <c r="AA81" s="2551"/>
      <c r="AB81" s="2551"/>
      <c r="AC81" s="2551"/>
      <c r="AD81" s="2551"/>
      <c r="AE81" s="2551"/>
      <c r="AF81" s="2551"/>
      <c r="AG81" s="2551"/>
      <c r="AH81" s="2551"/>
      <c r="AI81" s="2551"/>
      <c r="AJ81" s="2552"/>
      <c r="AK81" s="544"/>
      <c r="AL81" s="541"/>
      <c r="AM81" s="541"/>
      <c r="AN81" s="536"/>
    </row>
    <row r="82" spans="1:43" s="537" customFormat="1" ht="12.75" customHeight="1">
      <c r="A82" s="539"/>
      <c r="B82" s="541"/>
      <c r="C82" s="541"/>
      <c r="D82" s="551"/>
      <c r="E82" s="2575"/>
      <c r="F82" s="2576"/>
      <c r="G82" s="2576"/>
      <c r="H82" s="2576"/>
      <c r="I82" s="2576"/>
      <c r="J82" s="2576"/>
      <c r="K82" s="2576"/>
      <c r="L82" s="2576"/>
      <c r="M82" s="2576"/>
      <c r="N82" s="2576"/>
      <c r="O82" s="2576"/>
      <c r="P82" s="2576"/>
      <c r="Q82" s="2576"/>
      <c r="R82" s="2576"/>
      <c r="S82" s="2576"/>
      <c r="T82" s="2576"/>
      <c r="U82" s="2576"/>
      <c r="V82" s="2576"/>
      <c r="W82" s="2576"/>
      <c r="X82" s="2576"/>
      <c r="Y82" s="2576"/>
      <c r="Z82" s="2576"/>
      <c r="AA82" s="2576"/>
      <c r="AB82" s="2576"/>
      <c r="AC82" s="2576"/>
      <c r="AD82" s="2576"/>
      <c r="AE82" s="2576"/>
      <c r="AF82" s="2576"/>
      <c r="AG82" s="2576"/>
      <c r="AH82" s="2576"/>
      <c r="AI82" s="2576"/>
      <c r="AJ82" s="2577"/>
      <c r="AK82" s="544"/>
      <c r="AL82" s="541"/>
      <c r="AM82" s="541"/>
      <c r="AN82" s="536"/>
    </row>
    <row r="83" spans="1:43" s="537" customFormat="1" ht="12.75" customHeight="1">
      <c r="A83" s="539"/>
      <c r="B83" s="541"/>
      <c r="C83" s="541"/>
      <c r="D83" s="551"/>
      <c r="E83" s="541"/>
      <c r="F83" s="541"/>
      <c r="G83" s="541"/>
      <c r="H83" s="541"/>
      <c r="I83" s="541"/>
      <c r="J83" s="541"/>
      <c r="K83" s="541"/>
      <c r="L83" s="541"/>
      <c r="M83" s="541"/>
      <c r="N83" s="541"/>
      <c r="O83" s="541"/>
      <c r="P83" s="541"/>
      <c r="Q83" s="541"/>
      <c r="R83" s="541"/>
      <c r="S83" s="541"/>
      <c r="T83" s="541"/>
      <c r="U83" s="541"/>
      <c r="V83" s="541"/>
      <c r="W83" s="541"/>
      <c r="X83" s="541"/>
      <c r="Y83" s="541"/>
      <c r="Z83" s="541"/>
      <c r="AA83" s="541"/>
      <c r="AB83" s="541"/>
      <c r="AC83" s="541"/>
      <c r="AD83" s="541"/>
      <c r="AE83" s="541"/>
      <c r="AF83" s="541"/>
      <c r="AG83" s="541"/>
      <c r="AH83" s="541"/>
      <c r="AI83" s="541"/>
      <c r="AJ83" s="541"/>
      <c r="AK83" s="544"/>
      <c r="AL83" s="541"/>
      <c r="AM83" s="541"/>
      <c r="AN83" s="536"/>
    </row>
    <row r="84" spans="1:43" s="537" customFormat="1" ht="12.75" customHeight="1">
      <c r="A84" s="562"/>
      <c r="B84" s="563"/>
      <c r="C84" s="563"/>
      <c r="D84" s="563"/>
      <c r="E84" s="563"/>
      <c r="F84" s="563"/>
      <c r="G84" s="564"/>
      <c r="H84" s="565"/>
      <c r="I84" s="565"/>
      <c r="J84" s="565"/>
      <c r="K84" s="565"/>
      <c r="L84" s="565"/>
      <c r="M84" s="565"/>
      <c r="N84" s="565"/>
      <c r="O84" s="565"/>
      <c r="P84" s="565"/>
      <c r="Q84" s="565"/>
      <c r="R84" s="565"/>
      <c r="S84" s="565"/>
      <c r="T84" s="565"/>
      <c r="U84" s="565"/>
      <c r="V84" s="565"/>
      <c r="W84" s="565"/>
      <c r="X84" s="565"/>
      <c r="Y84" s="565"/>
      <c r="Z84" s="565"/>
      <c r="AA84" s="565"/>
      <c r="AB84" s="565"/>
      <c r="AC84" s="565"/>
      <c r="AD84" s="565"/>
      <c r="AE84" s="565"/>
      <c r="AF84" s="565"/>
      <c r="AG84" s="565"/>
      <c r="AH84" s="565"/>
      <c r="AI84" s="566"/>
      <c r="AJ84" s="566" t="s">
        <v>1321</v>
      </c>
      <c r="AK84" s="2596">
        <f>IF(AK62&gt;0,0,AO71)</f>
        <v>0</v>
      </c>
      <c r="AL84" s="2597"/>
      <c r="AM84" s="2598"/>
      <c r="AN84" s="536"/>
    </row>
    <row r="85" spans="1:43" s="537" customFormat="1" ht="12.75" customHeight="1" thickBot="1">
      <c r="A85" s="567"/>
      <c r="B85" s="568"/>
      <c r="C85" s="569"/>
      <c r="D85" s="569"/>
      <c r="E85" s="569"/>
      <c r="F85" s="569"/>
      <c r="G85" s="569"/>
      <c r="H85" s="569"/>
      <c r="I85" s="569"/>
      <c r="J85" s="569"/>
      <c r="K85" s="569"/>
      <c r="L85" s="569"/>
      <c r="M85" s="569"/>
      <c r="N85" s="569"/>
      <c r="O85" s="569"/>
      <c r="P85" s="569"/>
      <c r="Q85" s="569"/>
      <c r="R85" s="569"/>
      <c r="S85" s="569"/>
      <c r="T85" s="569"/>
      <c r="U85" s="569"/>
      <c r="V85" s="569"/>
      <c r="W85" s="569"/>
      <c r="X85" s="569"/>
      <c r="Y85" s="569"/>
      <c r="Z85" s="569"/>
      <c r="AA85" s="569"/>
      <c r="AB85" s="569"/>
      <c r="AC85" s="569"/>
      <c r="AD85" s="569"/>
      <c r="AE85" s="569"/>
      <c r="AF85" s="569"/>
      <c r="AG85" s="569"/>
      <c r="AH85" s="569"/>
      <c r="AI85" s="569"/>
      <c r="AJ85" s="569"/>
      <c r="AK85" s="569"/>
      <c r="AL85" s="569"/>
      <c r="AM85" s="570"/>
      <c r="AN85" s="536"/>
    </row>
    <row r="86" spans="1:43" s="537" customFormat="1" ht="12.75" customHeight="1" thickTop="1">
      <c r="A86" s="571"/>
      <c r="B86" s="572"/>
      <c r="C86" s="573"/>
      <c r="D86" s="573"/>
      <c r="E86" s="573"/>
      <c r="F86" s="573"/>
      <c r="G86" s="573"/>
      <c r="H86" s="573"/>
      <c r="I86" s="574"/>
      <c r="J86" s="574"/>
      <c r="K86" s="574"/>
      <c r="L86" s="574"/>
      <c r="M86" s="574"/>
      <c r="N86" s="574"/>
      <c r="O86" s="574"/>
      <c r="P86" s="574"/>
      <c r="Q86" s="574"/>
      <c r="R86" s="571"/>
      <c r="S86" s="540"/>
      <c r="T86" s="540"/>
      <c r="U86" s="540"/>
      <c r="V86" s="540"/>
      <c r="W86" s="540"/>
      <c r="X86" s="540"/>
      <c r="Y86" s="540"/>
      <c r="Z86" s="540"/>
      <c r="AA86" s="540"/>
      <c r="AB86" s="540"/>
      <c r="AC86" s="540"/>
      <c r="AD86" s="540"/>
      <c r="AE86" s="540"/>
      <c r="AF86" s="571"/>
      <c r="AG86" s="540"/>
      <c r="AH86" s="540"/>
      <c r="AI86" s="540"/>
      <c r="AJ86" s="540"/>
      <c r="AK86" s="551"/>
      <c r="AL86" s="551"/>
      <c r="AM86" s="551"/>
      <c r="AN86" s="536"/>
    </row>
    <row r="87" spans="1:43" s="537" customFormat="1" ht="12.75" customHeight="1">
      <c r="A87" s="539" t="s">
        <v>1322</v>
      </c>
      <c r="B87" s="540" t="s">
        <v>1323</v>
      </c>
      <c r="C87" s="540"/>
      <c r="D87" s="540"/>
      <c r="E87" s="540"/>
      <c r="F87" s="540"/>
      <c r="G87" s="540"/>
      <c r="H87" s="540"/>
      <c r="I87" s="540"/>
      <c r="J87" s="540"/>
      <c r="K87" s="540"/>
      <c r="L87" s="540"/>
      <c r="M87" s="540"/>
      <c r="N87" s="540"/>
      <c r="O87" s="540"/>
      <c r="P87" s="540"/>
      <c r="Q87" s="540"/>
      <c r="R87" s="540"/>
      <c r="S87" s="540"/>
      <c r="T87" s="540"/>
      <c r="U87" s="540"/>
      <c r="V87" s="540"/>
      <c r="W87" s="540"/>
      <c r="X87" s="540"/>
      <c r="Y87" s="540"/>
      <c r="Z87" s="540"/>
      <c r="AA87" s="540"/>
      <c r="AB87" s="540"/>
      <c r="AC87" s="540"/>
      <c r="AD87" s="540"/>
      <c r="AE87" s="2470" t="s">
        <v>1305</v>
      </c>
      <c r="AF87" s="2470"/>
      <c r="AG87" s="2470"/>
      <c r="AH87" s="2470"/>
      <c r="AI87" s="2470"/>
      <c r="AJ87" s="2470"/>
      <c r="AK87" s="2470"/>
      <c r="AL87" s="541"/>
      <c r="AM87" s="541"/>
      <c r="AN87" s="536"/>
    </row>
    <row r="88" spans="1:43" s="537" customFormat="1" ht="12.75" customHeight="1">
      <c r="A88" s="539"/>
      <c r="B88" s="540" t="s">
        <v>1324</v>
      </c>
      <c r="C88" s="540"/>
      <c r="D88" s="540"/>
      <c r="E88" s="540"/>
      <c r="F88" s="540"/>
      <c r="G88" s="540"/>
      <c r="H88" s="540"/>
      <c r="I88" s="540"/>
      <c r="J88" s="540"/>
      <c r="K88" s="540"/>
      <c r="L88" s="540"/>
      <c r="M88" s="540"/>
      <c r="N88" s="540"/>
      <c r="O88" s="540"/>
      <c r="P88" s="540"/>
      <c r="Q88" s="540"/>
      <c r="R88" s="540"/>
      <c r="S88" s="540"/>
      <c r="T88" s="540"/>
      <c r="U88" s="540"/>
      <c r="V88" s="540"/>
      <c r="W88" s="540"/>
      <c r="X88" s="540"/>
      <c r="Y88" s="540"/>
      <c r="Z88" s="540"/>
      <c r="AA88" s="540"/>
      <c r="AB88" s="540"/>
      <c r="AC88" s="540"/>
      <c r="AD88" s="540"/>
      <c r="AE88" s="544"/>
      <c r="AF88" s="544"/>
      <c r="AG88" s="544"/>
      <c r="AH88" s="544"/>
      <c r="AI88" s="544"/>
      <c r="AJ88" s="544"/>
      <c r="AK88" s="544"/>
      <c r="AL88" s="541"/>
      <c r="AM88" s="541"/>
      <c r="AN88" s="536"/>
    </row>
    <row r="89" spans="1:43" s="537" customFormat="1" ht="12.75" customHeight="1">
      <c r="A89" s="539"/>
      <c r="B89" s="540"/>
      <c r="C89" s="540"/>
      <c r="D89" s="540"/>
      <c r="E89" s="540"/>
      <c r="F89" s="540"/>
      <c r="G89" s="540"/>
      <c r="H89" s="540"/>
      <c r="I89" s="540"/>
      <c r="J89" s="540"/>
      <c r="K89" s="540"/>
      <c r="L89" s="540"/>
      <c r="M89" s="540"/>
      <c r="N89" s="540"/>
      <c r="O89" s="540"/>
      <c r="P89" s="540"/>
      <c r="Q89" s="540"/>
      <c r="R89" s="540"/>
      <c r="S89" s="540"/>
      <c r="T89" s="540"/>
      <c r="U89" s="540"/>
      <c r="V89" s="540"/>
      <c r="W89" s="540"/>
      <c r="X89" s="540"/>
      <c r="Y89" s="540"/>
      <c r="Z89" s="540"/>
      <c r="AA89" s="540"/>
      <c r="AB89" s="540"/>
      <c r="AC89" s="540"/>
      <c r="AD89" s="540"/>
      <c r="AE89" s="544"/>
      <c r="AF89" s="544"/>
      <c r="AG89" s="544"/>
      <c r="AH89" s="544"/>
      <c r="AI89" s="544"/>
      <c r="AJ89" s="544"/>
      <c r="AK89" s="544"/>
      <c r="AL89" s="541"/>
      <c r="AM89" s="541"/>
      <c r="AN89" s="536"/>
    </row>
    <row r="90" spans="1:43" s="537" customFormat="1" ht="12.75" customHeight="1">
      <c r="A90" s="539"/>
      <c r="B90" s="2623" t="s">
        <v>591</v>
      </c>
      <c r="C90" s="2623"/>
      <c r="D90" s="548" t="s">
        <v>1315</v>
      </c>
      <c r="E90" s="2615" t="s">
        <v>1325</v>
      </c>
      <c r="F90" s="2616"/>
      <c r="G90" s="2616"/>
      <c r="H90" s="2616"/>
      <c r="I90" s="2616"/>
      <c r="J90" s="2616"/>
      <c r="K90" s="2616"/>
      <c r="L90" s="2616"/>
      <c r="M90" s="2616"/>
      <c r="N90" s="2616"/>
      <c r="O90" s="2616"/>
      <c r="P90" s="2616"/>
      <c r="Q90" s="2616"/>
      <c r="R90" s="2616"/>
      <c r="S90" s="2616"/>
      <c r="T90" s="2616"/>
      <c r="U90" s="2616"/>
      <c r="V90" s="2616"/>
      <c r="W90" s="2616"/>
      <c r="X90" s="2616"/>
      <c r="Y90" s="2616"/>
      <c r="Z90" s="2616"/>
      <c r="AA90" s="2616"/>
      <c r="AB90" s="2616"/>
      <c r="AC90" s="2616"/>
      <c r="AD90" s="2616"/>
      <c r="AE90" s="2616"/>
      <c r="AF90" s="2616"/>
      <c r="AG90" s="2616"/>
      <c r="AH90" s="2616"/>
      <c r="AI90" s="2616"/>
      <c r="AJ90" s="2617"/>
      <c r="AK90" s="544"/>
      <c r="AL90" s="541"/>
      <c r="AM90" s="541"/>
      <c r="AN90" s="536"/>
    </row>
    <row r="91" spans="1:43" s="537" customFormat="1" ht="12.75" customHeight="1">
      <c r="A91" s="539"/>
      <c r="B91" s="540"/>
      <c r="C91" s="540"/>
      <c r="D91" s="540"/>
      <c r="E91" s="2618"/>
      <c r="F91" s="2619"/>
      <c r="G91" s="2619"/>
      <c r="H91" s="2619"/>
      <c r="I91" s="2619"/>
      <c r="J91" s="2619"/>
      <c r="K91" s="2619"/>
      <c r="L91" s="2619"/>
      <c r="M91" s="2619"/>
      <c r="N91" s="2619"/>
      <c r="O91" s="2619"/>
      <c r="P91" s="2619"/>
      <c r="Q91" s="2619"/>
      <c r="R91" s="2619"/>
      <c r="S91" s="2619"/>
      <c r="T91" s="2619"/>
      <c r="U91" s="2619"/>
      <c r="V91" s="2619"/>
      <c r="W91" s="2619"/>
      <c r="X91" s="2619"/>
      <c r="Y91" s="2619"/>
      <c r="Z91" s="2619"/>
      <c r="AA91" s="2619"/>
      <c r="AB91" s="2619"/>
      <c r="AC91" s="2619"/>
      <c r="AD91" s="2619"/>
      <c r="AE91" s="2619"/>
      <c r="AF91" s="2619"/>
      <c r="AG91" s="2619"/>
      <c r="AH91" s="2619"/>
      <c r="AI91" s="2619"/>
      <c r="AJ91" s="2620"/>
      <c r="AK91" s="544"/>
      <c r="AL91" s="541"/>
      <c r="AM91" s="541"/>
      <c r="AN91" s="536"/>
    </row>
    <row r="92" spans="1:43" s="537" customFormat="1" ht="12.75" customHeight="1">
      <c r="A92" s="539"/>
      <c r="B92" s="540"/>
      <c r="C92" s="540"/>
      <c r="D92" s="540"/>
      <c r="E92" s="577"/>
      <c r="F92" s="578"/>
      <c r="G92" s="578"/>
      <c r="H92" s="578"/>
      <c r="I92" s="578"/>
      <c r="J92" s="578"/>
      <c r="K92" s="578"/>
      <c r="L92" s="578"/>
      <c r="M92" s="578"/>
      <c r="N92" s="578"/>
      <c r="O92" s="578"/>
      <c r="P92" s="578"/>
      <c r="Q92" s="578"/>
      <c r="R92" s="578"/>
      <c r="S92" s="578"/>
      <c r="T92" s="578"/>
      <c r="U92" s="578"/>
      <c r="V92" s="578"/>
      <c r="W92" s="578"/>
      <c r="X92" s="578"/>
      <c r="Y92" s="578"/>
      <c r="Z92" s="579"/>
      <c r="AA92" s="579"/>
      <c r="AB92" s="579"/>
      <c r="AC92" s="578"/>
      <c r="AD92" s="578"/>
      <c r="AE92" s="578"/>
      <c r="AF92" s="578"/>
      <c r="AG92" s="578"/>
      <c r="AH92" s="578"/>
      <c r="AI92" s="578"/>
      <c r="AJ92" s="580"/>
      <c r="AK92" s="544"/>
      <c r="AL92" s="541"/>
      <c r="AM92" s="541"/>
      <c r="AN92" s="536"/>
    </row>
    <row r="93" spans="1:43" s="537" customFormat="1" ht="12.75" customHeight="1">
      <c r="A93" s="539"/>
      <c r="B93" s="540"/>
      <c r="C93" s="540"/>
      <c r="D93" s="540"/>
      <c r="E93" s="2611">
        <f>Application!AC753</f>
        <v>0.42321428571428565</v>
      </c>
      <c r="F93" s="2612"/>
      <c r="G93" s="2612"/>
      <c r="H93" s="2612"/>
      <c r="I93" s="578"/>
      <c r="J93" s="581" t="s">
        <v>1326</v>
      </c>
      <c r="K93" s="578"/>
      <c r="L93" s="578"/>
      <c r="M93" s="578"/>
      <c r="N93" s="578"/>
      <c r="O93" s="578"/>
      <c r="P93" s="578"/>
      <c r="Q93" s="578"/>
      <c r="R93" s="578"/>
      <c r="S93" s="578"/>
      <c r="T93" s="578"/>
      <c r="U93" s="578"/>
      <c r="V93" s="578"/>
      <c r="W93" s="578"/>
      <c r="X93" s="578"/>
      <c r="Y93" s="578"/>
      <c r="Z93" s="582"/>
      <c r="AA93" s="582"/>
      <c r="AB93" s="582"/>
      <c r="AC93" s="578"/>
      <c r="AD93" s="578"/>
      <c r="AE93" s="578"/>
      <c r="AF93" s="578"/>
      <c r="AG93" s="578"/>
      <c r="AH93" s="578"/>
      <c r="AI93" s="578"/>
      <c r="AJ93" s="580"/>
      <c r="AK93" s="544"/>
      <c r="AL93" s="541"/>
      <c r="AM93" s="541"/>
      <c r="AN93" s="536"/>
    </row>
    <row r="94" spans="1:43" s="537" customFormat="1" ht="12.75" customHeight="1">
      <c r="A94" s="539"/>
      <c r="B94" s="540"/>
      <c r="C94" s="540"/>
      <c r="D94" s="540"/>
      <c r="E94" s="2642">
        <f>0.6-ROUNDUP(E93,2)</f>
        <v>0.16999999999999998</v>
      </c>
      <c r="F94" s="2417"/>
      <c r="G94" s="2417"/>
      <c r="H94" s="2417"/>
      <c r="I94" s="578"/>
      <c r="J94" s="581" t="s">
        <v>1327</v>
      </c>
      <c r="K94" s="578"/>
      <c r="L94" s="578"/>
      <c r="M94" s="578"/>
      <c r="N94" s="578"/>
      <c r="O94" s="578"/>
      <c r="P94" s="578"/>
      <c r="Q94" s="578"/>
      <c r="R94" s="578"/>
      <c r="S94" s="578"/>
      <c r="T94" s="578"/>
      <c r="U94" s="578"/>
      <c r="V94" s="578"/>
      <c r="W94" s="578"/>
      <c r="X94" s="578"/>
      <c r="Y94" s="578"/>
      <c r="Z94" s="578"/>
      <c r="AA94" s="578"/>
      <c r="AB94" s="578"/>
      <c r="AC94" s="578"/>
      <c r="AD94" s="578"/>
      <c r="AE94" s="578"/>
      <c r="AF94" s="578"/>
      <c r="AG94" s="578"/>
      <c r="AH94" s="578"/>
      <c r="AI94" s="578"/>
      <c r="AJ94" s="580"/>
      <c r="AK94" s="544"/>
      <c r="AL94" s="541"/>
      <c r="AM94" s="541"/>
      <c r="AN94" s="536"/>
    </row>
    <row r="95" spans="1:43" s="537" customFormat="1" ht="12.75" customHeight="1">
      <c r="A95" s="539"/>
      <c r="B95" s="540"/>
      <c r="C95" s="540"/>
      <c r="D95" s="540"/>
      <c r="E95" s="2627">
        <f>IF(E94*200&gt;20,20,E94*200)</f>
        <v>20</v>
      </c>
      <c r="F95" s="2628"/>
      <c r="G95" s="2628"/>
      <c r="H95" s="2628"/>
      <c r="I95" s="578"/>
      <c r="J95" s="581" t="s">
        <v>1328</v>
      </c>
      <c r="K95" s="578"/>
      <c r="L95" s="578"/>
      <c r="M95" s="578"/>
      <c r="N95" s="578"/>
      <c r="O95" s="578"/>
      <c r="P95" s="578"/>
      <c r="Q95" s="578"/>
      <c r="R95" s="578"/>
      <c r="S95" s="578"/>
      <c r="T95" s="578"/>
      <c r="U95" s="578"/>
      <c r="V95" s="578"/>
      <c r="W95" s="578"/>
      <c r="X95" s="578"/>
      <c r="Y95" s="578"/>
      <c r="Z95" s="578"/>
      <c r="AA95" s="578"/>
      <c r="AB95" s="578"/>
      <c r="AC95" s="578"/>
      <c r="AD95" s="578"/>
      <c r="AE95" s="578"/>
      <c r="AF95" s="578"/>
      <c r="AG95" s="578"/>
      <c r="AH95" s="578"/>
      <c r="AI95" s="578"/>
      <c r="AJ95" s="580"/>
      <c r="AK95" s="544"/>
      <c r="AL95" s="541"/>
      <c r="AM95" s="541"/>
      <c r="AN95" s="536"/>
      <c r="AP95" s="537">
        <f>IF(B90="yes",E95,0)</f>
        <v>0</v>
      </c>
      <c r="AQ95" s="537" t="s">
        <v>1308</v>
      </c>
    </row>
    <row r="96" spans="1:43" s="537" customFormat="1" ht="12.75" customHeight="1">
      <c r="A96" s="539"/>
      <c r="B96" s="540"/>
      <c r="C96" s="540"/>
      <c r="D96" s="540"/>
      <c r="E96" s="583"/>
      <c r="F96" s="584"/>
      <c r="G96" s="584"/>
      <c r="H96" s="584"/>
      <c r="I96" s="584"/>
      <c r="J96" s="584"/>
      <c r="K96" s="584"/>
      <c r="L96" s="584"/>
      <c r="M96" s="584"/>
      <c r="N96" s="584"/>
      <c r="O96" s="584"/>
      <c r="P96" s="584"/>
      <c r="Q96" s="584"/>
      <c r="R96" s="584"/>
      <c r="S96" s="584"/>
      <c r="T96" s="584"/>
      <c r="U96" s="584"/>
      <c r="V96" s="584"/>
      <c r="W96" s="584"/>
      <c r="X96" s="584"/>
      <c r="Y96" s="584"/>
      <c r="Z96" s="584"/>
      <c r="AA96" s="584"/>
      <c r="AB96" s="584"/>
      <c r="AC96" s="584"/>
      <c r="AD96" s="584"/>
      <c r="AE96" s="585"/>
      <c r="AF96" s="585"/>
      <c r="AG96" s="585"/>
      <c r="AH96" s="585"/>
      <c r="AI96" s="585"/>
      <c r="AJ96" s="586"/>
      <c r="AK96" s="544"/>
      <c r="AL96" s="541"/>
      <c r="AM96" s="541"/>
      <c r="AN96" s="536"/>
    </row>
    <row r="97" spans="1:47" s="537" customFormat="1" ht="12.75" customHeight="1">
      <c r="A97" s="539"/>
      <c r="B97" s="540"/>
      <c r="C97" s="540"/>
      <c r="D97" s="540"/>
      <c r="E97" s="540"/>
      <c r="F97" s="540"/>
      <c r="G97" s="540"/>
      <c r="H97" s="540"/>
      <c r="I97" s="540"/>
      <c r="J97" s="540"/>
      <c r="K97" s="540"/>
      <c r="L97" s="540"/>
      <c r="M97" s="540"/>
      <c r="N97" s="540"/>
      <c r="O97" s="540"/>
      <c r="P97" s="540"/>
      <c r="Q97" s="540"/>
      <c r="R97" s="540"/>
      <c r="S97" s="540"/>
      <c r="T97" s="540"/>
      <c r="U97" s="540"/>
      <c r="V97" s="540"/>
      <c r="W97" s="540"/>
      <c r="X97" s="540"/>
      <c r="Y97" s="540"/>
      <c r="Z97" s="540"/>
      <c r="AA97" s="540"/>
      <c r="AB97" s="540"/>
      <c r="AC97" s="540"/>
      <c r="AD97" s="540"/>
      <c r="AE97" s="544"/>
      <c r="AF97" s="544"/>
      <c r="AG97" s="544"/>
      <c r="AH97" s="544"/>
      <c r="AI97" s="544"/>
      <c r="AJ97" s="544"/>
      <c r="AK97" s="544"/>
      <c r="AL97" s="541"/>
      <c r="AM97" s="541"/>
      <c r="AN97" s="536"/>
    </row>
    <row r="98" spans="1:47" s="537" customFormat="1" ht="12.75" customHeight="1">
      <c r="A98" s="539"/>
      <c r="B98" s="2623" t="s">
        <v>545</v>
      </c>
      <c r="C98" s="2623"/>
      <c r="D98" s="548" t="s">
        <v>1317</v>
      </c>
      <c r="E98" s="2615" t="s">
        <v>1725</v>
      </c>
      <c r="F98" s="2616"/>
      <c r="G98" s="2616"/>
      <c r="H98" s="2616"/>
      <c r="I98" s="2616"/>
      <c r="J98" s="2616"/>
      <c r="K98" s="2616"/>
      <c r="L98" s="2616"/>
      <c r="M98" s="2616"/>
      <c r="N98" s="2616"/>
      <c r="O98" s="2616"/>
      <c r="P98" s="2616"/>
      <c r="Q98" s="2616"/>
      <c r="R98" s="2616"/>
      <c r="S98" s="2616"/>
      <c r="T98" s="2616"/>
      <c r="U98" s="2616"/>
      <c r="V98" s="2616"/>
      <c r="W98" s="2616"/>
      <c r="X98" s="2616"/>
      <c r="Y98" s="2616"/>
      <c r="Z98" s="2616"/>
      <c r="AA98" s="2616"/>
      <c r="AB98" s="2616"/>
      <c r="AC98" s="2616"/>
      <c r="AD98" s="2616"/>
      <c r="AE98" s="2616"/>
      <c r="AF98" s="2616"/>
      <c r="AG98" s="2616"/>
      <c r="AH98" s="2616"/>
      <c r="AI98" s="2616"/>
      <c r="AJ98" s="2617"/>
      <c r="AK98" s="544"/>
      <c r="AL98" s="541"/>
      <c r="AM98" s="541"/>
      <c r="AN98" s="536"/>
    </row>
    <row r="99" spans="1:47" s="537" customFormat="1" ht="12.75" customHeight="1">
      <c r="A99" s="539"/>
      <c r="B99" s="540"/>
      <c r="C99" s="540"/>
      <c r="D99" s="540"/>
      <c r="E99" s="2618"/>
      <c r="F99" s="2619"/>
      <c r="G99" s="2619"/>
      <c r="H99" s="2619"/>
      <c r="I99" s="2619"/>
      <c r="J99" s="2619"/>
      <c r="K99" s="2619"/>
      <c r="L99" s="2619"/>
      <c r="M99" s="2619"/>
      <c r="N99" s="2619"/>
      <c r="O99" s="2619"/>
      <c r="P99" s="2619"/>
      <c r="Q99" s="2619"/>
      <c r="R99" s="2619"/>
      <c r="S99" s="2619"/>
      <c r="T99" s="2619"/>
      <c r="U99" s="2619"/>
      <c r="V99" s="2619"/>
      <c r="W99" s="2619"/>
      <c r="X99" s="2619"/>
      <c r="Y99" s="2619"/>
      <c r="Z99" s="2619"/>
      <c r="AA99" s="2619"/>
      <c r="AB99" s="2619"/>
      <c r="AC99" s="2619"/>
      <c r="AD99" s="2619"/>
      <c r="AE99" s="2619"/>
      <c r="AF99" s="2619"/>
      <c r="AG99" s="2619"/>
      <c r="AH99" s="2619"/>
      <c r="AI99" s="2619"/>
      <c r="AJ99" s="2620"/>
      <c r="AK99" s="544"/>
      <c r="AL99" s="541"/>
      <c r="AM99" s="541"/>
      <c r="AN99" s="536"/>
    </row>
    <row r="100" spans="1:47" s="537" customFormat="1" ht="12.75" customHeight="1">
      <c r="A100" s="539"/>
      <c r="B100" s="540"/>
      <c r="C100" s="540"/>
      <c r="D100" s="540"/>
      <c r="E100" s="2618"/>
      <c r="F100" s="2619"/>
      <c r="G100" s="2619"/>
      <c r="H100" s="2619"/>
      <c r="I100" s="2619"/>
      <c r="J100" s="2619"/>
      <c r="K100" s="2619"/>
      <c r="L100" s="2619"/>
      <c r="M100" s="2619"/>
      <c r="N100" s="2619"/>
      <c r="O100" s="2619"/>
      <c r="P100" s="2619"/>
      <c r="Q100" s="2619"/>
      <c r="R100" s="2619"/>
      <c r="S100" s="2619"/>
      <c r="T100" s="2619"/>
      <c r="U100" s="2619"/>
      <c r="V100" s="2619"/>
      <c r="W100" s="2619"/>
      <c r="X100" s="2619"/>
      <c r="Y100" s="2619"/>
      <c r="Z100" s="2619"/>
      <c r="AA100" s="2619"/>
      <c r="AB100" s="2619"/>
      <c r="AC100" s="2619"/>
      <c r="AD100" s="2619"/>
      <c r="AE100" s="2619"/>
      <c r="AF100" s="2619"/>
      <c r="AG100" s="2619"/>
      <c r="AH100" s="2619"/>
      <c r="AI100" s="2619"/>
      <c r="AJ100" s="2620"/>
      <c r="AK100" s="544"/>
      <c r="AL100" s="541"/>
      <c r="AM100" s="541"/>
      <c r="AN100" s="536"/>
    </row>
    <row r="101" spans="1:47" s="537" customFormat="1" ht="12.75" customHeight="1">
      <c r="A101" s="539"/>
      <c r="B101" s="540"/>
      <c r="C101" s="540"/>
      <c r="D101" s="540"/>
      <c r="E101" s="2618"/>
      <c r="F101" s="2619"/>
      <c r="G101" s="2619"/>
      <c r="H101" s="2619"/>
      <c r="I101" s="2619"/>
      <c r="J101" s="2619"/>
      <c r="K101" s="2619"/>
      <c r="L101" s="2619"/>
      <c r="M101" s="2619"/>
      <c r="N101" s="2619"/>
      <c r="O101" s="2619"/>
      <c r="P101" s="2619"/>
      <c r="Q101" s="2619"/>
      <c r="R101" s="2619"/>
      <c r="S101" s="2619"/>
      <c r="T101" s="2619"/>
      <c r="U101" s="2619"/>
      <c r="V101" s="2619"/>
      <c r="W101" s="2619"/>
      <c r="X101" s="2619"/>
      <c r="Y101" s="2619"/>
      <c r="Z101" s="2619"/>
      <c r="AA101" s="2619"/>
      <c r="AB101" s="2619"/>
      <c r="AC101" s="2619"/>
      <c r="AD101" s="2619"/>
      <c r="AE101" s="2619"/>
      <c r="AF101" s="2619"/>
      <c r="AG101" s="2619"/>
      <c r="AH101" s="2619"/>
      <c r="AI101" s="2619"/>
      <c r="AJ101" s="2620"/>
      <c r="AK101" s="544"/>
      <c r="AL101" s="541"/>
      <c r="AM101" s="541"/>
      <c r="AN101" s="536"/>
    </row>
    <row r="102" spans="1:47" s="537" customFormat="1" ht="12.75" customHeight="1">
      <c r="A102" s="539"/>
      <c r="B102" s="540"/>
      <c r="C102" s="540"/>
      <c r="D102" s="540"/>
      <c r="E102" s="587"/>
      <c r="F102" s="554"/>
      <c r="G102" s="554"/>
      <c r="H102" s="554"/>
      <c r="I102" s="554"/>
      <c r="J102" s="554"/>
      <c r="K102" s="554"/>
      <c r="L102" s="554"/>
      <c r="M102" s="554"/>
      <c r="N102" s="554"/>
      <c r="O102" s="554"/>
      <c r="P102" s="554"/>
      <c r="Q102" s="554"/>
      <c r="R102" s="554"/>
      <c r="S102" s="554"/>
      <c r="T102" s="554"/>
      <c r="U102" s="554"/>
      <c r="V102" s="554"/>
      <c r="W102" s="554"/>
      <c r="X102" s="554"/>
      <c r="Y102" s="554"/>
      <c r="Z102" s="554"/>
      <c r="AA102" s="554"/>
      <c r="AB102" s="554"/>
      <c r="AC102" s="554"/>
      <c r="AD102" s="554"/>
      <c r="AE102" s="554"/>
      <c r="AF102" s="554"/>
      <c r="AG102" s="554"/>
      <c r="AH102" s="554"/>
      <c r="AI102" s="554"/>
      <c r="AJ102" s="555"/>
      <c r="AK102" s="544"/>
      <c r="AL102" s="541"/>
      <c r="AM102" s="541"/>
      <c r="AN102" s="536"/>
    </row>
    <row r="103" spans="1:47" s="537" customFormat="1" ht="12.75" customHeight="1">
      <c r="A103" s="539"/>
      <c r="B103" s="540"/>
      <c r="C103" s="540"/>
      <c r="D103" s="540"/>
      <c r="E103" s="2611">
        <f>Application!AC753</f>
        <v>0.42321428571428565</v>
      </c>
      <c r="F103" s="2612"/>
      <c r="G103" s="2612"/>
      <c r="H103" s="2612"/>
      <c r="I103" s="578"/>
      <c r="J103" s="581" t="s">
        <v>1326</v>
      </c>
      <c r="K103" s="578"/>
      <c r="L103" s="578"/>
      <c r="M103" s="578"/>
      <c r="N103" s="578"/>
      <c r="O103" s="578"/>
      <c r="P103" s="578"/>
      <c r="Q103" s="578"/>
      <c r="R103" s="554"/>
      <c r="S103" s="554"/>
      <c r="T103" s="554"/>
      <c r="U103" s="554"/>
      <c r="V103" s="554"/>
      <c r="W103" s="554"/>
      <c r="X103" s="554"/>
      <c r="Y103" s="554"/>
      <c r="Z103" s="554"/>
      <c r="AA103" s="554"/>
      <c r="AB103" s="554"/>
      <c r="AC103" s="554"/>
      <c r="AD103" s="554"/>
      <c r="AE103" s="554"/>
      <c r="AF103" s="554"/>
      <c r="AG103" s="554"/>
      <c r="AH103" s="554"/>
      <c r="AI103" s="554"/>
      <c r="AJ103" s="555"/>
      <c r="AK103" s="544"/>
      <c r="AL103" s="541"/>
      <c r="AM103" s="541"/>
      <c r="AN103" s="536"/>
    </row>
    <row r="104" spans="1:47" s="537" customFormat="1" ht="12.75" customHeight="1">
      <c r="A104" s="539"/>
      <c r="B104" s="540"/>
      <c r="C104" s="540"/>
      <c r="D104" s="540"/>
      <c r="E104" s="2611">
        <f ca="1">SUMIF(Application!AC718:AG752,0.2,Application!G718:J752)/Application!G753+SUMIF(Application!AC718:AG752,0.25,Application!G718:J752)/Application!G753+SUMIF(Application!AC718:AG752,0.3,Application!G718:J752)/Application!G753</f>
        <v>0.30952380952380953</v>
      </c>
      <c r="F104" s="2612"/>
      <c r="G104" s="2612"/>
      <c r="H104" s="2612"/>
      <c r="I104" s="578"/>
      <c r="J104" s="581" t="s">
        <v>1329</v>
      </c>
      <c r="K104" s="578"/>
      <c r="L104" s="578"/>
      <c r="M104" s="578"/>
      <c r="N104" s="578"/>
      <c r="O104" s="578"/>
      <c r="P104" s="578"/>
      <c r="Q104" s="578"/>
      <c r="R104" s="554"/>
      <c r="S104" s="554"/>
      <c r="T104" s="554"/>
      <c r="U104" s="554"/>
      <c r="V104" s="554"/>
      <c r="W104" s="554"/>
      <c r="X104" s="554"/>
      <c r="Y104" s="554"/>
      <c r="Z104" s="554"/>
      <c r="AA104" s="554"/>
      <c r="AB104" s="554"/>
      <c r="AC104" s="554"/>
      <c r="AD104" s="554"/>
      <c r="AE104" s="554"/>
      <c r="AF104" s="554"/>
      <c r="AG104" s="554"/>
      <c r="AH104" s="554"/>
      <c r="AI104" s="554"/>
      <c r="AJ104" s="555"/>
      <c r="AK104" s="544"/>
      <c r="AL104" s="541"/>
      <c r="AM104" s="541"/>
      <c r="AN104" s="536"/>
      <c r="AU104" s="863"/>
    </row>
    <row r="105" spans="1:47" s="537" customFormat="1" ht="12.75" customHeight="1">
      <c r="A105" s="539"/>
      <c r="B105" s="540"/>
      <c r="C105" s="540"/>
      <c r="D105" s="540"/>
      <c r="E105" s="2611">
        <f ca="1">SUMIF(Application!AC718:AG752,0.35,Application!G718:J752)/Application!G753+SUMIF(Application!AC718:AG752,0.4,Application!G718:J752)/Application!G753+SUMIF(Application!AC718:AG752,0.45,Application!G718:J752)/Application!G753+SUMIF(Application!AC718:AG752,0.5,Application!G718:J752)/Application!G753</f>
        <v>0.69047619047619047</v>
      </c>
      <c r="F105" s="2612"/>
      <c r="G105" s="2612"/>
      <c r="H105" s="2612"/>
      <c r="I105" s="578"/>
      <c r="J105" s="581" t="s">
        <v>1330</v>
      </c>
      <c r="K105" s="578"/>
      <c r="L105" s="578"/>
      <c r="M105" s="578"/>
      <c r="N105" s="578"/>
      <c r="O105" s="578"/>
      <c r="P105" s="578"/>
      <c r="Q105" s="578"/>
      <c r="R105" s="554"/>
      <c r="S105" s="554"/>
      <c r="T105" s="554"/>
      <c r="U105" s="554"/>
      <c r="V105" s="554"/>
      <c r="W105" s="554"/>
      <c r="X105" s="554"/>
      <c r="Y105" s="554"/>
      <c r="Z105" s="554"/>
      <c r="AA105" s="554"/>
      <c r="AB105" s="554"/>
      <c r="AC105" s="554"/>
      <c r="AD105" s="554"/>
      <c r="AE105" s="554"/>
      <c r="AF105" s="554"/>
      <c r="AG105" s="554"/>
      <c r="AH105" s="554"/>
      <c r="AI105" s="554"/>
      <c r="AJ105" s="555"/>
      <c r="AK105" s="544"/>
      <c r="AL105" s="541"/>
      <c r="AM105" s="541"/>
      <c r="AN105" s="536"/>
      <c r="AU105" s="863"/>
    </row>
    <row r="106" spans="1:47" s="537" customFormat="1" ht="12.75" customHeight="1">
      <c r="A106" s="539"/>
      <c r="B106" s="540"/>
      <c r="C106" s="540"/>
      <c r="D106" s="540"/>
      <c r="E106" s="2609">
        <f ca="1">IF(AND(E103&lt;=0.6,OR(AND(E104&gt;=0.1,E105&gt;=0.1),AND(E104&gt;0.1,(E104+E105)&gt;=0.2))),20,0)</f>
        <v>20</v>
      </c>
      <c r="F106" s="2610"/>
      <c r="G106" s="2610"/>
      <c r="H106" s="2610"/>
      <c r="I106" s="554"/>
      <c r="J106" s="588" t="s">
        <v>1328</v>
      </c>
      <c r="K106" s="554"/>
      <c r="L106" s="554"/>
      <c r="M106" s="554"/>
      <c r="N106" s="554"/>
      <c r="O106" s="554"/>
      <c r="P106" s="554"/>
      <c r="Q106" s="554"/>
      <c r="R106" s="554"/>
      <c r="S106" s="554"/>
      <c r="T106" s="554"/>
      <c r="U106" s="554"/>
      <c r="V106" s="554"/>
      <c r="W106" s="554"/>
      <c r="X106" s="554"/>
      <c r="Y106" s="554"/>
      <c r="Z106" s="554"/>
      <c r="AA106" s="554"/>
      <c r="AB106" s="554"/>
      <c r="AC106" s="554"/>
      <c r="AD106" s="554"/>
      <c r="AE106" s="554"/>
      <c r="AF106" s="554"/>
      <c r="AG106" s="554"/>
      <c r="AH106" s="554"/>
      <c r="AI106" s="554"/>
      <c r="AJ106" s="555"/>
      <c r="AK106" s="544"/>
      <c r="AL106" s="541"/>
      <c r="AM106" s="541"/>
      <c r="AN106" s="536"/>
      <c r="AP106" s="537">
        <f ca="1">IF(B98="yes",E106,0)</f>
        <v>20</v>
      </c>
      <c r="AQ106" s="537" t="s">
        <v>1308</v>
      </c>
    </row>
    <row r="107" spans="1:47" s="537" customFormat="1" ht="12.75" customHeight="1">
      <c r="A107" s="539"/>
      <c r="B107" s="540"/>
      <c r="C107" s="540"/>
      <c r="D107" s="540"/>
      <c r="E107" s="583"/>
      <c r="F107" s="584"/>
      <c r="G107" s="584"/>
      <c r="H107" s="584"/>
      <c r="I107" s="584"/>
      <c r="J107" s="584"/>
      <c r="K107" s="584"/>
      <c r="L107" s="584"/>
      <c r="M107" s="584"/>
      <c r="N107" s="584"/>
      <c r="O107" s="584"/>
      <c r="P107" s="584"/>
      <c r="Q107" s="584"/>
      <c r="R107" s="584"/>
      <c r="S107" s="584"/>
      <c r="T107" s="584"/>
      <c r="U107" s="584"/>
      <c r="V107" s="584"/>
      <c r="W107" s="584"/>
      <c r="X107" s="584"/>
      <c r="Y107" s="584"/>
      <c r="Z107" s="584"/>
      <c r="AA107" s="584"/>
      <c r="AB107" s="584"/>
      <c r="AC107" s="584"/>
      <c r="AD107" s="584"/>
      <c r="AE107" s="585"/>
      <c r="AF107" s="585"/>
      <c r="AG107" s="585"/>
      <c r="AH107" s="585"/>
      <c r="AI107" s="585"/>
      <c r="AJ107" s="586"/>
      <c r="AK107" s="544"/>
      <c r="AL107" s="541"/>
      <c r="AM107" s="541"/>
      <c r="AN107" s="536"/>
    </row>
    <row r="108" spans="1:47" s="537" customFormat="1" ht="12.75" customHeight="1">
      <c r="A108" s="539"/>
      <c r="B108" s="540"/>
      <c r="C108" s="540"/>
      <c r="D108" s="540"/>
      <c r="E108" s="540"/>
      <c r="F108" s="540"/>
      <c r="G108" s="540"/>
      <c r="H108" s="540"/>
      <c r="I108" s="540"/>
      <c r="J108" s="540"/>
      <c r="K108" s="540"/>
      <c r="L108" s="540"/>
      <c r="M108" s="540"/>
      <c r="N108" s="540"/>
      <c r="O108" s="540"/>
      <c r="P108" s="540"/>
      <c r="Q108" s="540"/>
      <c r="R108" s="540"/>
      <c r="S108" s="540"/>
      <c r="T108" s="540"/>
      <c r="U108" s="540"/>
      <c r="V108" s="540"/>
      <c r="W108" s="540"/>
      <c r="X108" s="540"/>
      <c r="Y108" s="540"/>
      <c r="Z108" s="540"/>
      <c r="AA108" s="540"/>
      <c r="AB108" s="540"/>
      <c r="AC108" s="540"/>
      <c r="AD108" s="540"/>
      <c r="AE108" s="544"/>
      <c r="AF108" s="544"/>
      <c r="AG108" s="544"/>
      <c r="AH108" s="544"/>
      <c r="AI108" s="544"/>
      <c r="AJ108" s="544"/>
      <c r="AK108" s="544"/>
      <c r="AL108" s="541"/>
      <c r="AM108" s="541"/>
      <c r="AN108" s="536"/>
    </row>
    <row r="109" spans="1:47" s="537" customFormat="1" ht="12.75" customHeight="1">
      <c r="A109" s="562"/>
      <c r="B109" s="563"/>
      <c r="C109" s="563"/>
      <c r="D109" s="563"/>
      <c r="E109" s="563"/>
      <c r="F109" s="563"/>
      <c r="G109" s="564"/>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565"/>
      <c r="AG109" s="565"/>
      <c r="AH109" s="565"/>
      <c r="AI109" s="566"/>
      <c r="AJ109" s="566" t="s">
        <v>1331</v>
      </c>
      <c r="AK109" s="2596">
        <f ca="1">MAX(AP95,AP106)</f>
        <v>20</v>
      </c>
      <c r="AL109" s="2597"/>
      <c r="AM109" s="2598"/>
      <c r="AN109" s="536"/>
    </row>
    <row r="110" spans="1:47" s="537" customFormat="1" ht="12.75" customHeight="1" thickBot="1">
      <c r="A110" s="567"/>
      <c r="B110" s="568"/>
      <c r="C110" s="569"/>
      <c r="D110" s="569"/>
      <c r="E110" s="569"/>
      <c r="F110" s="569"/>
      <c r="G110" s="569"/>
      <c r="H110" s="569"/>
      <c r="I110" s="569"/>
      <c r="J110" s="569"/>
      <c r="K110" s="569"/>
      <c r="L110" s="569"/>
      <c r="M110" s="569"/>
      <c r="N110" s="569"/>
      <c r="O110" s="569"/>
      <c r="P110" s="569"/>
      <c r="Q110" s="569"/>
      <c r="R110" s="569"/>
      <c r="S110" s="569"/>
      <c r="T110" s="569"/>
      <c r="U110" s="569"/>
      <c r="V110" s="569"/>
      <c r="W110" s="569"/>
      <c r="X110" s="569"/>
      <c r="Y110" s="569"/>
      <c r="Z110" s="569"/>
      <c r="AA110" s="569"/>
      <c r="AB110" s="569"/>
      <c r="AC110" s="569"/>
      <c r="AD110" s="569"/>
      <c r="AE110" s="569"/>
      <c r="AF110" s="569"/>
      <c r="AG110" s="569"/>
      <c r="AH110" s="569"/>
      <c r="AI110" s="569"/>
      <c r="AJ110" s="569"/>
      <c r="AK110" s="569"/>
      <c r="AL110" s="569"/>
      <c r="AM110" s="570"/>
      <c r="AN110" s="536"/>
    </row>
    <row r="111" spans="1:47" s="537" customFormat="1" ht="12.75" customHeight="1" thickTop="1">
      <c r="A111" s="571"/>
      <c r="B111" s="572"/>
      <c r="C111" s="573"/>
      <c r="D111" s="573"/>
      <c r="E111" s="573"/>
      <c r="F111" s="573"/>
      <c r="G111" s="573"/>
      <c r="H111" s="573"/>
      <c r="I111" s="574"/>
      <c r="J111" s="574"/>
      <c r="K111" s="574"/>
      <c r="L111" s="574"/>
      <c r="M111" s="574"/>
      <c r="N111" s="574"/>
      <c r="O111" s="574"/>
      <c r="P111" s="574"/>
      <c r="Q111" s="574"/>
      <c r="R111" s="571"/>
      <c r="S111" s="540"/>
      <c r="T111" s="540"/>
      <c r="U111" s="540"/>
      <c r="V111" s="540"/>
      <c r="W111" s="540"/>
      <c r="X111" s="540"/>
      <c r="Y111" s="540"/>
      <c r="Z111" s="540"/>
      <c r="AA111" s="540"/>
      <c r="AB111" s="540"/>
      <c r="AC111" s="540"/>
      <c r="AD111" s="540"/>
      <c r="AE111" s="540"/>
      <c r="AF111" s="571"/>
      <c r="AG111" s="540"/>
      <c r="AH111" s="540"/>
      <c r="AI111" s="540"/>
      <c r="AJ111" s="540"/>
      <c r="AK111" s="551"/>
      <c r="AL111" s="551"/>
      <c r="AM111" s="551"/>
      <c r="AN111" s="536"/>
    </row>
    <row r="112" spans="1:47" s="537" customFormat="1" ht="12.75" customHeight="1">
      <c r="A112" s="539" t="s">
        <v>1332</v>
      </c>
      <c r="B112" s="540" t="s">
        <v>1333</v>
      </c>
      <c r="C112" s="540"/>
      <c r="D112" s="540"/>
      <c r="E112" s="540"/>
      <c r="F112" s="540"/>
      <c r="G112" s="540"/>
      <c r="H112" s="540"/>
      <c r="I112" s="540"/>
      <c r="J112" s="540"/>
      <c r="K112" s="540"/>
      <c r="L112" s="540"/>
      <c r="M112" s="540"/>
      <c r="N112" s="540"/>
      <c r="O112" s="540"/>
      <c r="P112" s="540"/>
      <c r="Q112" s="540"/>
      <c r="R112" s="540"/>
      <c r="S112" s="540"/>
      <c r="T112" s="540"/>
      <c r="U112" s="540"/>
      <c r="V112" s="540"/>
      <c r="W112" s="540"/>
      <c r="X112" s="540"/>
      <c r="Y112" s="540"/>
      <c r="Z112" s="540"/>
      <c r="AA112" s="540"/>
      <c r="AB112" s="540"/>
      <c r="AC112" s="540"/>
      <c r="AD112" s="540"/>
      <c r="AE112" s="2470" t="s">
        <v>1314</v>
      </c>
      <c r="AF112" s="2470"/>
      <c r="AG112" s="2470"/>
      <c r="AH112" s="2470"/>
      <c r="AI112" s="2470"/>
      <c r="AJ112" s="2470"/>
      <c r="AK112" s="2470"/>
      <c r="AL112" s="541"/>
      <c r="AM112" s="541"/>
      <c r="AN112" s="536"/>
      <c r="AO112" s="537" t="str">
        <f>Application!B718</f>
        <v>SRO/Studio</v>
      </c>
      <c r="AQ112" s="537">
        <f>Application!O718</f>
        <v>672</v>
      </c>
    </row>
    <row r="113" spans="1:52" s="537" customFormat="1" ht="12.75" customHeight="1">
      <c r="A113" s="541"/>
      <c r="B113" s="540" t="s">
        <v>1324</v>
      </c>
      <c r="C113" s="540"/>
      <c r="D113" s="540"/>
      <c r="E113" s="540"/>
      <c r="F113" s="540"/>
      <c r="G113" s="540"/>
      <c r="H113" s="540"/>
      <c r="I113" s="540"/>
      <c r="J113" s="540"/>
      <c r="K113" s="540"/>
      <c r="L113" s="540"/>
      <c r="M113" s="540"/>
      <c r="N113" s="540"/>
      <c r="O113" s="540"/>
      <c r="P113" s="540"/>
      <c r="Q113" s="540"/>
      <c r="R113" s="540"/>
      <c r="S113" s="540"/>
      <c r="T113" s="540"/>
      <c r="U113" s="540"/>
      <c r="V113" s="540"/>
      <c r="W113" s="540"/>
      <c r="X113" s="540"/>
      <c r="Y113" s="540"/>
      <c r="Z113" s="540"/>
      <c r="AA113" s="540"/>
      <c r="AB113" s="540"/>
      <c r="AC113" s="540"/>
      <c r="AD113" s="540"/>
      <c r="AE113" s="544"/>
      <c r="AF113" s="544"/>
      <c r="AG113" s="544"/>
      <c r="AH113" s="544"/>
      <c r="AI113" s="544"/>
      <c r="AJ113" s="544"/>
      <c r="AK113" s="541"/>
      <c r="AL113" s="541"/>
      <c r="AM113" s="541"/>
      <c r="AN113" s="536"/>
      <c r="AO113" s="537" t="str">
        <f>Application!B719</f>
        <v>SRO/Studio</v>
      </c>
      <c r="AQ113" s="537">
        <f>Application!O719</f>
        <v>828</v>
      </c>
    </row>
    <row r="114" spans="1:52" s="537" customFormat="1" ht="12.75" customHeight="1">
      <c r="A114" s="541"/>
      <c r="B114" s="540"/>
      <c r="C114" s="540"/>
      <c r="D114" s="540"/>
      <c r="E114" s="578"/>
      <c r="F114" s="578"/>
      <c r="G114" s="578"/>
      <c r="H114" s="578"/>
      <c r="I114" s="578"/>
      <c r="J114" s="578"/>
      <c r="K114" s="578"/>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41"/>
      <c r="AL114" s="541"/>
      <c r="AM114" s="541"/>
      <c r="AN114" s="536"/>
      <c r="AO114" s="537" t="str">
        <f>Application!B720</f>
        <v>SRO/Studio</v>
      </c>
      <c r="AQ114" s="537">
        <f>Application!O720</f>
        <v>1297</v>
      </c>
    </row>
    <row r="115" spans="1:52" s="537" customFormat="1" ht="12.75" customHeight="1">
      <c r="A115" s="541"/>
      <c r="B115" s="2623" t="s">
        <v>545</v>
      </c>
      <c r="C115" s="2623"/>
      <c r="D115" s="548" t="s">
        <v>1315</v>
      </c>
      <c r="E115" s="2615" t="s">
        <v>1858</v>
      </c>
      <c r="F115" s="2616"/>
      <c r="G115" s="2616"/>
      <c r="H115" s="2616"/>
      <c r="I115" s="2616"/>
      <c r="J115" s="2616"/>
      <c r="K115" s="2616"/>
      <c r="L115" s="2616"/>
      <c r="M115" s="2616"/>
      <c r="N115" s="2616"/>
      <c r="O115" s="2616"/>
      <c r="P115" s="2616"/>
      <c r="Q115" s="2616"/>
      <c r="R115" s="2616"/>
      <c r="S115" s="2616"/>
      <c r="T115" s="2616"/>
      <c r="U115" s="2616"/>
      <c r="V115" s="2616"/>
      <c r="W115" s="2616"/>
      <c r="X115" s="2616"/>
      <c r="Y115" s="2616"/>
      <c r="Z115" s="2616"/>
      <c r="AA115" s="2616"/>
      <c r="AB115" s="2616"/>
      <c r="AC115" s="2616"/>
      <c r="AD115" s="2616"/>
      <c r="AE115" s="2616"/>
      <c r="AF115" s="2616"/>
      <c r="AG115" s="2616"/>
      <c r="AH115" s="2616"/>
      <c r="AI115" s="2616"/>
      <c r="AJ115" s="2617"/>
      <c r="AK115" s="541"/>
      <c r="AL115" s="541"/>
      <c r="AM115" s="541"/>
      <c r="AN115" s="536"/>
      <c r="AO115" s="537" t="str">
        <f>Application!B721</f>
        <v>1 Bedroom</v>
      </c>
      <c r="AQ115" s="537">
        <f>Application!O721</f>
        <v>712</v>
      </c>
      <c r="AU115" s="537" t="s">
        <v>1840</v>
      </c>
      <c r="AV115" s="596" t="s">
        <v>1841</v>
      </c>
      <c r="AW115" s="537" t="s">
        <v>1842</v>
      </c>
    </row>
    <row r="116" spans="1:52" s="537" customFormat="1" ht="12.75" customHeight="1">
      <c r="A116" s="541"/>
      <c r="B116" s="540"/>
      <c r="C116" s="540"/>
      <c r="D116" s="540"/>
      <c r="E116" s="2618"/>
      <c r="F116" s="2619"/>
      <c r="G116" s="2619"/>
      <c r="H116" s="2619"/>
      <c r="I116" s="2619"/>
      <c r="J116" s="2619"/>
      <c r="K116" s="2619"/>
      <c r="L116" s="2619"/>
      <c r="M116" s="2619"/>
      <c r="N116" s="2619"/>
      <c r="O116" s="2619"/>
      <c r="P116" s="2619"/>
      <c r="Q116" s="2619"/>
      <c r="R116" s="2619"/>
      <c r="S116" s="2619"/>
      <c r="T116" s="2619"/>
      <c r="U116" s="2619"/>
      <c r="V116" s="2619"/>
      <c r="W116" s="2619"/>
      <c r="X116" s="2619"/>
      <c r="Y116" s="2619"/>
      <c r="Z116" s="2619"/>
      <c r="AA116" s="2619"/>
      <c r="AB116" s="2619"/>
      <c r="AC116" s="2619"/>
      <c r="AD116" s="2619"/>
      <c r="AE116" s="2619"/>
      <c r="AF116" s="2619"/>
      <c r="AG116" s="2619"/>
      <c r="AH116" s="2619"/>
      <c r="AI116" s="2619"/>
      <c r="AJ116" s="2620"/>
      <c r="AK116" s="541"/>
      <c r="AL116" s="541"/>
      <c r="AM116" s="541"/>
      <c r="AN116" s="536"/>
      <c r="AO116" s="537" t="str">
        <f>Application!B722</f>
        <v>1 Bedroom</v>
      </c>
      <c r="AQ116" s="537">
        <f>Application!O722</f>
        <v>879</v>
      </c>
      <c r="AU116" s="857" t="str">
        <f>E124</f>
        <v>Studio/SRO</v>
      </c>
      <c r="AV116" s="537">
        <f t="array" ref="AV116">SUM(IF(Application!B718:F752="SRO/Studio",Application!G718:J752))</f>
        <v>13</v>
      </c>
      <c r="AW116" s="1012">
        <f>AV116/AV122</f>
        <v>0.15476190476190477</v>
      </c>
    </row>
    <row r="117" spans="1:52" s="537" customFormat="1" ht="12.75" customHeight="1">
      <c r="A117" s="541"/>
      <c r="B117" s="540"/>
      <c r="C117" s="540"/>
      <c r="D117" s="540"/>
      <c r="E117" s="2618"/>
      <c r="F117" s="2619"/>
      <c r="G117" s="2619"/>
      <c r="H117" s="2619"/>
      <c r="I117" s="2619"/>
      <c r="J117" s="2619"/>
      <c r="K117" s="2619"/>
      <c r="L117" s="2619"/>
      <c r="M117" s="2619"/>
      <c r="N117" s="2619"/>
      <c r="O117" s="2619"/>
      <c r="P117" s="2619"/>
      <c r="Q117" s="2619"/>
      <c r="R117" s="2619"/>
      <c r="S117" s="2619"/>
      <c r="T117" s="2619"/>
      <c r="U117" s="2619"/>
      <c r="V117" s="2619"/>
      <c r="W117" s="2619"/>
      <c r="X117" s="2619"/>
      <c r="Y117" s="2619"/>
      <c r="Z117" s="2619"/>
      <c r="AA117" s="2619"/>
      <c r="AB117" s="2619"/>
      <c r="AC117" s="2619"/>
      <c r="AD117" s="2619"/>
      <c r="AE117" s="2619"/>
      <c r="AF117" s="2619"/>
      <c r="AG117" s="2619"/>
      <c r="AH117" s="2619"/>
      <c r="AI117" s="2619"/>
      <c r="AJ117" s="2620"/>
      <c r="AK117" s="541"/>
      <c r="AL117" s="541"/>
      <c r="AM117" s="541"/>
      <c r="AN117" s="536"/>
      <c r="AO117" s="537" t="str">
        <f>Application!B723</f>
        <v>1 Bedroom</v>
      </c>
      <c r="AQ117" s="537">
        <f>Application!O723</f>
        <v>1381</v>
      </c>
      <c r="AU117" s="857" t="str">
        <f>J124</f>
        <v>1-bedroom</v>
      </c>
      <c r="AV117" s="537">
        <f t="array" ref="AV117">SUM(IF(Application!B718:F752="1 Bedroom",Application!G718:J752))</f>
        <v>27</v>
      </c>
      <c r="AW117" s="1012">
        <f>AV117/AV122</f>
        <v>0.32142857142857145</v>
      </c>
    </row>
    <row r="118" spans="1:52" s="537" customFormat="1" ht="12.75" customHeight="1">
      <c r="A118" s="541"/>
      <c r="B118" s="540"/>
      <c r="C118" s="540"/>
      <c r="D118" s="540"/>
      <c r="E118" s="2618"/>
      <c r="F118" s="2619"/>
      <c r="G118" s="2619"/>
      <c r="H118" s="2619"/>
      <c r="I118" s="2619"/>
      <c r="J118" s="2619"/>
      <c r="K118" s="2619"/>
      <c r="L118" s="2619"/>
      <c r="M118" s="2619"/>
      <c r="N118" s="2619"/>
      <c r="O118" s="2619"/>
      <c r="P118" s="2619"/>
      <c r="Q118" s="2619"/>
      <c r="R118" s="2619"/>
      <c r="S118" s="2619"/>
      <c r="T118" s="2619"/>
      <c r="U118" s="2619"/>
      <c r="V118" s="2619"/>
      <c r="W118" s="2619"/>
      <c r="X118" s="2619"/>
      <c r="Y118" s="2619"/>
      <c r="Z118" s="2619"/>
      <c r="AA118" s="2619"/>
      <c r="AB118" s="2619"/>
      <c r="AC118" s="2619"/>
      <c r="AD118" s="2619"/>
      <c r="AE118" s="2619"/>
      <c r="AF118" s="2619"/>
      <c r="AG118" s="2619"/>
      <c r="AH118" s="2619"/>
      <c r="AI118" s="2619"/>
      <c r="AJ118" s="2620"/>
      <c r="AK118" s="541"/>
      <c r="AL118" s="541"/>
      <c r="AM118" s="541"/>
      <c r="AN118" s="536"/>
      <c r="AO118" s="537" t="str">
        <f>Application!B724</f>
        <v>1 Bedroom</v>
      </c>
      <c r="AQ118" s="537">
        <f>Application!O724</f>
        <v>1549</v>
      </c>
      <c r="AU118" s="857" t="str">
        <f>O124</f>
        <v>2-bedroom</v>
      </c>
      <c r="AV118" s="537">
        <f t="array" ref="AV118">SUM(IF(Application!B718:F752="2 Bedrooms",Application!G718:J752))</f>
        <v>15</v>
      </c>
      <c r="AW118" s="1012">
        <f>AV118/AV122</f>
        <v>0.17857142857142858</v>
      </c>
    </row>
    <row r="119" spans="1:52" s="537" customFormat="1" ht="12.75" customHeight="1">
      <c r="A119" s="541"/>
      <c r="B119" s="540"/>
      <c r="C119" s="540"/>
      <c r="D119" s="540"/>
      <c r="E119" s="2618"/>
      <c r="F119" s="2619"/>
      <c r="G119" s="2619"/>
      <c r="H119" s="2619"/>
      <c r="I119" s="2619"/>
      <c r="J119" s="2619"/>
      <c r="K119" s="2619"/>
      <c r="L119" s="2619"/>
      <c r="M119" s="2619"/>
      <c r="N119" s="2619"/>
      <c r="O119" s="2619"/>
      <c r="P119" s="2619"/>
      <c r="Q119" s="2619"/>
      <c r="R119" s="2619"/>
      <c r="S119" s="2619"/>
      <c r="T119" s="2619"/>
      <c r="U119" s="2619"/>
      <c r="V119" s="2619"/>
      <c r="W119" s="2619"/>
      <c r="X119" s="2619"/>
      <c r="Y119" s="2619"/>
      <c r="Z119" s="2619"/>
      <c r="AA119" s="2619"/>
      <c r="AB119" s="2619"/>
      <c r="AC119" s="2619"/>
      <c r="AD119" s="2619"/>
      <c r="AE119" s="2619"/>
      <c r="AF119" s="2619"/>
      <c r="AG119" s="2619"/>
      <c r="AH119" s="2619"/>
      <c r="AI119" s="2619"/>
      <c r="AJ119" s="2620"/>
      <c r="AK119" s="541"/>
      <c r="AL119" s="541"/>
      <c r="AM119" s="541"/>
      <c r="AN119" s="536"/>
      <c r="AO119" s="537" t="str">
        <f>Application!B725</f>
        <v>2 Bedrooms</v>
      </c>
      <c r="AQ119" s="537">
        <f>Application!O725</f>
        <v>831</v>
      </c>
      <c r="AU119" s="857" t="str">
        <f>T124</f>
        <v>3-bedroom</v>
      </c>
      <c r="AV119" s="537">
        <f t="array" ref="AV119">SUM(IF(Application!B718:F752="3 Bedrooms",Application!G718:J752))</f>
        <v>29</v>
      </c>
      <c r="AW119" s="1012">
        <f>AV119/AV122</f>
        <v>0.34523809523809523</v>
      </c>
    </row>
    <row r="120" spans="1:52" s="537" customFormat="1" ht="12.75" customHeight="1">
      <c r="A120" s="541"/>
      <c r="B120" s="540"/>
      <c r="C120" s="540"/>
      <c r="D120" s="540"/>
      <c r="E120" s="2618"/>
      <c r="F120" s="2619"/>
      <c r="G120" s="2619"/>
      <c r="H120" s="2619"/>
      <c r="I120" s="2619"/>
      <c r="J120" s="2619"/>
      <c r="K120" s="2619"/>
      <c r="L120" s="2619"/>
      <c r="M120" s="2619"/>
      <c r="N120" s="2619"/>
      <c r="O120" s="2619"/>
      <c r="P120" s="2619"/>
      <c r="Q120" s="2619"/>
      <c r="R120" s="2619"/>
      <c r="S120" s="2619"/>
      <c r="T120" s="2619"/>
      <c r="U120" s="2619"/>
      <c r="V120" s="2619"/>
      <c r="W120" s="2619"/>
      <c r="X120" s="2619"/>
      <c r="Y120" s="2619"/>
      <c r="Z120" s="2619"/>
      <c r="AA120" s="2619"/>
      <c r="AB120" s="2619"/>
      <c r="AC120" s="2619"/>
      <c r="AD120" s="2619"/>
      <c r="AE120" s="2619"/>
      <c r="AF120" s="2619"/>
      <c r="AG120" s="2619"/>
      <c r="AH120" s="2619"/>
      <c r="AI120" s="2619"/>
      <c r="AJ120" s="2620"/>
      <c r="AK120" s="541"/>
      <c r="AL120" s="541"/>
      <c r="AM120" s="541"/>
      <c r="AN120" s="536"/>
      <c r="AO120" s="537" t="str">
        <f>Application!B726</f>
        <v>2 Bedrooms</v>
      </c>
      <c r="AQ120" s="537">
        <f>Application!O726</f>
        <v>1032</v>
      </c>
      <c r="AU120" s="857" t="str">
        <f>Y124</f>
        <v>4-bedroom</v>
      </c>
      <c r="AV120" s="537">
        <f t="array" ref="AV120">SUM(IF(Application!B718:F752="4 Bedrooms",Application!G718:J752))</f>
        <v>0</v>
      </c>
      <c r="AW120" s="1012">
        <f>AV120/AV122</f>
        <v>0</v>
      </c>
    </row>
    <row r="121" spans="1:52" s="537" customFormat="1" ht="12.75" customHeight="1">
      <c r="A121" s="541"/>
      <c r="B121" s="540"/>
      <c r="C121" s="540"/>
      <c r="D121" s="540"/>
      <c r="E121" s="2618"/>
      <c r="F121" s="2619"/>
      <c r="G121" s="2619"/>
      <c r="H121" s="2619"/>
      <c r="I121" s="2619"/>
      <c r="J121" s="2619"/>
      <c r="K121" s="2619"/>
      <c r="L121" s="2619"/>
      <c r="M121" s="2619"/>
      <c r="N121" s="2619"/>
      <c r="O121" s="2619"/>
      <c r="P121" s="2619"/>
      <c r="Q121" s="2619"/>
      <c r="R121" s="2619"/>
      <c r="S121" s="2619"/>
      <c r="T121" s="2619"/>
      <c r="U121" s="2619"/>
      <c r="V121" s="2619"/>
      <c r="W121" s="2619"/>
      <c r="X121" s="2619"/>
      <c r="Y121" s="2619"/>
      <c r="Z121" s="2619"/>
      <c r="AA121" s="2619"/>
      <c r="AB121" s="2619"/>
      <c r="AC121" s="2619"/>
      <c r="AD121" s="2619"/>
      <c r="AE121" s="2619"/>
      <c r="AF121" s="2619"/>
      <c r="AG121" s="2619"/>
      <c r="AH121" s="2619"/>
      <c r="AI121" s="2619"/>
      <c r="AJ121" s="2620"/>
      <c r="AK121" s="541"/>
      <c r="AL121" s="541"/>
      <c r="AM121" s="541"/>
      <c r="AN121" s="536"/>
      <c r="AO121" s="537" t="str">
        <f>Application!B727</f>
        <v>2 Bedrooms</v>
      </c>
      <c r="AQ121" s="537">
        <f>Application!O727</f>
        <v>1835</v>
      </c>
      <c r="AU121" s="857" t="str">
        <f>AD124</f>
        <v>5-bedroom</v>
      </c>
      <c r="AV121" s="537">
        <f t="array" ref="AV121">SUM(IF(Application!B718:F752="5 Bedrooms",Application!G718:J752))</f>
        <v>0</v>
      </c>
      <c r="AW121" s="1012">
        <f>AV121/AV122</f>
        <v>0</v>
      </c>
    </row>
    <row r="122" spans="1:52" s="537" customFormat="1" ht="12.75" customHeight="1">
      <c r="A122" s="541"/>
      <c r="B122" s="540"/>
      <c r="C122" s="540"/>
      <c r="D122" s="540"/>
      <c r="E122" s="2618"/>
      <c r="F122" s="2619"/>
      <c r="G122" s="2619"/>
      <c r="H122" s="2619"/>
      <c r="I122" s="2619"/>
      <c r="J122" s="2619"/>
      <c r="K122" s="2619"/>
      <c r="L122" s="2619"/>
      <c r="M122" s="2619"/>
      <c r="N122" s="2619"/>
      <c r="O122" s="2619"/>
      <c r="P122" s="2619"/>
      <c r="Q122" s="2619"/>
      <c r="R122" s="2619"/>
      <c r="S122" s="2619"/>
      <c r="T122" s="2619"/>
      <c r="U122" s="2619"/>
      <c r="V122" s="2619"/>
      <c r="W122" s="2619"/>
      <c r="X122" s="2619"/>
      <c r="Y122" s="2619"/>
      <c r="Z122" s="2619"/>
      <c r="AA122" s="2619"/>
      <c r="AB122" s="2619"/>
      <c r="AC122" s="2619"/>
      <c r="AD122" s="2619"/>
      <c r="AE122" s="2619"/>
      <c r="AF122" s="2619"/>
      <c r="AG122" s="2619"/>
      <c r="AH122" s="2619"/>
      <c r="AI122" s="2619"/>
      <c r="AJ122" s="2620"/>
      <c r="AK122" s="541"/>
      <c r="AL122" s="541"/>
      <c r="AM122" s="541"/>
      <c r="AN122" s="536"/>
      <c r="AO122" s="537" t="str">
        <f>Application!B728</f>
        <v>3 Bedrooms</v>
      </c>
      <c r="AQ122" s="537">
        <f>Application!O728</f>
        <v>915</v>
      </c>
      <c r="AV122" s="537">
        <f>SUM(AV116:AV121)</f>
        <v>84</v>
      </c>
      <c r="AW122" s="1012">
        <f>SUM(AW116:AW121)</f>
        <v>1</v>
      </c>
    </row>
    <row r="123" spans="1:52" s="537" customFormat="1" ht="12.75" customHeight="1">
      <c r="A123" s="541"/>
      <c r="B123" s="540"/>
      <c r="C123" s="540"/>
      <c r="D123" s="540"/>
      <c r="E123" s="587"/>
      <c r="F123" s="554"/>
      <c r="G123" s="554"/>
      <c r="H123" s="554"/>
      <c r="I123" s="554"/>
      <c r="J123" s="554"/>
      <c r="K123" s="554"/>
      <c r="L123" s="554"/>
      <c r="M123" s="554"/>
      <c r="N123" s="554"/>
      <c r="O123" s="554"/>
      <c r="P123" s="554"/>
      <c r="Q123" s="554"/>
      <c r="R123" s="554"/>
      <c r="S123" s="554"/>
      <c r="T123" s="554"/>
      <c r="U123" s="554"/>
      <c r="V123" s="554"/>
      <c r="W123" s="554"/>
      <c r="X123" s="554"/>
      <c r="Y123" s="554"/>
      <c r="Z123" s="554"/>
      <c r="AA123" s="554"/>
      <c r="AB123" s="554"/>
      <c r="AC123" s="554"/>
      <c r="AD123" s="554"/>
      <c r="AE123" s="554"/>
      <c r="AF123" s="554"/>
      <c r="AG123" s="554"/>
      <c r="AH123" s="554"/>
      <c r="AI123" s="554"/>
      <c r="AJ123" s="555"/>
      <c r="AK123" s="541"/>
      <c r="AL123" s="541"/>
      <c r="AM123" s="541"/>
      <c r="AN123" s="536"/>
      <c r="AO123" s="537" t="str">
        <f>Application!B729</f>
        <v>3 Bedrooms</v>
      </c>
      <c r="AQ123" s="537">
        <f>Application!O729</f>
        <v>1141</v>
      </c>
    </row>
    <row r="124" spans="1:52" s="537" customFormat="1" ht="12.75" customHeight="1">
      <c r="A124" s="541"/>
      <c r="B124" s="540"/>
      <c r="C124" s="541"/>
      <c r="D124" s="541"/>
      <c r="E124" s="2611" t="s">
        <v>1588</v>
      </c>
      <c r="F124" s="2612"/>
      <c r="G124" s="2612"/>
      <c r="H124" s="2612"/>
      <c r="I124" s="578"/>
      <c r="J124" s="2612" t="s">
        <v>1631</v>
      </c>
      <c r="K124" s="2612"/>
      <c r="L124" s="2612"/>
      <c r="M124" s="2612"/>
      <c r="N124" s="578"/>
      <c r="O124" s="2612" t="s">
        <v>1632</v>
      </c>
      <c r="P124" s="2612"/>
      <c r="Q124" s="2612"/>
      <c r="R124" s="2612"/>
      <c r="S124" s="578"/>
      <c r="T124" s="2612" t="s">
        <v>1334</v>
      </c>
      <c r="U124" s="2612"/>
      <c r="V124" s="2612"/>
      <c r="W124" s="2612"/>
      <c r="X124" s="578"/>
      <c r="Y124" s="2612" t="s">
        <v>1633</v>
      </c>
      <c r="Z124" s="2612"/>
      <c r="AA124" s="2612"/>
      <c r="AB124" s="2612"/>
      <c r="AC124" s="578"/>
      <c r="AD124" s="2612" t="s">
        <v>1634</v>
      </c>
      <c r="AE124" s="2612"/>
      <c r="AF124" s="2612"/>
      <c r="AG124" s="2612"/>
      <c r="AH124" s="578"/>
      <c r="AI124" s="578"/>
      <c r="AJ124" s="580"/>
      <c r="AK124" s="541"/>
      <c r="AL124" s="541"/>
      <c r="AM124" s="541"/>
      <c r="AN124" s="536"/>
      <c r="AO124" s="537" t="str">
        <f>Application!B730</f>
        <v>3 Bedrooms</v>
      </c>
      <c r="AQ124" s="537">
        <f>Application!O730</f>
        <v>2048</v>
      </c>
    </row>
    <row r="125" spans="1:52" s="537" customFormat="1" ht="12.75" customHeight="1">
      <c r="A125" s="541"/>
      <c r="B125" s="540"/>
      <c r="C125" s="541"/>
      <c r="D125" s="541"/>
      <c r="E125" s="866"/>
      <c r="F125" s="864"/>
      <c r="G125" s="864"/>
      <c r="H125" s="864"/>
      <c r="I125" s="578"/>
      <c r="J125" s="864"/>
      <c r="K125" s="864"/>
      <c r="L125" s="864"/>
      <c r="M125" s="864"/>
      <c r="N125" s="578"/>
      <c r="O125" s="864"/>
      <c r="P125" s="864"/>
      <c r="Q125" s="864"/>
      <c r="R125" s="864"/>
      <c r="S125" s="578"/>
      <c r="T125" s="864"/>
      <c r="U125" s="864"/>
      <c r="V125" s="864"/>
      <c r="W125" s="864"/>
      <c r="X125" s="578"/>
      <c r="Y125" s="864"/>
      <c r="Z125" s="864"/>
      <c r="AA125" s="864"/>
      <c r="AB125" s="864"/>
      <c r="AC125" s="578"/>
      <c r="AD125" s="864"/>
      <c r="AE125" s="864"/>
      <c r="AF125" s="864"/>
      <c r="AG125" s="864"/>
      <c r="AH125" s="578"/>
      <c r="AI125" s="578"/>
      <c r="AJ125" s="580"/>
      <c r="AK125" s="541"/>
      <c r="AL125" s="541"/>
      <c r="AM125" s="541"/>
      <c r="AN125" s="536"/>
      <c r="AO125" s="537">
        <f>Application!B731</f>
        <v>0</v>
      </c>
      <c r="AQ125" s="537">
        <f>Application!O731</f>
        <v>0</v>
      </c>
    </row>
    <row r="126" spans="1:52" s="537" customFormat="1" ht="12.75" customHeight="1">
      <c r="A126" s="541"/>
      <c r="B126" s="540"/>
      <c r="C126" s="541"/>
      <c r="D126" s="541"/>
      <c r="E126" s="867" t="s">
        <v>1635</v>
      </c>
      <c r="F126" s="864"/>
      <c r="G126" s="864"/>
      <c r="H126" s="864"/>
      <c r="I126" s="578"/>
      <c r="J126" s="864"/>
      <c r="K126" s="864"/>
      <c r="L126" s="864"/>
      <c r="M126" s="864"/>
      <c r="N126" s="578"/>
      <c r="O126" s="864"/>
      <c r="P126" s="864"/>
      <c r="Q126" s="864"/>
      <c r="R126" s="864"/>
      <c r="S126" s="578"/>
      <c r="T126" s="864"/>
      <c r="U126" s="864"/>
      <c r="V126" s="864"/>
      <c r="W126" s="864"/>
      <c r="X126" s="578"/>
      <c r="Y126" s="864"/>
      <c r="Z126" s="864"/>
      <c r="AA126" s="864"/>
      <c r="AB126" s="864"/>
      <c r="AC126" s="578"/>
      <c r="AD126" s="864"/>
      <c r="AE126" s="864"/>
      <c r="AF126" s="864"/>
      <c r="AG126" s="864"/>
      <c r="AH126" s="578"/>
      <c r="AI126" s="578"/>
      <c r="AJ126" s="580"/>
      <c r="AK126" s="541"/>
      <c r="AL126" s="541"/>
      <c r="AM126" s="541"/>
      <c r="AN126" s="536"/>
      <c r="AO126" s="537">
        <f>Application!B732</f>
        <v>0</v>
      </c>
      <c r="AQ126" s="537">
        <f>Application!O732</f>
        <v>0</v>
      </c>
    </row>
    <row r="127" spans="1:52" s="537" customFormat="1" ht="12.75" customHeight="1">
      <c r="A127" s="541"/>
      <c r="B127" s="540"/>
      <c r="C127" s="541"/>
      <c r="D127" s="541"/>
      <c r="E127" s="2613">
        <v>2156</v>
      </c>
      <c r="F127" s="2614"/>
      <c r="G127" s="2614"/>
      <c r="H127" s="2614"/>
      <c r="I127" s="865"/>
      <c r="J127" s="2614">
        <v>2218</v>
      </c>
      <c r="K127" s="2614"/>
      <c r="L127" s="2614"/>
      <c r="M127" s="2614"/>
      <c r="N127" s="865"/>
      <c r="O127" s="2614">
        <v>3111</v>
      </c>
      <c r="P127" s="2614"/>
      <c r="Q127" s="2614"/>
      <c r="R127" s="2614"/>
      <c r="S127" s="865"/>
      <c r="T127" s="2614">
        <v>4506</v>
      </c>
      <c r="U127" s="2614"/>
      <c r="V127" s="2614"/>
      <c r="W127" s="2614"/>
      <c r="X127" s="865"/>
      <c r="Y127" s="2614"/>
      <c r="Z127" s="2614"/>
      <c r="AA127" s="2614"/>
      <c r="AB127" s="2614"/>
      <c r="AC127" s="865"/>
      <c r="AD127" s="2614"/>
      <c r="AE127" s="2614"/>
      <c r="AF127" s="2614"/>
      <c r="AG127" s="2614"/>
      <c r="AH127" s="578"/>
      <c r="AI127" s="578"/>
      <c r="AJ127" s="580"/>
      <c r="AK127" s="541"/>
      <c r="AL127" s="541"/>
      <c r="AM127" s="541"/>
      <c r="AN127" s="536"/>
      <c r="AO127" s="537">
        <f>Application!B733</f>
        <v>0</v>
      </c>
      <c r="AQ127" s="537">
        <f>Application!O733</f>
        <v>0</v>
      </c>
    </row>
    <row r="128" spans="1:52" s="537" customFormat="1" ht="12.75" customHeight="1">
      <c r="A128" s="541"/>
      <c r="B128" s="540"/>
      <c r="C128" s="541"/>
      <c r="D128" s="541"/>
      <c r="E128" s="866"/>
      <c r="F128" s="864"/>
      <c r="G128" s="864"/>
      <c r="H128" s="864"/>
      <c r="I128" s="578"/>
      <c r="J128" s="864"/>
      <c r="K128" s="864"/>
      <c r="L128" s="864"/>
      <c r="M128" s="864"/>
      <c r="N128" s="578"/>
      <c r="O128" s="864"/>
      <c r="P128" s="864"/>
      <c r="Q128" s="864"/>
      <c r="R128" s="864"/>
      <c r="S128" s="578"/>
      <c r="T128" s="864"/>
      <c r="U128" s="864"/>
      <c r="V128" s="864"/>
      <c r="W128" s="864"/>
      <c r="X128" s="578"/>
      <c r="Y128" s="864"/>
      <c r="Z128" s="864"/>
      <c r="AA128" s="864"/>
      <c r="AB128" s="864"/>
      <c r="AC128" s="578"/>
      <c r="AD128" s="864"/>
      <c r="AE128" s="864"/>
      <c r="AF128" s="864"/>
      <c r="AG128" s="864"/>
      <c r="AH128" s="578"/>
      <c r="AI128" s="578"/>
      <c r="AJ128" s="580"/>
      <c r="AK128" s="541"/>
      <c r="AL128" s="541"/>
      <c r="AM128" s="541"/>
      <c r="AN128" s="536"/>
      <c r="AO128" s="537">
        <f>Application!B734</f>
        <v>0</v>
      </c>
      <c r="AQ128" s="537">
        <f>Application!O734</f>
        <v>0</v>
      </c>
      <c r="AU128" s="1010"/>
      <c r="AV128" s="1010"/>
      <c r="AW128" s="1010"/>
      <c r="AX128" s="1010"/>
      <c r="AY128" s="1010"/>
      <c r="AZ128" s="1010"/>
    </row>
    <row r="129" spans="1:52" s="537" customFormat="1" ht="12.75" customHeight="1">
      <c r="A129" s="541"/>
      <c r="B129" s="540"/>
      <c r="C129" s="541"/>
      <c r="D129" s="541"/>
      <c r="E129" s="867" t="s">
        <v>1844</v>
      </c>
      <c r="F129" s="864"/>
      <c r="G129" s="864"/>
      <c r="H129" s="864"/>
      <c r="I129" s="578"/>
      <c r="J129" s="864"/>
      <c r="K129" s="864"/>
      <c r="L129" s="864"/>
      <c r="M129" s="864"/>
      <c r="N129" s="578"/>
      <c r="O129" s="864"/>
      <c r="P129" s="864"/>
      <c r="Q129" s="864"/>
      <c r="R129" s="864"/>
      <c r="S129" s="578"/>
      <c r="T129" s="864"/>
      <c r="U129" s="864"/>
      <c r="V129" s="864"/>
      <c r="W129" s="864"/>
      <c r="X129" s="578"/>
      <c r="Y129" s="864"/>
      <c r="Z129" s="864"/>
      <c r="AA129" s="864"/>
      <c r="AB129" s="864"/>
      <c r="AC129" s="578"/>
      <c r="AD129" s="864"/>
      <c r="AE129" s="864"/>
      <c r="AF129" s="864"/>
      <c r="AG129" s="864"/>
      <c r="AH129" s="578"/>
      <c r="AI129" s="578"/>
      <c r="AJ129" s="580"/>
      <c r="AK129" s="541"/>
      <c r="AL129" s="541"/>
      <c r="AM129" s="541"/>
      <c r="AN129" s="536"/>
      <c r="AO129" s="537">
        <f>Application!B735</f>
        <v>0</v>
      </c>
      <c r="AQ129" s="537">
        <f>Application!O735</f>
        <v>0</v>
      </c>
      <c r="AU129" s="1010"/>
      <c r="AV129" s="1010"/>
      <c r="AW129" s="1010"/>
      <c r="AX129" s="1010"/>
      <c r="AY129" s="1010"/>
      <c r="AZ129" s="1010"/>
    </row>
    <row r="130" spans="1:52" s="537" customFormat="1" ht="12.75" customHeight="1">
      <c r="A130" s="541"/>
      <c r="B130" s="540"/>
      <c r="C130" s="541"/>
      <c r="D130" s="541"/>
      <c r="E130" s="2621">
        <f>Application!DX670</f>
        <v>1068.5384615384614</v>
      </c>
      <c r="F130" s="2622"/>
      <c r="G130" s="2622"/>
      <c r="H130" s="2622"/>
      <c r="I130" s="865"/>
      <c r="J130" s="2622">
        <f>Application!EC670</f>
        <v>1300.5925925925926</v>
      </c>
      <c r="K130" s="2622"/>
      <c r="L130" s="2622"/>
      <c r="M130" s="2622"/>
      <c r="N130" s="865"/>
      <c r="O130" s="2622">
        <f>Application!EH670</f>
        <v>1446.8666666666666</v>
      </c>
      <c r="P130" s="2622"/>
      <c r="Q130" s="2622"/>
      <c r="R130" s="2622"/>
      <c r="S130" s="869"/>
      <c r="T130" s="2622">
        <f>Application!EM670</f>
        <v>1821.2758620689654</v>
      </c>
      <c r="U130" s="2622"/>
      <c r="V130" s="2622"/>
      <c r="W130" s="2622"/>
      <c r="X130" s="869"/>
      <c r="Y130" s="2622">
        <f>Application!ER670</f>
        <v>0</v>
      </c>
      <c r="Z130" s="2622"/>
      <c r="AA130" s="2622"/>
      <c r="AB130" s="2622"/>
      <c r="AC130" s="869"/>
      <c r="AD130" s="2622">
        <f>Application!EW670</f>
        <v>0</v>
      </c>
      <c r="AE130" s="2622"/>
      <c r="AF130" s="2622"/>
      <c r="AG130" s="2622"/>
      <c r="AH130" s="578"/>
      <c r="AI130" s="578"/>
      <c r="AJ130" s="580"/>
      <c r="AK130" s="541"/>
      <c r="AL130" s="541"/>
      <c r="AM130" s="541"/>
      <c r="AN130" s="536"/>
      <c r="AO130" s="537">
        <f>Application!B736</f>
        <v>0</v>
      </c>
      <c r="AQ130" s="537">
        <f>Application!O736</f>
        <v>0</v>
      </c>
      <c r="AU130" s="1010"/>
      <c r="AV130" s="1010"/>
      <c r="AW130" s="1011"/>
      <c r="AX130" s="1011"/>
      <c r="AY130" s="1010"/>
      <c r="AZ130" s="1010"/>
    </row>
    <row r="131" spans="1:52" s="537" customFormat="1" ht="12.75" customHeight="1">
      <c r="A131" s="541"/>
      <c r="B131" s="540"/>
      <c r="C131" s="541"/>
      <c r="D131" s="541"/>
      <c r="E131" s="868"/>
      <c r="F131" s="864"/>
      <c r="G131" s="864"/>
      <c r="H131" s="864"/>
      <c r="I131" s="578"/>
      <c r="J131" s="581"/>
      <c r="K131" s="578"/>
      <c r="L131" s="578"/>
      <c r="M131" s="578"/>
      <c r="N131" s="578"/>
      <c r="O131" s="578"/>
      <c r="P131" s="578"/>
      <c r="Q131" s="578"/>
      <c r="R131" s="578"/>
      <c r="S131" s="578"/>
      <c r="T131" s="578"/>
      <c r="U131" s="578"/>
      <c r="V131" s="578"/>
      <c r="W131" s="578"/>
      <c r="X131" s="578"/>
      <c r="Y131" s="578"/>
      <c r="Z131" s="578"/>
      <c r="AA131" s="578"/>
      <c r="AB131" s="578"/>
      <c r="AC131" s="578"/>
      <c r="AD131" s="578"/>
      <c r="AE131" s="578"/>
      <c r="AF131" s="578"/>
      <c r="AG131" s="578"/>
      <c r="AH131" s="578"/>
      <c r="AI131" s="578"/>
      <c r="AJ131" s="580"/>
      <c r="AK131" s="541"/>
      <c r="AL131" s="541"/>
      <c r="AM131" s="541"/>
      <c r="AN131" s="536"/>
      <c r="AO131" s="537">
        <f>Application!B737</f>
        <v>0</v>
      </c>
      <c r="AQ131" s="537">
        <f>Application!O737</f>
        <v>0</v>
      </c>
      <c r="AU131" s="1010"/>
      <c r="AV131" s="1010"/>
      <c r="AW131" s="1011"/>
      <c r="AX131" s="1011"/>
      <c r="AY131" s="1010"/>
      <c r="AZ131" s="1010"/>
    </row>
    <row r="132" spans="1:52" s="537" customFormat="1" ht="12.75" customHeight="1">
      <c r="A132" s="541"/>
      <c r="B132" s="540"/>
      <c r="C132" s="541"/>
      <c r="D132" s="541"/>
      <c r="E132" s="867" t="s">
        <v>1845</v>
      </c>
      <c r="F132" s="864"/>
      <c r="G132" s="864"/>
      <c r="H132" s="864"/>
      <c r="I132" s="578"/>
      <c r="J132" s="581"/>
      <c r="K132" s="578"/>
      <c r="L132" s="578"/>
      <c r="M132" s="578"/>
      <c r="N132" s="578"/>
      <c r="O132" s="578"/>
      <c r="P132" s="578"/>
      <c r="Q132" s="578"/>
      <c r="R132" s="578"/>
      <c r="S132" s="578"/>
      <c r="T132" s="578"/>
      <c r="U132" s="578"/>
      <c r="V132" s="578"/>
      <c r="W132" s="578"/>
      <c r="X132" s="578"/>
      <c r="Y132" s="578"/>
      <c r="Z132" s="578"/>
      <c r="AA132" s="578"/>
      <c r="AB132" s="578"/>
      <c r="AC132" s="578"/>
      <c r="AD132" s="578"/>
      <c r="AE132" s="578"/>
      <c r="AF132" s="578"/>
      <c r="AG132" s="578"/>
      <c r="AH132" s="578"/>
      <c r="AI132" s="578"/>
      <c r="AJ132" s="580"/>
      <c r="AK132" s="541"/>
      <c r="AL132" s="541"/>
      <c r="AM132" s="541"/>
      <c r="AN132" s="536"/>
      <c r="AO132" s="537">
        <f>Application!B738</f>
        <v>0</v>
      </c>
      <c r="AQ132" s="537">
        <f>Application!O738</f>
        <v>0</v>
      </c>
      <c r="AU132" s="1010"/>
      <c r="AV132" s="1010"/>
      <c r="AW132" s="1011"/>
      <c r="AX132" s="1011"/>
      <c r="AY132" s="1010"/>
      <c r="AZ132" s="1010"/>
    </row>
    <row r="133" spans="1:52" s="537" customFormat="1" ht="12.75" customHeight="1">
      <c r="A133" s="541"/>
      <c r="B133" s="540"/>
      <c r="C133" s="541"/>
      <c r="D133" s="541"/>
      <c r="E133" s="2416">
        <f>(E127-E130)/E127</f>
        <v>0.50438846867418297</v>
      </c>
      <c r="F133" s="2417"/>
      <c r="G133" s="2417"/>
      <c r="H133" s="2418"/>
      <c r="I133" s="578"/>
      <c r="J133" s="2416">
        <f>(J127-J130)/J127</f>
        <v>0.41361920983201417</v>
      </c>
      <c r="K133" s="2417"/>
      <c r="L133" s="2417"/>
      <c r="M133" s="2418"/>
      <c r="N133" s="578"/>
      <c r="O133" s="2416">
        <f>(O127-O130)/O127</f>
        <v>0.53491910425372335</v>
      </c>
      <c r="P133" s="2417"/>
      <c r="Q133" s="2417"/>
      <c r="R133" s="2418"/>
      <c r="S133" s="578"/>
      <c r="T133" s="2416">
        <f>(T127-T130)/T127</f>
        <v>0.59581094938549362</v>
      </c>
      <c r="U133" s="2417"/>
      <c r="V133" s="2417"/>
      <c r="W133" s="2418"/>
      <c r="X133" s="578"/>
      <c r="Y133" s="2416" t="e">
        <f>(Y127-Y130)/Y127</f>
        <v>#DIV/0!</v>
      </c>
      <c r="Z133" s="2417"/>
      <c r="AA133" s="2417"/>
      <c r="AB133" s="2418"/>
      <c r="AC133" s="578"/>
      <c r="AD133" s="2416" t="e">
        <f>(AD127-AD130)/AD127</f>
        <v>#DIV/0!</v>
      </c>
      <c r="AE133" s="2417"/>
      <c r="AF133" s="2417"/>
      <c r="AG133" s="2418"/>
      <c r="AH133" s="578"/>
      <c r="AI133" s="578"/>
      <c r="AJ133" s="580"/>
      <c r="AK133" s="541"/>
      <c r="AL133" s="541"/>
      <c r="AM133" s="541"/>
      <c r="AN133" s="536"/>
      <c r="AO133" s="537">
        <f>Application!B739</f>
        <v>0</v>
      </c>
      <c r="AQ133" s="537">
        <f>Application!O739</f>
        <v>0</v>
      </c>
      <c r="AU133" s="1010"/>
      <c r="AV133" s="1010"/>
      <c r="AW133" s="1011"/>
      <c r="AX133" s="1011"/>
      <c r="AY133" s="1010"/>
      <c r="AZ133" s="1010"/>
    </row>
    <row r="134" spans="1:52" s="537" customFormat="1" ht="12.75" customHeight="1">
      <c r="A134" s="541"/>
      <c r="B134" s="540"/>
      <c r="C134" s="541"/>
      <c r="D134" s="541"/>
      <c r="E134" s="1005"/>
      <c r="F134" s="1004"/>
      <c r="G134" s="1004"/>
      <c r="H134" s="1004"/>
      <c r="I134" s="578"/>
      <c r="J134" s="1004"/>
      <c r="K134" s="1004"/>
      <c r="L134" s="1004"/>
      <c r="M134" s="1004"/>
      <c r="N134" s="578"/>
      <c r="O134" s="1004"/>
      <c r="P134" s="1004"/>
      <c r="Q134" s="1004"/>
      <c r="R134" s="1004"/>
      <c r="S134" s="578"/>
      <c r="T134" s="1004"/>
      <c r="U134" s="1004"/>
      <c r="V134" s="1004"/>
      <c r="W134" s="1004"/>
      <c r="X134" s="578"/>
      <c r="Y134" s="1004"/>
      <c r="Z134" s="1004"/>
      <c r="AA134" s="1004"/>
      <c r="AB134" s="1004"/>
      <c r="AC134" s="578"/>
      <c r="AD134" s="1004"/>
      <c r="AE134" s="1004"/>
      <c r="AF134" s="1004"/>
      <c r="AG134" s="1004"/>
      <c r="AH134" s="578"/>
      <c r="AI134" s="578"/>
      <c r="AJ134" s="580"/>
      <c r="AK134" s="541"/>
      <c r="AL134" s="541"/>
      <c r="AM134" s="541"/>
      <c r="AN134" s="536"/>
      <c r="AO134" s="537">
        <f>Application!B740</f>
        <v>0</v>
      </c>
      <c r="AQ134" s="537">
        <f>Application!O740</f>
        <v>0</v>
      </c>
      <c r="AU134" s="1010"/>
      <c r="AV134" s="1010"/>
      <c r="AW134" s="1011"/>
      <c r="AX134" s="1011"/>
      <c r="AY134" s="1010"/>
      <c r="AZ134" s="1010"/>
    </row>
    <row r="135" spans="1:52" s="537" customFormat="1" ht="12.75" customHeight="1">
      <c r="A135" s="541"/>
      <c r="B135" s="540"/>
      <c r="C135" s="541"/>
      <c r="D135" s="541"/>
      <c r="E135" s="1006" t="s">
        <v>1846</v>
      </c>
      <c r="F135" s="1004"/>
      <c r="G135" s="1004"/>
      <c r="H135" s="1004"/>
      <c r="I135" s="578"/>
      <c r="J135" s="1004"/>
      <c r="K135" s="1004"/>
      <c r="L135" s="1004"/>
      <c r="M135" s="1004"/>
      <c r="N135" s="578"/>
      <c r="O135" s="1004"/>
      <c r="P135" s="1004"/>
      <c r="Q135" s="1004"/>
      <c r="R135" s="1004"/>
      <c r="S135" s="578"/>
      <c r="T135" s="1004"/>
      <c r="U135" s="1004"/>
      <c r="V135" s="1004"/>
      <c r="W135" s="1004"/>
      <c r="X135" s="578"/>
      <c r="Y135" s="1004"/>
      <c r="Z135" s="1004"/>
      <c r="AA135" s="1004"/>
      <c r="AB135" s="1004"/>
      <c r="AC135" s="578"/>
      <c r="AD135" s="1004"/>
      <c r="AE135" s="1004"/>
      <c r="AF135" s="1004"/>
      <c r="AG135" s="1004"/>
      <c r="AH135" s="578"/>
      <c r="AI135" s="578"/>
      <c r="AJ135" s="580"/>
      <c r="AK135" s="541"/>
      <c r="AL135" s="541"/>
      <c r="AM135" s="541"/>
      <c r="AN135" s="536"/>
      <c r="AO135" s="537">
        <f>Application!B741</f>
        <v>0</v>
      </c>
      <c r="AQ135" s="537">
        <f>Application!O741</f>
        <v>0</v>
      </c>
      <c r="AU135" s="1011"/>
      <c r="AV135" s="1010"/>
      <c r="AW135" s="1011"/>
      <c r="AX135" s="1011"/>
      <c r="AY135" s="1010"/>
      <c r="AZ135" s="1010"/>
    </row>
    <row r="136" spans="1:52" s="537" customFormat="1" ht="12.75" customHeight="1">
      <c r="A136" s="541"/>
      <c r="B136" s="540"/>
      <c r="C136" s="541"/>
      <c r="D136" s="541"/>
      <c r="E136" s="2624">
        <f>IF(((E133-0.1)*AW116)&gt;0,((E133-0.1)*AW116),0)</f>
        <v>6.2583929675766412E-2</v>
      </c>
      <c r="F136" s="2625"/>
      <c r="G136" s="2625"/>
      <c r="H136" s="2626"/>
      <c r="I136" s="578"/>
      <c r="J136" s="2624">
        <f>IF(((J133-0.1)*AW117)&gt;0,((J133-0.1)*AW117),0)</f>
        <v>0.10080617458886171</v>
      </c>
      <c r="K136" s="2625"/>
      <c r="L136" s="2625"/>
      <c r="M136" s="2626"/>
      <c r="N136" s="578"/>
      <c r="O136" s="2624">
        <f>IF(((O133-0.1)*AW118)&gt;0,((O133-0.1)*AW118),0)</f>
        <v>7.7664125759593458E-2</v>
      </c>
      <c r="P136" s="2625"/>
      <c r="Q136" s="2625"/>
      <c r="R136" s="2626"/>
      <c r="S136" s="578"/>
      <c r="T136" s="2624">
        <f>IF(((T133-0.1)*AW119)&gt;0,((T133-0.1)*AW119),0)</f>
        <v>0.17117282776403947</v>
      </c>
      <c r="U136" s="2625"/>
      <c r="V136" s="2625"/>
      <c r="W136" s="2626"/>
      <c r="X136" s="578"/>
      <c r="Y136" s="2624" t="e">
        <f>IF(((Y133-0.1)*AW120)&gt;0,((Y133-0.1)*AW120),0)</f>
        <v>#DIV/0!</v>
      </c>
      <c r="Z136" s="2625"/>
      <c r="AA136" s="2625"/>
      <c r="AB136" s="2626"/>
      <c r="AC136" s="578"/>
      <c r="AD136" s="2624" t="e">
        <f>IF(((AD133-0.1)*AW121)&gt;0,((AD133-0.1)*AW121),0)</f>
        <v>#DIV/0!</v>
      </c>
      <c r="AE136" s="2625"/>
      <c r="AF136" s="2625"/>
      <c r="AG136" s="2626"/>
      <c r="AH136" s="578"/>
      <c r="AI136" s="578"/>
      <c r="AJ136" s="580"/>
      <c r="AK136" s="541"/>
      <c r="AL136" s="541"/>
      <c r="AM136" s="541"/>
      <c r="AN136" s="536"/>
      <c r="AO136" s="537">
        <f>Application!B752</f>
        <v>0</v>
      </c>
      <c r="AQ136" s="537">
        <f>Application!O752</f>
        <v>0</v>
      </c>
      <c r="AU136" s="1010"/>
      <c r="AV136" s="1010"/>
      <c r="AW136" s="1010"/>
      <c r="AX136" s="1011"/>
      <c r="AY136" s="1010"/>
      <c r="AZ136" s="1010"/>
    </row>
    <row r="137" spans="1:52" s="537" customFormat="1" ht="12.75" customHeight="1">
      <c r="A137" s="541"/>
      <c r="B137" s="540"/>
      <c r="C137" s="541"/>
      <c r="D137" s="541"/>
      <c r="E137" s="868"/>
      <c r="F137" s="864"/>
      <c r="G137" s="864"/>
      <c r="H137" s="864"/>
      <c r="I137" s="578"/>
      <c r="J137" s="581"/>
      <c r="K137" s="578"/>
      <c r="L137" s="578"/>
      <c r="M137" s="578"/>
      <c r="N137" s="578"/>
      <c r="O137" s="578"/>
      <c r="P137" s="578"/>
      <c r="Q137" s="578"/>
      <c r="R137" s="578"/>
      <c r="S137" s="578"/>
      <c r="T137" s="578"/>
      <c r="U137" s="578"/>
      <c r="V137" s="578"/>
      <c r="W137" s="578"/>
      <c r="X137" s="578"/>
      <c r="Y137" s="578"/>
      <c r="Z137" s="578"/>
      <c r="AA137" s="578"/>
      <c r="AB137" s="578"/>
      <c r="AC137" s="578"/>
      <c r="AD137" s="578"/>
      <c r="AE137" s="578"/>
      <c r="AF137" s="578"/>
      <c r="AG137" s="578"/>
      <c r="AH137" s="578"/>
      <c r="AI137" s="578"/>
      <c r="AJ137" s="580"/>
      <c r="AK137" s="541"/>
      <c r="AL137" s="541"/>
      <c r="AM137" s="541"/>
      <c r="AN137" s="536"/>
      <c r="AU137" s="1010"/>
      <c r="AV137" s="1010"/>
      <c r="AW137" s="1010"/>
      <c r="AX137" s="1010"/>
      <c r="AY137" s="1010"/>
      <c r="AZ137" s="1010"/>
    </row>
    <row r="138" spans="1:52" s="537" customFormat="1" ht="12.75" customHeight="1">
      <c r="A138" s="541"/>
      <c r="B138" s="540"/>
      <c r="C138" s="541"/>
      <c r="D138" s="541"/>
      <c r="E138" s="2416">
        <f>ROUNDDOWN(SUMIF(E136:AG136,"&gt;0"),2)</f>
        <v>0.41</v>
      </c>
      <c r="F138" s="2417"/>
      <c r="G138" s="2417"/>
      <c r="H138" s="2418"/>
      <c r="I138" s="578"/>
      <c r="J138" s="581" t="s">
        <v>1847</v>
      </c>
      <c r="K138" s="578"/>
      <c r="L138" s="578"/>
      <c r="M138" s="578"/>
      <c r="N138" s="578"/>
      <c r="O138" s="578"/>
      <c r="P138" s="578"/>
      <c r="Q138" s="578"/>
      <c r="R138" s="578"/>
      <c r="S138" s="578"/>
      <c r="T138" s="578"/>
      <c r="U138" s="578"/>
      <c r="V138" s="578"/>
      <c r="W138" s="578"/>
      <c r="X138" s="578"/>
      <c r="Y138" s="578"/>
      <c r="Z138" s="578"/>
      <c r="AA138" s="578"/>
      <c r="AB138" s="578"/>
      <c r="AC138" s="578"/>
      <c r="AD138" s="870"/>
      <c r="AE138" s="870"/>
      <c r="AF138" s="870"/>
      <c r="AG138" s="870"/>
      <c r="AH138" s="578"/>
      <c r="AI138" s="578"/>
      <c r="AJ138" s="580"/>
      <c r="AK138" s="541"/>
      <c r="AL138" s="541"/>
      <c r="AM138" s="541"/>
      <c r="AN138" s="536"/>
      <c r="AU138" s="1010"/>
      <c r="AV138" s="1010"/>
      <c r="AW138" s="1010"/>
      <c r="AX138" s="1011"/>
      <c r="AY138" s="1010"/>
      <c r="AZ138" s="1010"/>
    </row>
    <row r="139" spans="1:52" s="537" customFormat="1" ht="12.75" customHeight="1">
      <c r="A139" s="541"/>
      <c r="B139" s="540"/>
      <c r="C139" s="541"/>
      <c r="D139" s="541"/>
      <c r="E139" s="2596">
        <f>IF((E138*100)&gt;10,10,E138*100)</f>
        <v>10</v>
      </c>
      <c r="F139" s="2597"/>
      <c r="G139" s="2597"/>
      <c r="H139" s="2598"/>
      <c r="I139" s="578"/>
      <c r="J139" s="581" t="s">
        <v>1328</v>
      </c>
      <c r="K139" s="578"/>
      <c r="L139" s="578"/>
      <c r="M139" s="578"/>
      <c r="N139" s="578"/>
      <c r="O139" s="578"/>
      <c r="P139" s="578"/>
      <c r="Q139" s="578"/>
      <c r="R139" s="578"/>
      <c r="S139" s="578"/>
      <c r="T139" s="578"/>
      <c r="U139" s="578"/>
      <c r="V139" s="578"/>
      <c r="W139" s="578"/>
      <c r="X139" s="578"/>
      <c r="Y139" s="578"/>
      <c r="Z139" s="578"/>
      <c r="AA139" s="578"/>
      <c r="AB139" s="578"/>
      <c r="AC139" s="578"/>
      <c r="AD139" s="578"/>
      <c r="AE139" s="578"/>
      <c r="AF139" s="578"/>
      <c r="AG139" s="578"/>
      <c r="AH139" s="578"/>
      <c r="AI139" s="578"/>
      <c r="AJ139" s="580"/>
      <c r="AK139" s="541"/>
      <c r="AL139" s="541"/>
      <c r="AM139" s="541"/>
      <c r="AN139" s="536"/>
      <c r="AU139" s="1010"/>
      <c r="AV139" s="1010"/>
      <c r="AW139" s="1010"/>
      <c r="AX139" s="1010"/>
      <c r="AY139" s="1010"/>
      <c r="AZ139" s="1010"/>
    </row>
    <row r="140" spans="1:52" s="537" customFormat="1" ht="12.75" customHeight="1">
      <c r="A140" s="541"/>
      <c r="B140" s="541"/>
      <c r="C140" s="541"/>
      <c r="D140" s="541"/>
      <c r="E140" s="589"/>
      <c r="F140" s="590"/>
      <c r="G140" s="590"/>
      <c r="H140" s="590"/>
      <c r="I140" s="590"/>
      <c r="J140" s="590"/>
      <c r="K140" s="590"/>
      <c r="L140" s="590"/>
      <c r="M140" s="590"/>
      <c r="N140" s="590"/>
      <c r="O140" s="590"/>
      <c r="P140" s="590"/>
      <c r="Q140" s="590"/>
      <c r="R140" s="590"/>
      <c r="S140" s="590"/>
      <c r="T140" s="590"/>
      <c r="U140" s="590"/>
      <c r="V140" s="590"/>
      <c r="W140" s="590"/>
      <c r="X140" s="590"/>
      <c r="Y140" s="590"/>
      <c r="Z140" s="590"/>
      <c r="AA140" s="590"/>
      <c r="AB140" s="590"/>
      <c r="AC140" s="590"/>
      <c r="AD140" s="590"/>
      <c r="AE140" s="590"/>
      <c r="AF140" s="590"/>
      <c r="AG140" s="590"/>
      <c r="AH140" s="590"/>
      <c r="AI140" s="590"/>
      <c r="AJ140" s="591"/>
      <c r="AK140" s="541"/>
      <c r="AL140" s="541"/>
      <c r="AM140" s="541"/>
      <c r="AN140" s="536"/>
      <c r="AT140" s="1003"/>
      <c r="AU140" s="1010"/>
      <c r="AV140" s="1010"/>
      <c r="AW140" s="1011"/>
      <c r="AX140" s="1010"/>
      <c r="AY140" s="1010"/>
      <c r="AZ140" s="1010"/>
    </row>
    <row r="141" spans="1:52" s="537" customFormat="1" ht="12.75" customHeight="1">
      <c r="A141" s="541"/>
      <c r="B141" s="541"/>
      <c r="C141" s="541"/>
      <c r="D141" s="541"/>
      <c r="E141" s="541"/>
      <c r="F141" s="541"/>
      <c r="G141" s="541"/>
      <c r="H141" s="541"/>
      <c r="I141" s="541"/>
      <c r="J141" s="541"/>
      <c r="K141" s="541"/>
      <c r="L141" s="541"/>
      <c r="M141" s="541"/>
      <c r="N141" s="541"/>
      <c r="O141" s="541"/>
      <c r="P141" s="541"/>
      <c r="Q141" s="541"/>
      <c r="R141" s="541"/>
      <c r="S141" s="541"/>
      <c r="T141" s="541"/>
      <c r="U141" s="541"/>
      <c r="V141" s="541"/>
      <c r="W141" s="541"/>
      <c r="X141" s="541"/>
      <c r="Y141" s="541"/>
      <c r="Z141" s="541"/>
      <c r="AA141" s="541"/>
      <c r="AB141" s="541"/>
      <c r="AC141" s="541"/>
      <c r="AD141" s="541"/>
      <c r="AE141" s="541"/>
      <c r="AF141" s="541"/>
      <c r="AG141" s="541"/>
      <c r="AH141" s="541"/>
      <c r="AI141" s="541"/>
      <c r="AJ141" s="541"/>
      <c r="AK141" s="541"/>
      <c r="AL141" s="541"/>
      <c r="AM141" s="541"/>
      <c r="AN141" s="536"/>
      <c r="AU141" s="1010"/>
      <c r="AV141" s="1010"/>
      <c r="AW141" s="1010"/>
      <c r="AX141" s="1010"/>
      <c r="AY141" s="1010"/>
      <c r="AZ141" s="1010"/>
    </row>
    <row r="142" spans="1:52" s="537" customFormat="1" ht="12.75" customHeight="1">
      <c r="A142" s="541"/>
      <c r="B142" s="541"/>
      <c r="C142" s="541"/>
      <c r="D142" s="541"/>
      <c r="E142" s="541"/>
      <c r="F142" s="541"/>
      <c r="G142" s="541"/>
      <c r="H142" s="541"/>
      <c r="I142" s="541"/>
      <c r="J142" s="541"/>
      <c r="K142" s="541"/>
      <c r="L142" s="541"/>
      <c r="M142" s="541"/>
      <c r="N142" s="541"/>
      <c r="O142" s="541"/>
      <c r="P142" s="541"/>
      <c r="Q142" s="541"/>
      <c r="R142" s="541"/>
      <c r="S142" s="541"/>
      <c r="T142" s="541"/>
      <c r="U142" s="541"/>
      <c r="V142" s="541"/>
      <c r="W142" s="541"/>
      <c r="X142" s="541"/>
      <c r="Y142" s="541"/>
      <c r="Z142" s="541"/>
      <c r="AA142" s="541"/>
      <c r="AB142" s="541"/>
      <c r="AC142" s="541"/>
      <c r="AD142" s="541"/>
      <c r="AE142" s="541"/>
      <c r="AF142" s="541"/>
      <c r="AG142" s="541"/>
      <c r="AH142" s="541"/>
      <c r="AI142" s="541"/>
      <c r="AJ142" s="541"/>
      <c r="AK142" s="541"/>
      <c r="AL142" s="541"/>
      <c r="AM142" s="541"/>
      <c r="AN142" s="536"/>
    </row>
    <row r="143" spans="1:52" s="537" customFormat="1" ht="12.75" customHeight="1">
      <c r="A143" s="562"/>
      <c r="B143" s="563"/>
      <c r="C143" s="563"/>
      <c r="D143" s="563"/>
      <c r="E143" s="563"/>
      <c r="F143" s="563"/>
      <c r="G143" s="564"/>
      <c r="H143" s="565"/>
      <c r="I143" s="565"/>
      <c r="J143" s="565"/>
      <c r="K143" s="565"/>
      <c r="L143" s="565"/>
      <c r="M143" s="565"/>
      <c r="N143" s="565"/>
      <c r="O143" s="565"/>
      <c r="P143" s="565"/>
      <c r="Q143" s="565"/>
      <c r="R143" s="565"/>
      <c r="S143" s="565"/>
      <c r="T143" s="565"/>
      <c r="U143" s="565"/>
      <c r="V143" s="565"/>
      <c r="W143" s="565"/>
      <c r="X143" s="565"/>
      <c r="Y143" s="565"/>
      <c r="Z143" s="565"/>
      <c r="AA143" s="565"/>
      <c r="AB143" s="565"/>
      <c r="AC143" s="565"/>
      <c r="AD143" s="565"/>
      <c r="AE143" s="565"/>
      <c r="AF143" s="565"/>
      <c r="AG143" s="565"/>
      <c r="AH143" s="565"/>
      <c r="AI143" s="566"/>
      <c r="AJ143" s="566" t="s">
        <v>1335</v>
      </c>
      <c r="AK143" s="2596">
        <f>E139</f>
        <v>10</v>
      </c>
      <c r="AL143" s="2597"/>
      <c r="AM143" s="2598"/>
      <c r="AN143" s="536"/>
    </row>
    <row r="144" spans="1:52" s="537" customFormat="1" ht="12.75" customHeight="1" thickBot="1">
      <c r="A144" s="567"/>
      <c r="B144" s="568"/>
      <c r="C144" s="569"/>
      <c r="D144" s="569"/>
      <c r="E144" s="569"/>
      <c r="F144" s="569"/>
      <c r="G144" s="569"/>
      <c r="H144" s="569"/>
      <c r="I144" s="569"/>
      <c r="J144" s="569"/>
      <c r="K144" s="569"/>
      <c r="L144" s="569"/>
      <c r="M144" s="569"/>
      <c r="N144" s="569"/>
      <c r="O144" s="569"/>
      <c r="P144" s="569"/>
      <c r="Q144" s="569"/>
      <c r="R144" s="569"/>
      <c r="S144" s="569"/>
      <c r="T144" s="569"/>
      <c r="U144" s="569"/>
      <c r="V144" s="569"/>
      <c r="W144" s="569"/>
      <c r="X144" s="569"/>
      <c r="Y144" s="569"/>
      <c r="Z144" s="569"/>
      <c r="AA144" s="569"/>
      <c r="AB144" s="569"/>
      <c r="AC144" s="569"/>
      <c r="AD144" s="569"/>
      <c r="AE144" s="569"/>
      <c r="AF144" s="569"/>
      <c r="AG144" s="569"/>
      <c r="AH144" s="569"/>
      <c r="AI144" s="569"/>
      <c r="AJ144" s="569"/>
      <c r="AK144" s="569"/>
      <c r="AL144" s="569"/>
      <c r="AM144" s="570"/>
      <c r="AN144" s="536"/>
    </row>
    <row r="145" spans="1:42" s="537" customFormat="1" ht="12.75" customHeight="1" thickTop="1">
      <c r="A145" s="571"/>
      <c r="B145" s="572"/>
      <c r="C145" s="573"/>
      <c r="D145" s="573"/>
      <c r="E145" s="573"/>
      <c r="F145" s="573"/>
      <c r="G145" s="573"/>
      <c r="H145" s="573"/>
      <c r="I145" s="574"/>
      <c r="J145" s="574"/>
      <c r="K145" s="574"/>
      <c r="L145" s="574"/>
      <c r="M145" s="574"/>
      <c r="N145" s="574"/>
      <c r="O145" s="574"/>
      <c r="P145" s="574"/>
      <c r="Q145" s="574"/>
      <c r="R145" s="571"/>
      <c r="S145" s="540"/>
      <c r="T145" s="540"/>
      <c r="U145" s="540"/>
      <c r="V145" s="540"/>
      <c r="W145" s="540"/>
      <c r="X145" s="540"/>
      <c r="Y145" s="540"/>
      <c r="Z145" s="540"/>
      <c r="AA145" s="540"/>
      <c r="AB145" s="540"/>
      <c r="AC145" s="540"/>
      <c r="AD145" s="540"/>
      <c r="AE145" s="540"/>
      <c r="AF145" s="571"/>
      <c r="AG145" s="540"/>
      <c r="AH145" s="540"/>
      <c r="AI145" s="540"/>
      <c r="AJ145" s="540"/>
      <c r="AK145" s="551"/>
      <c r="AL145" s="551"/>
      <c r="AM145" s="551"/>
      <c r="AN145" s="536"/>
    </row>
    <row r="146" spans="1:42" s="540" customFormat="1" ht="12.75" customHeight="1">
      <c r="A146" s="539" t="s">
        <v>1336</v>
      </c>
      <c r="AE146" s="2470" t="s">
        <v>1314</v>
      </c>
      <c r="AF146" s="2470"/>
      <c r="AG146" s="2470"/>
      <c r="AH146" s="2470"/>
      <c r="AI146" s="2470"/>
      <c r="AJ146" s="2470"/>
      <c r="AK146" s="2470"/>
      <c r="AL146" s="592"/>
      <c r="AN146" s="593"/>
      <c r="AO146" s="537"/>
    </row>
    <row r="147" spans="1:42" s="540" customFormat="1" ht="12.95" customHeight="1">
      <c r="A147" s="539"/>
      <c r="AE147" s="592"/>
      <c r="AF147" s="592"/>
      <c r="AG147" s="592"/>
      <c r="AH147" s="592"/>
      <c r="AI147" s="592"/>
      <c r="AJ147" s="592"/>
      <c r="AK147" s="592"/>
      <c r="AL147" s="592"/>
      <c r="AN147" s="593"/>
    </row>
    <row r="148" spans="1:42" s="537" customFormat="1" ht="12.75" customHeight="1">
      <c r="A148" s="539"/>
      <c r="B148" s="539" t="s">
        <v>1337</v>
      </c>
      <c r="C148" s="540"/>
      <c r="D148" s="540"/>
      <c r="E148" s="540"/>
      <c r="F148" s="540"/>
      <c r="G148" s="540"/>
      <c r="H148" s="540"/>
      <c r="I148" s="540"/>
      <c r="J148" s="540"/>
      <c r="K148" s="540"/>
      <c r="L148" s="540"/>
      <c r="M148" s="540"/>
      <c r="N148" s="540"/>
      <c r="O148" s="540"/>
      <c r="P148" s="540"/>
      <c r="Q148" s="540"/>
      <c r="R148" s="540"/>
      <c r="S148" s="540"/>
      <c r="T148" s="540"/>
      <c r="U148" s="540"/>
      <c r="V148" s="540"/>
      <c r="W148" s="540"/>
      <c r="X148" s="540"/>
      <c r="Y148" s="540"/>
      <c r="Z148" s="540"/>
      <c r="AA148" s="540"/>
      <c r="AB148" s="540"/>
      <c r="AC148" s="540"/>
      <c r="AD148" s="540"/>
      <c r="AF148" s="2530" t="s">
        <v>1338</v>
      </c>
      <c r="AG148" s="2530"/>
      <c r="AH148" s="2530"/>
      <c r="AI148" s="2530"/>
      <c r="AJ148" s="2530"/>
      <c r="AK148" s="2530"/>
      <c r="AL148" s="2530"/>
      <c r="AM148" s="540"/>
      <c r="AN148" s="536"/>
    </row>
    <row r="149" spans="1:42" s="537" customFormat="1" ht="12.75" customHeight="1">
      <c r="A149" s="539"/>
      <c r="B149" s="539" t="s">
        <v>532</v>
      </c>
      <c r="C149" s="606"/>
      <c r="D149" s="606"/>
      <c r="E149" s="606"/>
      <c r="F149" s="606"/>
      <c r="G149" s="606"/>
      <c r="H149" s="606"/>
      <c r="I149" s="606"/>
      <c r="J149" s="606"/>
      <c r="K149" s="606"/>
      <c r="L149" s="606"/>
      <c r="M149" s="606"/>
      <c r="N149" s="606"/>
      <c r="O149" s="606"/>
      <c r="P149" s="606"/>
      <c r="Q149" s="606"/>
      <c r="R149" s="606"/>
      <c r="S149" s="606"/>
      <c r="T149" s="606"/>
      <c r="U149" s="606"/>
      <c r="V149" s="606"/>
      <c r="W149" s="606"/>
      <c r="X149" s="606"/>
      <c r="Y149" s="606"/>
      <c r="Z149" s="606"/>
      <c r="AA149" s="606"/>
      <c r="AB149" s="606"/>
      <c r="AC149" s="606"/>
      <c r="AD149" s="540"/>
      <c r="AL149" s="595"/>
      <c r="AM149" s="540"/>
      <c r="AN149" s="536"/>
    </row>
    <row r="150" spans="1:42" s="537" customFormat="1" ht="15" customHeight="1">
      <c r="A150" s="539"/>
      <c r="B150" s="2600" t="s">
        <v>2646</v>
      </c>
      <c r="C150" s="2600"/>
      <c r="D150" s="2600"/>
      <c r="E150" s="2600"/>
      <c r="F150" s="2600"/>
      <c r="G150" s="2600"/>
      <c r="H150" s="2600"/>
      <c r="I150" s="2600"/>
      <c r="J150" s="2600"/>
      <c r="K150" s="2600"/>
      <c r="L150" s="2600"/>
      <c r="M150" s="2600"/>
      <c r="N150" s="2600"/>
      <c r="O150" s="2600"/>
      <c r="P150" s="2600"/>
      <c r="Q150" s="2600"/>
      <c r="R150" s="2600"/>
      <c r="S150" s="2600"/>
      <c r="T150" s="2600"/>
      <c r="U150" s="2600"/>
      <c r="V150" s="2600"/>
      <c r="W150" s="2600"/>
      <c r="X150" s="2600"/>
      <c r="Y150" s="2600"/>
      <c r="Z150" s="2600"/>
      <c r="AA150" s="2600"/>
      <c r="AB150" s="2600"/>
      <c r="AC150" s="2600"/>
      <c r="AD150" s="540"/>
      <c r="AE150" s="595"/>
      <c r="AF150" s="595"/>
      <c r="AG150" s="595"/>
      <c r="AH150" s="595"/>
      <c r="AI150" s="595"/>
      <c r="AJ150" s="595"/>
      <c r="AK150" s="595"/>
      <c r="AL150" s="595"/>
      <c r="AM150" s="540"/>
      <c r="AN150" s="536"/>
      <c r="AP150" s="596"/>
    </row>
    <row r="151" spans="1:42" s="537" customFormat="1" ht="12.75" customHeight="1">
      <c r="A151" s="539"/>
      <c r="B151" s="539"/>
      <c r="C151" s="540"/>
      <c r="D151" s="540"/>
      <c r="E151" s="540"/>
      <c r="F151" s="540"/>
      <c r="G151" s="540"/>
      <c r="H151" s="540"/>
      <c r="I151" s="540"/>
      <c r="J151" s="540"/>
      <c r="K151" s="540"/>
      <c r="L151" s="540"/>
      <c r="M151" s="540"/>
      <c r="N151" s="540"/>
      <c r="O151" s="540"/>
      <c r="P151" s="540"/>
      <c r="Q151" s="540"/>
      <c r="R151" s="540"/>
      <c r="S151" s="540"/>
      <c r="T151" s="540"/>
      <c r="U151" s="540"/>
      <c r="V151" s="540"/>
      <c r="W151" s="540"/>
      <c r="X151" s="540"/>
      <c r="Y151" s="540"/>
      <c r="Z151" s="540"/>
      <c r="AA151" s="540"/>
      <c r="AB151" s="540"/>
      <c r="AC151" s="540"/>
      <c r="AD151" s="540"/>
      <c r="AE151" s="595"/>
      <c r="AF151" s="595"/>
      <c r="AG151" s="595"/>
      <c r="AH151" s="595"/>
      <c r="AI151" s="595"/>
      <c r="AJ151" s="595"/>
      <c r="AK151" s="595"/>
      <c r="AL151" s="595"/>
      <c r="AM151" s="540"/>
      <c r="AN151" s="536"/>
      <c r="AO151" s="448" t="s">
        <v>307</v>
      </c>
      <c r="AP151" s="546"/>
    </row>
    <row r="152" spans="1:42" s="537" customFormat="1" ht="12.75" customHeight="1">
      <c r="A152" s="539"/>
      <c r="B152" s="540" t="s">
        <v>1339</v>
      </c>
      <c r="C152" s="540"/>
      <c r="D152" s="540"/>
      <c r="E152" s="540"/>
      <c r="F152" s="540"/>
      <c r="G152" s="540"/>
      <c r="H152" s="540"/>
      <c r="I152" s="540"/>
      <c r="J152" s="540"/>
      <c r="K152" s="540"/>
      <c r="L152" s="540"/>
      <c r="M152" s="540"/>
      <c r="N152" s="540"/>
      <c r="O152" s="540"/>
      <c r="P152" s="540"/>
      <c r="Q152" s="540"/>
      <c r="R152" s="540"/>
      <c r="S152" s="540"/>
      <c r="T152" s="540"/>
      <c r="U152" s="540"/>
      <c r="V152" s="540"/>
      <c r="W152" s="540"/>
      <c r="X152" s="540"/>
      <c r="Y152" s="540"/>
      <c r="Z152" s="540"/>
      <c r="AA152" s="540"/>
      <c r="AB152" s="540"/>
      <c r="AC152" s="540"/>
      <c r="AD152" s="540"/>
      <c r="AE152" s="540"/>
      <c r="AF152" s="540"/>
      <c r="AG152" s="540"/>
      <c r="AH152" s="540"/>
      <c r="AI152" s="540"/>
      <c r="AJ152" s="540"/>
      <c r="AK152" s="540"/>
      <c r="AL152" s="540"/>
      <c r="AM152" s="540"/>
      <c r="AN152" s="536"/>
      <c r="AO152" s="477" t="s">
        <v>1340</v>
      </c>
      <c r="AP152" s="490">
        <v>5</v>
      </c>
    </row>
    <row r="153" spans="1:42" s="537" customFormat="1" ht="12.75" customHeight="1">
      <c r="A153" s="539"/>
      <c r="B153" s="2601" t="s">
        <v>1341</v>
      </c>
      <c r="C153" s="2601"/>
      <c r="D153" s="2601"/>
      <c r="E153" s="2601"/>
      <c r="F153" s="2601"/>
      <c r="G153" s="2601"/>
      <c r="H153" s="2601"/>
      <c r="I153" s="2601"/>
      <c r="J153" s="2601"/>
      <c r="K153" s="2601"/>
      <c r="L153" s="2601"/>
      <c r="M153" s="2601"/>
      <c r="N153" s="2601"/>
      <c r="O153" s="2601"/>
      <c r="P153" s="2601"/>
      <c r="Q153" s="2601"/>
      <c r="R153" s="2601"/>
      <c r="S153" s="2601"/>
      <c r="T153" s="2601"/>
      <c r="U153" s="2601"/>
      <c r="V153" s="2601"/>
      <c r="W153" s="2601"/>
      <c r="X153" s="2601"/>
      <c r="Y153" s="2601"/>
      <c r="Z153" s="2601"/>
      <c r="AA153" s="2601"/>
      <c r="AB153" s="2601"/>
      <c r="AC153" s="2601"/>
      <c r="AD153" s="2601"/>
      <c r="AE153" s="2601"/>
      <c r="AF153" s="2601"/>
      <c r="AG153" s="2601"/>
      <c r="AH153" s="2601"/>
      <c r="AI153" s="2601"/>
      <c r="AM153" s="540"/>
      <c r="AN153" s="536"/>
      <c r="AO153" s="477" t="s">
        <v>1341</v>
      </c>
      <c r="AP153" s="490">
        <v>7</v>
      </c>
    </row>
    <row r="154" spans="1:42" s="537" customFormat="1" ht="12.95" customHeight="1">
      <c r="A154" s="539"/>
      <c r="B154" s="606"/>
      <c r="C154" s="606"/>
      <c r="D154" s="606"/>
      <c r="E154" s="606"/>
      <c r="F154" s="606"/>
      <c r="G154" s="606"/>
      <c r="H154" s="606"/>
      <c r="I154" s="606"/>
      <c r="J154" s="606"/>
      <c r="K154" s="606"/>
      <c r="L154" s="606"/>
      <c r="M154" s="606"/>
      <c r="N154" s="606"/>
      <c r="O154" s="606"/>
      <c r="P154" s="606"/>
      <c r="Q154" s="606"/>
      <c r="R154" s="606"/>
      <c r="S154" s="606"/>
      <c r="T154" s="606"/>
      <c r="U154" s="606"/>
      <c r="V154" s="606"/>
      <c r="W154" s="606"/>
      <c r="X154" s="606"/>
      <c r="Y154" s="606"/>
      <c r="Z154" s="606"/>
      <c r="AA154" s="606"/>
      <c r="AB154" s="606"/>
      <c r="AC154" s="606"/>
      <c r="AD154" s="592"/>
      <c r="AM154" s="540"/>
      <c r="AN154" s="536"/>
      <c r="AO154" s="477" t="s">
        <v>2256</v>
      </c>
      <c r="AP154" s="490">
        <v>7</v>
      </c>
    </row>
    <row r="155" spans="1:42" s="537" customFormat="1" ht="12.75" customHeight="1">
      <c r="A155" s="539"/>
      <c r="B155" s="540" t="s">
        <v>1342</v>
      </c>
      <c r="AB155" s="2402" t="s">
        <v>591</v>
      </c>
      <c r="AC155" s="2402"/>
      <c r="AD155" s="592"/>
      <c r="AM155" s="540"/>
      <c r="AN155" s="536"/>
      <c r="AO155" s="477"/>
      <c r="AP155" s="477"/>
    </row>
    <row r="156" spans="1:42" s="537" customFormat="1" ht="9" customHeight="1">
      <c r="A156" s="539"/>
      <c r="B156" s="606"/>
      <c r="C156" s="606"/>
      <c r="D156" s="606"/>
      <c r="E156" s="606"/>
      <c r="F156" s="606"/>
      <c r="G156" s="606"/>
      <c r="H156" s="606"/>
      <c r="I156" s="606"/>
      <c r="J156" s="606"/>
      <c r="K156" s="606"/>
      <c r="L156" s="606"/>
      <c r="M156" s="606"/>
      <c r="N156" s="606"/>
      <c r="O156" s="606"/>
      <c r="P156" s="606"/>
      <c r="Q156" s="606"/>
      <c r="R156" s="606"/>
      <c r="S156" s="606"/>
      <c r="T156" s="606"/>
      <c r="U156" s="606"/>
      <c r="V156" s="606"/>
      <c r="W156" s="606"/>
      <c r="X156" s="606"/>
      <c r="Y156" s="606"/>
      <c r="Z156" s="606"/>
      <c r="AA156" s="606"/>
      <c r="AB156" s="606"/>
      <c r="AC156" s="606"/>
      <c r="AD156" s="592"/>
      <c r="AM156" s="540"/>
      <c r="AN156" s="536"/>
      <c r="AO156" s="448" t="s">
        <v>1343</v>
      </c>
      <c r="AP156" s="490"/>
    </row>
    <row r="157" spans="1:42" s="537" customFormat="1" ht="12.75" customHeight="1">
      <c r="A157" s="539"/>
      <c r="B157" s="539" t="s">
        <v>1344</v>
      </c>
      <c r="C157" s="606"/>
      <c r="D157" s="606"/>
      <c r="E157" s="606"/>
      <c r="F157" s="606"/>
      <c r="G157" s="606"/>
      <c r="H157" s="606"/>
      <c r="I157" s="606"/>
      <c r="J157" s="606"/>
      <c r="K157" s="606"/>
      <c r="L157" s="606"/>
      <c r="M157" s="606"/>
      <c r="N157" s="606"/>
      <c r="O157" s="606"/>
      <c r="P157" s="606"/>
      <c r="Q157" s="606"/>
      <c r="R157" s="606"/>
      <c r="S157" s="606"/>
      <c r="T157" s="606"/>
      <c r="U157" s="606"/>
      <c r="V157" s="606"/>
      <c r="W157" s="606"/>
      <c r="X157" s="606"/>
      <c r="Y157" s="606"/>
      <c r="Z157" s="606"/>
      <c r="AA157" s="606"/>
      <c r="AB157" s="606"/>
      <c r="AC157" s="606"/>
      <c r="AD157" s="592"/>
      <c r="AM157" s="540"/>
      <c r="AN157" s="536"/>
      <c r="AO157" s="477" t="s">
        <v>1345</v>
      </c>
      <c r="AP157" s="490">
        <v>5</v>
      </c>
    </row>
    <row r="158" spans="1:42" s="537" customFormat="1" ht="12.75" customHeight="1">
      <c r="A158" s="539"/>
      <c r="B158" s="2601" t="s">
        <v>1343</v>
      </c>
      <c r="C158" s="2601"/>
      <c r="D158" s="2601"/>
      <c r="E158" s="2601"/>
      <c r="F158" s="2601"/>
      <c r="G158" s="2601"/>
      <c r="H158" s="2601"/>
      <c r="I158" s="2601"/>
      <c r="J158" s="2601"/>
      <c r="K158" s="2601"/>
      <c r="L158" s="2601"/>
      <c r="M158" s="2601"/>
      <c r="N158" s="2601"/>
      <c r="O158" s="2601"/>
      <c r="P158" s="2601"/>
      <c r="Q158" s="2601"/>
      <c r="R158" s="2601"/>
      <c r="S158" s="2601"/>
      <c r="T158" s="2601"/>
      <c r="U158" s="2601"/>
      <c r="V158" s="2601"/>
      <c r="W158" s="2601"/>
      <c r="X158" s="2601"/>
      <c r="Y158" s="2601"/>
      <c r="Z158" s="2601"/>
      <c r="AA158" s="2601"/>
      <c r="AB158" s="2601"/>
      <c r="AC158" s="2601"/>
      <c r="AD158" s="2601"/>
      <c r="AE158" s="2601"/>
      <c r="AF158" s="2601"/>
      <c r="AG158" s="2601"/>
      <c r="AH158" s="2601"/>
      <c r="AI158" s="2601"/>
      <c r="AJ158" s="2601"/>
      <c r="AN158" s="536"/>
      <c r="AO158" s="477" t="s">
        <v>1346</v>
      </c>
      <c r="AP158" s="490">
        <v>7</v>
      </c>
    </row>
    <row r="159" spans="1:42" s="537" customFormat="1" ht="12.75" customHeight="1">
      <c r="B159" s="540" t="s">
        <v>1347</v>
      </c>
      <c r="C159" s="606"/>
      <c r="D159" s="606"/>
      <c r="E159" s="606"/>
      <c r="F159" s="606"/>
      <c r="G159" s="606"/>
      <c r="H159" s="606"/>
      <c r="I159" s="606"/>
      <c r="J159" s="606"/>
      <c r="K159" s="606"/>
      <c r="L159" s="606"/>
      <c r="M159" s="606"/>
      <c r="N159" s="606"/>
      <c r="O159" s="606"/>
      <c r="P159" s="606"/>
      <c r="Q159" s="606"/>
      <c r="R159" s="606"/>
      <c r="S159" s="606"/>
      <c r="T159" s="606"/>
      <c r="U159" s="606"/>
      <c r="AM159" s="540"/>
      <c r="AN159" s="536"/>
      <c r="AO159" s="477"/>
      <c r="AP159" s="490"/>
    </row>
    <row r="160" spans="1:42" s="537" customFormat="1" ht="12.75" customHeight="1">
      <c r="B160" s="540"/>
      <c r="C160" s="606"/>
      <c r="D160" s="606"/>
      <c r="E160" s="606"/>
      <c r="F160" s="606"/>
      <c r="G160" s="606"/>
      <c r="H160" s="606"/>
      <c r="I160" s="606"/>
      <c r="J160" s="606"/>
      <c r="K160" s="606"/>
      <c r="L160" s="606"/>
      <c r="M160" s="606"/>
      <c r="N160" s="606"/>
      <c r="O160" s="606"/>
      <c r="P160" s="606"/>
      <c r="Q160" s="606"/>
      <c r="R160" s="606"/>
      <c r="S160" s="606"/>
      <c r="T160" s="606"/>
      <c r="U160" s="606"/>
      <c r="AM160" s="540"/>
      <c r="AN160" s="536"/>
      <c r="AO160" s="477"/>
      <c r="AP160" s="490"/>
    </row>
    <row r="161" spans="1:42" s="537" customFormat="1" ht="12.75" customHeight="1">
      <c r="B161" s="2399" t="s">
        <v>2479</v>
      </c>
      <c r="C161" s="2399"/>
      <c r="D161" s="2399"/>
      <c r="E161" s="2399"/>
      <c r="F161" s="2399"/>
      <c r="G161" s="2399"/>
      <c r="H161" s="2399"/>
      <c r="I161" s="2399"/>
      <c r="J161" s="2399"/>
      <c r="K161" s="2399"/>
      <c r="L161" s="2399"/>
      <c r="M161" s="2399"/>
      <c r="N161" s="2399"/>
      <c r="O161" s="2399"/>
      <c r="P161" s="2399"/>
      <c r="Q161" s="2399"/>
      <c r="R161" s="2399"/>
      <c r="S161" s="2399"/>
      <c r="T161" s="2399"/>
      <c r="U161" s="2399"/>
      <c r="V161" s="2399"/>
      <c r="W161" s="2399"/>
      <c r="X161" s="2399"/>
      <c r="Y161" s="2399"/>
      <c r="Z161" s="2399"/>
      <c r="AA161" s="2399"/>
      <c r="AB161" s="2399"/>
      <c r="AC161" s="2399"/>
      <c r="AD161" s="2399"/>
      <c r="AE161" s="2399"/>
      <c r="AF161" s="2399"/>
      <c r="AG161" s="2399"/>
      <c r="AH161" s="2399"/>
      <c r="AI161" s="2399"/>
      <c r="AJ161" s="2399"/>
      <c r="AK161" s="1182"/>
      <c r="AM161" s="540"/>
      <c r="AN161" s="536"/>
      <c r="AO161" s="477"/>
      <c r="AP161" s="490"/>
    </row>
    <row r="162" spans="1:42" s="537" customFormat="1" ht="12.75" customHeight="1">
      <c r="B162" s="2399"/>
      <c r="C162" s="2399"/>
      <c r="D162" s="2399"/>
      <c r="E162" s="2399"/>
      <c r="F162" s="2399"/>
      <c r="G162" s="2399"/>
      <c r="H162" s="2399"/>
      <c r="I162" s="2399"/>
      <c r="J162" s="2399"/>
      <c r="K162" s="2399"/>
      <c r="L162" s="2399"/>
      <c r="M162" s="2399"/>
      <c r="N162" s="2399"/>
      <c r="O162" s="2399"/>
      <c r="P162" s="2399"/>
      <c r="Q162" s="2399"/>
      <c r="R162" s="2399"/>
      <c r="S162" s="2399"/>
      <c r="T162" s="2399"/>
      <c r="U162" s="2399"/>
      <c r="V162" s="2399"/>
      <c r="W162" s="2399"/>
      <c r="X162" s="2399"/>
      <c r="Y162" s="2399"/>
      <c r="Z162" s="2399"/>
      <c r="AA162" s="2399"/>
      <c r="AB162" s="2399"/>
      <c r="AC162" s="2399"/>
      <c r="AD162" s="2399"/>
      <c r="AE162" s="2399"/>
      <c r="AF162" s="2399"/>
      <c r="AG162" s="2399"/>
      <c r="AH162" s="2399"/>
      <c r="AI162" s="2399"/>
      <c r="AJ162" s="2399"/>
      <c r="AK162" s="1182"/>
      <c r="AM162" s="540"/>
      <c r="AN162" s="536"/>
      <c r="AO162" s="477"/>
      <c r="AP162" s="490"/>
    </row>
    <row r="163" spans="1:42" s="537" customFormat="1" ht="12.75" customHeight="1">
      <c r="C163" s="2400" t="s">
        <v>2480</v>
      </c>
      <c r="D163" s="2400"/>
      <c r="E163" s="2400"/>
      <c r="F163" s="2400"/>
      <c r="G163" s="2400"/>
      <c r="H163" s="2400"/>
      <c r="I163" s="2400"/>
      <c r="J163" s="2400"/>
      <c r="K163" s="2400"/>
      <c r="L163" s="2400"/>
      <c r="M163" s="2400"/>
      <c r="N163" s="2400"/>
      <c r="O163" s="2400"/>
      <c r="P163" s="2400"/>
      <c r="Q163" s="2400"/>
      <c r="R163" s="2400"/>
      <c r="S163" s="2400"/>
      <c r="T163" s="2400"/>
      <c r="U163" s="2400"/>
      <c r="V163" s="2400"/>
      <c r="W163" s="2400"/>
      <c r="X163" s="2400"/>
      <c r="Y163" s="2400"/>
      <c r="Z163" s="2400"/>
      <c r="AA163" s="2400"/>
      <c r="AB163" s="2400"/>
      <c r="AC163" s="2400"/>
      <c r="AD163" s="2400"/>
      <c r="AE163" s="2400"/>
      <c r="AF163" s="2400"/>
      <c r="AG163" s="2400"/>
      <c r="AH163" s="2400"/>
      <c r="AI163" s="2400"/>
      <c r="AJ163" s="2400"/>
      <c r="AK163" s="1182"/>
      <c r="AM163" s="540"/>
      <c r="AN163" s="536"/>
      <c r="AO163" s="477"/>
      <c r="AP163" s="490"/>
    </row>
    <row r="164" spans="1:42" s="537" customFormat="1" ht="12.75" customHeight="1">
      <c r="B164" s="1182"/>
      <c r="C164" s="2401" t="s">
        <v>2478</v>
      </c>
      <c r="D164" s="2401"/>
      <c r="E164" s="2401"/>
      <c r="F164" s="2401"/>
      <c r="G164" s="2401"/>
      <c r="H164" s="2401"/>
      <c r="I164" s="2401"/>
      <c r="J164" s="2401"/>
      <c r="K164" s="2401"/>
      <c r="L164" s="2401"/>
      <c r="M164" s="2401"/>
      <c r="N164" s="2401"/>
      <c r="O164" s="2401"/>
      <c r="P164" s="2401"/>
      <c r="Q164" s="2401"/>
      <c r="R164" s="2401"/>
      <c r="S164" s="2401"/>
      <c r="T164" s="2401"/>
      <c r="U164" s="2401"/>
      <c r="V164" s="2401"/>
      <c r="W164" s="2401"/>
      <c r="X164" s="2401"/>
      <c r="Y164" s="2401"/>
      <c r="Z164" s="2401"/>
      <c r="AA164" s="1172"/>
      <c r="AB164" s="1172"/>
      <c r="AC164" s="1172"/>
      <c r="AD164" s="1172"/>
      <c r="AE164" s="1172"/>
      <c r="AF164" s="1172"/>
      <c r="AG164" s="1172"/>
      <c r="AH164" s="1172"/>
      <c r="AJ164" s="2402" t="s">
        <v>591</v>
      </c>
      <c r="AK164" s="2402"/>
      <c r="AM164" s="540"/>
      <c r="AN164" s="536"/>
      <c r="AO164" s="477"/>
      <c r="AP164" s="490"/>
    </row>
    <row r="165" spans="1:42" s="537" customFormat="1" ht="12.75" customHeight="1">
      <c r="AM165" s="540"/>
      <c r="AN165" s="536"/>
    </row>
    <row r="166" spans="1:42" s="551" customFormat="1" ht="12.75" customHeight="1">
      <c r="A166" s="601"/>
      <c r="B166" s="602"/>
      <c r="C166" s="602"/>
      <c r="D166" s="602"/>
      <c r="E166" s="602"/>
      <c r="F166" s="602"/>
      <c r="G166" s="602"/>
      <c r="H166" s="602"/>
      <c r="I166" s="602"/>
      <c r="J166" s="602"/>
      <c r="K166" s="602"/>
      <c r="L166" s="602"/>
      <c r="M166" s="602"/>
      <c r="N166" s="602"/>
      <c r="O166" s="602"/>
      <c r="P166" s="602"/>
      <c r="Q166" s="602"/>
      <c r="R166" s="602"/>
      <c r="S166" s="602"/>
      <c r="T166" s="602"/>
      <c r="U166" s="602"/>
      <c r="V166" s="602"/>
      <c r="W166" s="602"/>
      <c r="X166" s="602"/>
      <c r="Y166" s="602"/>
      <c r="Z166" s="602"/>
      <c r="AA166" s="602"/>
      <c r="AB166" s="602"/>
      <c r="AC166" s="602"/>
      <c r="AD166" s="602"/>
      <c r="AE166" s="602"/>
      <c r="AF166" s="602"/>
      <c r="AG166" s="602"/>
      <c r="AH166" s="602"/>
      <c r="AI166" s="566" t="s">
        <v>1349</v>
      </c>
      <c r="AJ166" s="2490">
        <f>IF($AB$155="N/A",VLOOKUP($B$153,$AO$151:$AP$154,2,FALSE),VLOOKUP($B$158,$AO$156:$AP$158,2,FALSE))</f>
        <v>7</v>
      </c>
      <c r="AK166" s="2490"/>
      <c r="AL166" s="596"/>
      <c r="AM166" s="537"/>
      <c r="AN166" s="599"/>
    </row>
    <row r="167" spans="1:42" s="551" customFormat="1" ht="12.75" customHeight="1">
      <c r="A167" s="596"/>
      <c r="B167" s="596"/>
      <c r="C167" s="537"/>
      <c r="D167" s="537"/>
      <c r="E167" s="537"/>
      <c r="F167" s="537"/>
      <c r="G167" s="537"/>
      <c r="H167" s="537"/>
      <c r="I167" s="537"/>
      <c r="J167" s="537"/>
      <c r="K167" s="537"/>
      <c r="L167" s="537"/>
      <c r="M167" s="537"/>
      <c r="N167" s="537"/>
      <c r="O167" s="537"/>
      <c r="P167" s="537"/>
      <c r="Q167" s="537"/>
      <c r="R167" s="537"/>
      <c r="S167" s="537"/>
      <c r="T167" s="537"/>
      <c r="U167" s="537"/>
      <c r="V167" s="537"/>
      <c r="W167" s="537"/>
      <c r="X167" s="537"/>
      <c r="Y167" s="537"/>
      <c r="Z167" s="537"/>
      <c r="AA167" s="537"/>
      <c r="AB167" s="537"/>
      <c r="AC167" s="537"/>
      <c r="AD167" s="537"/>
      <c r="AE167" s="537"/>
      <c r="AF167" s="537"/>
      <c r="AG167" s="537"/>
      <c r="AH167" s="537"/>
      <c r="AI167" s="537"/>
      <c r="AJ167" s="537"/>
      <c r="AK167" s="537"/>
      <c r="AL167" s="537"/>
      <c r="AM167" s="537"/>
      <c r="AN167" s="599"/>
    </row>
    <row r="168" spans="1:42" s="551" customFormat="1" ht="12.75" customHeight="1">
      <c r="A168" s="537"/>
      <c r="B168" s="539" t="s">
        <v>1351</v>
      </c>
      <c r="C168" s="540"/>
      <c r="D168" s="537"/>
      <c r="E168" s="643"/>
      <c r="F168" s="643"/>
      <c r="G168" s="643"/>
      <c r="H168" s="643"/>
      <c r="I168" s="643"/>
      <c r="J168" s="643"/>
      <c r="K168" s="643"/>
      <c r="L168" s="643"/>
      <c r="M168" s="643"/>
      <c r="N168" s="643"/>
      <c r="O168" s="643"/>
      <c r="P168" s="643"/>
      <c r="Q168" s="643"/>
      <c r="R168" s="643"/>
      <c r="S168" s="643"/>
      <c r="T168" s="643"/>
      <c r="U168" s="643"/>
      <c r="V168" s="643"/>
      <c r="W168" s="643"/>
      <c r="X168" s="643"/>
      <c r="Y168" s="643"/>
      <c r="Z168" s="643"/>
      <c r="AA168" s="643"/>
      <c r="AB168" s="643"/>
      <c r="AC168" s="643"/>
      <c r="AD168" s="643"/>
      <c r="AE168" s="537"/>
      <c r="AF168" s="2530" t="s">
        <v>1352</v>
      </c>
      <c r="AG168" s="2530"/>
      <c r="AH168" s="2530"/>
      <c r="AI168" s="2530"/>
      <c r="AJ168" s="2530"/>
      <c r="AK168" s="2530"/>
      <c r="AL168" s="2530"/>
      <c r="AM168" s="604"/>
      <c r="AN168" s="599"/>
    </row>
    <row r="169" spans="1:42" s="551" customFormat="1" ht="12.75" customHeight="1">
      <c r="A169" s="537"/>
      <c r="B169" s="540" t="s">
        <v>1353</v>
      </c>
      <c r="C169" s="537"/>
      <c r="D169" s="537"/>
      <c r="E169" s="537"/>
      <c r="F169" s="537"/>
      <c r="G169" s="537"/>
      <c r="H169" s="537"/>
      <c r="I169" s="537"/>
      <c r="J169" s="537"/>
      <c r="K169" s="537"/>
      <c r="L169" s="537"/>
      <c r="M169" s="537"/>
      <c r="N169" s="537"/>
      <c r="O169" s="537"/>
      <c r="P169" s="537"/>
      <c r="Q169" s="537"/>
      <c r="R169" s="537"/>
      <c r="S169" s="537"/>
      <c r="T169" s="537"/>
      <c r="U169" s="537"/>
      <c r="V169" s="537"/>
      <c r="W169" s="537"/>
      <c r="X169" s="537"/>
      <c r="Y169" s="537"/>
      <c r="Z169" s="537"/>
      <c r="AA169" s="540"/>
      <c r="AB169" s="540"/>
      <c r="AC169" s="540"/>
      <c r="AD169" s="540"/>
      <c r="AE169" s="537"/>
      <c r="AF169" s="537"/>
      <c r="AG169" s="537"/>
      <c r="AH169" s="537"/>
      <c r="AI169" s="537"/>
      <c r="AJ169" s="537"/>
      <c r="AK169" s="537"/>
      <c r="AL169" s="537"/>
      <c r="AM169" s="604"/>
      <c r="AN169" s="599"/>
    </row>
    <row r="170" spans="1:42" s="551" customFormat="1" ht="12.75" customHeight="1">
      <c r="A170" s="537"/>
      <c r="B170" s="537"/>
      <c r="C170" s="2601" t="s">
        <v>1350</v>
      </c>
      <c r="D170" s="2601"/>
      <c r="E170" s="2601"/>
      <c r="F170" s="2601"/>
      <c r="G170" s="2601"/>
      <c r="H170" s="2601"/>
      <c r="I170" s="2601"/>
      <c r="J170" s="2601"/>
      <c r="K170" s="2601"/>
      <c r="L170" s="2601"/>
      <c r="M170" s="2601"/>
      <c r="N170" s="2601"/>
      <c r="O170" s="2601"/>
      <c r="P170" s="2601"/>
      <c r="Q170" s="2601"/>
      <c r="R170" s="2601"/>
      <c r="S170" s="2601"/>
      <c r="T170" s="2601"/>
      <c r="U170" s="2601"/>
      <c r="V170" s="2601"/>
      <c r="W170" s="2601"/>
      <c r="X170" s="2601"/>
      <c r="Y170" s="2601"/>
      <c r="Z170" s="2601"/>
      <c r="AA170" s="2601"/>
      <c r="AB170" s="2601"/>
      <c r="AC170" s="2601"/>
      <c r="AD170" s="2601"/>
      <c r="AE170" s="2601"/>
      <c r="AF170" s="2601"/>
      <c r="AG170" s="2601"/>
      <c r="AH170" s="2601"/>
      <c r="AI170" s="2601"/>
      <c r="AJ170" s="537"/>
      <c r="AK170" s="537"/>
      <c r="AL170" s="537"/>
      <c r="AM170" s="604"/>
      <c r="AN170" s="598"/>
      <c r="AO170" s="477" t="s">
        <v>307</v>
      </c>
      <c r="AP170" s="477"/>
    </row>
    <row r="171" spans="1:42" s="551" customFormat="1" ht="12.95" customHeight="1">
      <c r="A171" s="537"/>
      <c r="B171" s="537"/>
      <c r="C171" s="606"/>
      <c r="D171" s="606"/>
      <c r="E171" s="606"/>
      <c r="F171" s="606"/>
      <c r="G171" s="606"/>
      <c r="H171" s="606"/>
      <c r="I171" s="606"/>
      <c r="J171" s="606"/>
      <c r="K171" s="606"/>
      <c r="L171" s="606"/>
      <c r="M171" s="606"/>
      <c r="N171" s="606"/>
      <c r="O171" s="606"/>
      <c r="P171" s="606"/>
      <c r="Q171" s="606"/>
      <c r="R171" s="606"/>
      <c r="S171" s="606"/>
      <c r="T171" s="606"/>
      <c r="U171" s="606"/>
      <c r="V171" s="606"/>
      <c r="W171" s="606"/>
      <c r="X171" s="606"/>
      <c r="Y171" s="606"/>
      <c r="Z171" s="606"/>
      <c r="AA171" s="606"/>
      <c r="AB171" s="606"/>
      <c r="AC171" s="606"/>
      <c r="AD171" s="606"/>
      <c r="AE171" s="537"/>
      <c r="AF171" s="537"/>
      <c r="AG171" s="537"/>
      <c r="AH171" s="537"/>
      <c r="AI171" s="537"/>
      <c r="AJ171" s="537"/>
      <c r="AK171" s="537"/>
      <c r="AL171" s="537"/>
      <c r="AM171" s="604"/>
      <c r="AN171" s="598"/>
      <c r="AO171" s="477" t="s">
        <v>1348</v>
      </c>
      <c r="AP171" s="600">
        <v>2</v>
      </c>
    </row>
    <row r="172" spans="1:42" s="551" customFormat="1" ht="12.75" customHeight="1">
      <c r="A172" s="537"/>
      <c r="B172" s="537"/>
      <c r="C172" s="540" t="s">
        <v>1355</v>
      </c>
      <c r="D172" s="537"/>
      <c r="E172" s="537"/>
      <c r="F172" s="537"/>
      <c r="G172" s="537"/>
      <c r="H172" s="537"/>
      <c r="I172" s="537"/>
      <c r="J172" s="537"/>
      <c r="K172" s="537"/>
      <c r="L172" s="537"/>
      <c r="M172" s="537"/>
      <c r="N172" s="537"/>
      <c r="O172" s="537"/>
      <c r="P172" s="537"/>
      <c r="Q172" s="537"/>
      <c r="R172" s="537"/>
      <c r="S172" s="537"/>
      <c r="T172" s="537"/>
      <c r="U172" s="537"/>
      <c r="V172" s="537"/>
      <c r="W172" s="537"/>
      <c r="X172" s="537"/>
      <c r="Y172" s="537"/>
      <c r="Z172" s="537"/>
      <c r="AA172" s="537"/>
      <c r="AB172" s="537"/>
      <c r="AE172" s="537"/>
      <c r="AF172" s="2402" t="s">
        <v>591</v>
      </c>
      <c r="AG172" s="2402"/>
      <c r="AH172" s="537"/>
      <c r="AI172" s="537"/>
      <c r="AJ172" s="537"/>
      <c r="AK172" s="537"/>
      <c r="AL172" s="537"/>
      <c r="AM172" s="604"/>
      <c r="AN172" s="598"/>
      <c r="AO172" s="477" t="s">
        <v>1350</v>
      </c>
      <c r="AP172" s="600">
        <v>3</v>
      </c>
    </row>
    <row r="173" spans="1:42" s="551" customFormat="1" ht="9" customHeight="1">
      <c r="A173" s="537"/>
      <c r="B173" s="537"/>
      <c r="C173" s="606"/>
      <c r="D173" s="606"/>
      <c r="E173" s="606"/>
      <c r="F173" s="606"/>
      <c r="G173" s="606"/>
      <c r="H173" s="606"/>
      <c r="I173" s="606"/>
      <c r="J173" s="606"/>
      <c r="K173" s="606"/>
      <c r="L173" s="606"/>
      <c r="M173" s="606"/>
      <c r="N173" s="606"/>
      <c r="O173" s="606"/>
      <c r="P173" s="606"/>
      <c r="Q173" s="606"/>
      <c r="R173" s="606"/>
      <c r="S173" s="606"/>
      <c r="T173" s="606"/>
      <c r="U173" s="606"/>
      <c r="V173" s="606"/>
      <c r="W173" s="606"/>
      <c r="X173" s="606"/>
      <c r="Y173" s="606"/>
      <c r="Z173" s="606"/>
      <c r="AA173" s="606"/>
      <c r="AB173" s="606"/>
      <c r="AC173" s="606"/>
      <c r="AD173" s="606"/>
      <c r="AE173" s="537"/>
      <c r="AF173" s="537"/>
      <c r="AG173" s="537"/>
      <c r="AJ173" s="537"/>
      <c r="AK173" s="537"/>
      <c r="AL173" s="537"/>
      <c r="AM173" s="604"/>
      <c r="AN173" s="598"/>
      <c r="AO173" s="603" t="s">
        <v>2170</v>
      </c>
      <c r="AP173" s="600">
        <v>3</v>
      </c>
    </row>
    <row r="174" spans="1:42" s="551" customFormat="1" ht="12.75" customHeight="1">
      <c r="A174" s="537"/>
      <c r="B174" s="537"/>
      <c r="C174" s="2601" t="s">
        <v>1343</v>
      </c>
      <c r="D174" s="2601"/>
      <c r="E174" s="2601"/>
      <c r="F174" s="2601"/>
      <c r="G174" s="2601"/>
      <c r="H174" s="2601"/>
      <c r="I174" s="2601"/>
      <c r="J174" s="2601"/>
      <c r="K174" s="2601"/>
      <c r="L174" s="2601"/>
      <c r="M174" s="2601"/>
      <c r="N174" s="2601"/>
      <c r="O174" s="2601"/>
      <c r="P174" s="2601"/>
      <c r="Q174" s="2601"/>
      <c r="R174" s="2601"/>
      <c r="S174" s="2601"/>
      <c r="T174" s="2601"/>
      <c r="U174" s="2601"/>
      <c r="V174" s="2601"/>
      <c r="W174" s="2601"/>
      <c r="X174" s="2601"/>
      <c r="Y174" s="2601"/>
      <c r="Z174" s="2601"/>
      <c r="AA174" s="2601"/>
      <c r="AB174" s="2601"/>
      <c r="AC174" s="2601"/>
      <c r="AD174" s="2601"/>
      <c r="AE174" s="537"/>
      <c r="AF174" s="537"/>
      <c r="AG174" s="537"/>
      <c r="AH174" s="537"/>
      <c r="AI174" s="537"/>
      <c r="AJ174" s="537"/>
      <c r="AK174" s="537"/>
      <c r="AL174" s="537"/>
      <c r="AM174" s="604"/>
      <c r="AN174" s="598"/>
      <c r="AO174" s="603"/>
      <c r="AP174" s="600"/>
    </row>
    <row r="175" spans="1:42" s="551" customFormat="1" ht="12.75" customHeight="1">
      <c r="A175" s="537"/>
      <c r="B175" s="537"/>
      <c r="C175" s="540" t="s">
        <v>1347</v>
      </c>
      <c r="D175" s="540"/>
      <c r="E175" s="540"/>
      <c r="F175" s="540"/>
      <c r="G175" s="540"/>
      <c r="H175" s="540"/>
      <c r="I175" s="540"/>
      <c r="J175" s="540"/>
      <c r="K175" s="540"/>
      <c r="L175" s="540"/>
      <c r="M175" s="540"/>
      <c r="N175" s="540"/>
      <c r="O175" s="540"/>
      <c r="P175" s="540"/>
      <c r="Q175" s="540"/>
      <c r="R175" s="540"/>
      <c r="S175" s="540"/>
      <c r="T175" s="540"/>
      <c r="U175" s="540"/>
      <c r="V175" s="540"/>
      <c r="W175" s="540"/>
      <c r="X175" s="540"/>
      <c r="Y175" s="540"/>
      <c r="Z175" s="540"/>
      <c r="AA175" s="540"/>
      <c r="AB175" s="540"/>
      <c r="AC175" s="540"/>
      <c r="AD175" s="540"/>
      <c r="AE175" s="540"/>
      <c r="AF175" s="540"/>
      <c r="AG175" s="540"/>
      <c r="AH175" s="540"/>
      <c r="AI175" s="540"/>
      <c r="AJ175" s="540"/>
      <c r="AK175" s="540"/>
      <c r="AL175" s="537"/>
      <c r="AM175" s="604"/>
      <c r="AN175" s="598"/>
      <c r="AO175" s="605"/>
      <c r="AP175" s="605"/>
    </row>
    <row r="176" spans="1:42" s="551" customFormat="1" ht="12.75" customHeight="1">
      <c r="A176" s="537"/>
      <c r="B176" s="537"/>
      <c r="C176" s="537"/>
      <c r="D176" s="537"/>
      <c r="E176" s="537"/>
      <c r="F176" s="537"/>
      <c r="G176" s="537"/>
      <c r="H176" s="537"/>
      <c r="I176" s="537"/>
      <c r="J176" s="537"/>
      <c r="K176" s="537"/>
      <c r="L176" s="537"/>
      <c r="M176" s="537"/>
      <c r="N176" s="537"/>
      <c r="O176" s="537"/>
      <c r="P176" s="537"/>
      <c r="Q176" s="537"/>
      <c r="R176" s="537"/>
      <c r="S176" s="537"/>
      <c r="T176" s="537"/>
      <c r="U176" s="537"/>
      <c r="V176" s="537"/>
      <c r="W176" s="537"/>
      <c r="X176" s="537"/>
      <c r="Y176" s="537"/>
      <c r="Z176" s="537"/>
      <c r="AA176" s="537"/>
      <c r="AB176" s="537"/>
      <c r="AC176" s="537"/>
      <c r="AD176" s="537"/>
      <c r="AE176" s="537"/>
      <c r="AF176" s="537"/>
      <c r="AG176" s="537"/>
      <c r="AH176" s="537"/>
      <c r="AI176" s="537"/>
      <c r="AJ176" s="537"/>
      <c r="AK176" s="537"/>
      <c r="AL176" s="537"/>
      <c r="AM176" s="604"/>
      <c r="AN176" s="598"/>
    </row>
    <row r="177" spans="1:73" s="551" customFormat="1" ht="12.75" customHeight="1">
      <c r="A177" s="537"/>
      <c r="B177" s="537"/>
      <c r="C177" s="539" t="s">
        <v>1357</v>
      </c>
      <c r="D177" s="606"/>
      <c r="E177" s="606"/>
      <c r="F177" s="606"/>
      <c r="G177" s="606"/>
      <c r="H177" s="606"/>
      <c r="I177" s="606"/>
      <c r="J177" s="606"/>
      <c r="K177" s="606"/>
      <c r="L177" s="606"/>
      <c r="M177" s="606"/>
      <c r="N177" s="606"/>
      <c r="O177" s="606"/>
      <c r="P177" s="606"/>
      <c r="Q177" s="606"/>
      <c r="R177" s="606"/>
      <c r="S177" s="606"/>
      <c r="T177" s="606"/>
      <c r="U177" s="606"/>
      <c r="V177" s="606"/>
      <c r="W177" s="606"/>
      <c r="X177" s="606"/>
      <c r="Y177" s="606"/>
      <c r="Z177" s="606"/>
      <c r="AA177" s="606"/>
      <c r="AB177" s="606"/>
      <c r="AC177" s="606"/>
      <c r="AD177" s="606"/>
      <c r="AE177" s="537"/>
      <c r="AF177" s="537"/>
      <c r="AG177" s="537"/>
      <c r="AH177" s="537"/>
      <c r="AI177" s="537"/>
      <c r="AJ177" s="537"/>
      <c r="AK177" s="537"/>
      <c r="AL177" s="537"/>
      <c r="AM177" s="604"/>
      <c r="AN177" s="598"/>
      <c r="AO177" s="477" t="s">
        <v>1343</v>
      </c>
      <c r="AP177" s="477"/>
    </row>
    <row r="178" spans="1:73" s="551" customFormat="1" ht="12.75" customHeight="1">
      <c r="A178" s="537"/>
      <c r="B178" s="537"/>
      <c r="C178" s="2602" t="str">
        <f>Application!AA335</f>
        <v>Solari Enterprises</v>
      </c>
      <c r="D178" s="2602"/>
      <c r="E178" s="2602"/>
      <c r="F178" s="2602"/>
      <c r="G178" s="2602"/>
      <c r="H178" s="2602"/>
      <c r="I178" s="2602"/>
      <c r="J178" s="2602"/>
      <c r="K178" s="2602"/>
      <c r="L178" s="2602"/>
      <c r="M178" s="2602"/>
      <c r="N178" s="2602"/>
      <c r="O178" s="2602"/>
      <c r="P178" s="2602"/>
      <c r="Q178" s="2602"/>
      <c r="R178" s="2602"/>
      <c r="S178" s="2602"/>
      <c r="T178" s="2602"/>
      <c r="U178" s="2602"/>
      <c r="V178" s="2602"/>
      <c r="W178" s="2602"/>
      <c r="X178" s="2602"/>
      <c r="Y178" s="2602"/>
      <c r="Z178" s="2602"/>
      <c r="AA178" s="2602"/>
      <c r="AB178" s="2602"/>
      <c r="AC178" s="2602"/>
      <c r="AD178" s="2602"/>
      <c r="AE178" s="537"/>
      <c r="AF178" s="537"/>
      <c r="AG178" s="537"/>
      <c r="AH178" s="537"/>
      <c r="AI178" s="537"/>
      <c r="AJ178" s="537"/>
      <c r="AK178" s="537"/>
      <c r="AL178" s="537"/>
      <c r="AM178" s="604"/>
      <c r="AN178" s="598"/>
      <c r="AO178" s="477" t="s">
        <v>1354</v>
      </c>
      <c r="AP178" s="600">
        <v>2</v>
      </c>
    </row>
    <row r="179" spans="1:73" s="551" customFormat="1" ht="12.75" customHeight="1">
      <c r="A179" s="537"/>
      <c r="B179" s="537"/>
      <c r="C179" s="606"/>
      <c r="D179" s="606"/>
      <c r="E179" s="606"/>
      <c r="F179" s="606"/>
      <c r="G179" s="606"/>
      <c r="H179" s="606"/>
      <c r="I179" s="606"/>
      <c r="J179" s="606"/>
      <c r="K179" s="606"/>
      <c r="L179" s="606"/>
      <c r="M179" s="606"/>
      <c r="N179" s="606"/>
      <c r="O179" s="606"/>
      <c r="P179" s="606"/>
      <c r="Q179" s="606"/>
      <c r="R179" s="606"/>
      <c r="S179" s="606"/>
      <c r="T179" s="606"/>
      <c r="U179" s="606"/>
      <c r="V179" s="606"/>
      <c r="W179" s="606"/>
      <c r="X179" s="606"/>
      <c r="Y179" s="606"/>
      <c r="Z179" s="606"/>
      <c r="AA179" s="606"/>
      <c r="AB179" s="606"/>
      <c r="AC179" s="606"/>
      <c r="AD179" s="606"/>
      <c r="AE179" s="537"/>
      <c r="AF179" s="537"/>
      <c r="AG179" s="537"/>
      <c r="AH179" s="537"/>
      <c r="AI179" s="537"/>
      <c r="AJ179" s="537"/>
      <c r="AK179" s="537"/>
      <c r="AL179" s="537"/>
      <c r="AM179" s="604"/>
      <c r="AN179" s="598"/>
      <c r="AO179" s="477" t="s">
        <v>1356</v>
      </c>
      <c r="AP179" s="600">
        <v>3</v>
      </c>
    </row>
    <row r="180" spans="1:73" s="551" customFormat="1" ht="12.75" customHeight="1">
      <c r="A180" s="607"/>
      <c r="B180" s="565"/>
      <c r="C180" s="565"/>
      <c r="D180" s="564"/>
      <c r="E180" s="565"/>
      <c r="F180" s="565"/>
      <c r="G180" s="565"/>
      <c r="H180" s="565"/>
      <c r="I180" s="565"/>
      <c r="J180" s="565"/>
      <c r="K180" s="565"/>
      <c r="L180" s="565"/>
      <c r="M180" s="565"/>
      <c r="N180" s="565"/>
      <c r="O180" s="565"/>
      <c r="P180" s="565"/>
      <c r="Q180" s="602"/>
      <c r="R180" s="608"/>
      <c r="S180" s="565"/>
      <c r="T180" s="565"/>
      <c r="U180" s="565"/>
      <c r="V180" s="565"/>
      <c r="W180" s="565"/>
      <c r="X180" s="565"/>
      <c r="Y180" s="565"/>
      <c r="Z180" s="565"/>
      <c r="AA180" s="565"/>
      <c r="AB180" s="565"/>
      <c r="AC180" s="565"/>
      <c r="AD180" s="565"/>
      <c r="AE180" s="565"/>
      <c r="AF180" s="565"/>
      <c r="AG180" s="565"/>
      <c r="AH180" s="565"/>
      <c r="AI180" s="566" t="s">
        <v>1358</v>
      </c>
      <c r="AJ180" s="2489">
        <f>IF($AF$172="N/A",VLOOKUP($C$170,$AO$170:$AP$173,2,FALSE),VLOOKUP($C$174,$AO$177:$AP$179,2,FALSE))</f>
        <v>3</v>
      </c>
      <c r="AK180" s="2489"/>
      <c r="AL180" s="609"/>
      <c r="AM180" s="610"/>
      <c r="AN180" s="598"/>
      <c r="AO180" s="603"/>
      <c r="AP180" s="600"/>
    </row>
    <row r="181" spans="1:73" s="551" customFormat="1" ht="12.75" customHeight="1">
      <c r="A181" s="537"/>
      <c r="B181" s="611"/>
      <c r="R181" s="537"/>
      <c r="S181" s="611"/>
      <c r="AN181" s="598"/>
    </row>
    <row r="182" spans="1:73" s="551" customFormat="1" ht="12.75" customHeight="1">
      <c r="A182" s="612"/>
      <c r="B182" s="604"/>
      <c r="C182" s="604"/>
      <c r="D182" s="604"/>
      <c r="E182" s="604"/>
      <c r="F182" s="604"/>
      <c r="G182" s="604"/>
      <c r="H182" s="604"/>
      <c r="I182" s="604"/>
      <c r="J182" s="604"/>
      <c r="K182" s="604"/>
      <c r="L182" s="604"/>
      <c r="M182" s="604"/>
      <c r="N182" s="604"/>
      <c r="O182" s="604"/>
      <c r="P182" s="604"/>
      <c r="Q182" s="604"/>
      <c r="R182" s="604"/>
      <c r="S182" s="604"/>
      <c r="T182" s="604"/>
      <c r="U182" s="604"/>
      <c r="V182" s="604"/>
      <c r="W182" s="604"/>
      <c r="X182" s="604"/>
      <c r="Y182" s="604"/>
      <c r="Z182" s="604"/>
      <c r="AA182" s="604"/>
      <c r="AB182" s="604"/>
      <c r="AC182" s="604"/>
      <c r="AD182" s="604"/>
      <c r="AE182" s="604"/>
      <c r="AF182" s="604"/>
      <c r="AG182" s="604"/>
      <c r="AH182" s="604"/>
      <c r="AI182" s="604"/>
      <c r="AJ182" s="604"/>
      <c r="AK182" s="604"/>
      <c r="AL182" s="604"/>
      <c r="AM182" s="604"/>
      <c r="AN182" s="598"/>
    </row>
    <row r="183" spans="1:73" s="551" customFormat="1" ht="12.75" customHeight="1">
      <c r="A183" s="562"/>
      <c r="B183" s="563"/>
      <c r="C183" s="563"/>
      <c r="D183" s="563"/>
      <c r="E183" s="563"/>
      <c r="F183" s="563"/>
      <c r="G183" s="564"/>
      <c r="H183" s="565"/>
      <c r="I183" s="565"/>
      <c r="J183" s="565"/>
      <c r="K183" s="565"/>
      <c r="L183" s="565"/>
      <c r="M183" s="565"/>
      <c r="N183" s="565"/>
      <c r="O183" s="565"/>
      <c r="P183" s="565"/>
      <c r="Q183" s="565"/>
      <c r="R183" s="565"/>
      <c r="S183" s="565"/>
      <c r="T183" s="565"/>
      <c r="U183" s="565"/>
      <c r="V183" s="565"/>
      <c r="W183" s="565"/>
      <c r="X183" s="565"/>
      <c r="Y183" s="565"/>
      <c r="Z183" s="565"/>
      <c r="AA183" s="565"/>
      <c r="AB183" s="565"/>
      <c r="AC183" s="565"/>
      <c r="AD183" s="565"/>
      <c r="AE183" s="565"/>
      <c r="AF183" s="565"/>
      <c r="AG183" s="565"/>
      <c r="AH183" s="565"/>
      <c r="AI183" s="566"/>
      <c r="AJ183" s="566" t="s">
        <v>1359</v>
      </c>
      <c r="AK183" s="2596">
        <f>$AJ$166+$AJ$180</f>
        <v>10</v>
      </c>
      <c r="AL183" s="2597"/>
      <c r="AM183" s="2598"/>
      <c r="AN183" s="598"/>
    </row>
    <row r="184" spans="1:73" s="551" customFormat="1" ht="12.75" customHeight="1" thickBot="1">
      <c r="A184" s="567"/>
      <c r="B184" s="568"/>
      <c r="C184" s="569"/>
      <c r="D184" s="569"/>
      <c r="E184" s="569"/>
      <c r="F184" s="569"/>
      <c r="G184" s="569"/>
      <c r="H184" s="569"/>
      <c r="I184" s="569"/>
      <c r="J184" s="569"/>
      <c r="K184" s="569"/>
      <c r="L184" s="569"/>
      <c r="M184" s="569"/>
      <c r="N184" s="569"/>
      <c r="O184" s="569"/>
      <c r="P184" s="569"/>
      <c r="Q184" s="569"/>
      <c r="R184" s="569"/>
      <c r="S184" s="569"/>
      <c r="T184" s="569"/>
      <c r="U184" s="569"/>
      <c r="V184" s="569"/>
      <c r="W184" s="569"/>
      <c r="X184" s="569"/>
      <c r="Y184" s="569"/>
      <c r="Z184" s="569"/>
      <c r="AA184" s="569"/>
      <c r="AB184" s="569"/>
      <c r="AC184" s="569"/>
      <c r="AD184" s="569"/>
      <c r="AE184" s="569"/>
      <c r="AF184" s="569"/>
      <c r="AG184" s="569"/>
      <c r="AH184" s="569"/>
      <c r="AI184" s="569"/>
      <c r="AJ184" s="569"/>
      <c r="AK184" s="569"/>
      <c r="AL184" s="569"/>
      <c r="AM184" s="570"/>
      <c r="AN184" s="598"/>
      <c r="AO184" s="569"/>
      <c r="AR184" s="569"/>
      <c r="AS184" s="569"/>
      <c r="AT184" s="569"/>
      <c r="AU184" s="569"/>
      <c r="AV184" s="569"/>
      <c r="AW184" s="569"/>
      <c r="AX184" s="569"/>
      <c r="AY184" s="569"/>
      <c r="AZ184" s="569"/>
      <c r="BA184" s="569"/>
      <c r="BB184" s="569"/>
      <c r="BC184" s="569"/>
      <c r="BD184" s="569"/>
      <c r="BE184" s="569"/>
      <c r="BF184" s="569"/>
      <c r="BG184" s="569"/>
      <c r="BH184" s="569"/>
      <c r="BI184" s="569"/>
      <c r="BJ184" s="569"/>
      <c r="BK184" s="569"/>
      <c r="BL184" s="569"/>
      <c r="BM184" s="569"/>
      <c r="BN184" s="569"/>
      <c r="BO184" s="569"/>
      <c r="BP184" s="569"/>
      <c r="BQ184" s="569"/>
      <c r="BR184" s="569"/>
      <c r="BS184" s="569"/>
      <c r="BT184" s="569"/>
      <c r="BU184" s="569"/>
    </row>
    <row r="185" spans="1:73" s="551" customFormat="1" ht="12.75" customHeight="1" thickTop="1">
      <c r="A185" s="571"/>
      <c r="B185" s="572"/>
      <c r="C185" s="573"/>
      <c r="D185" s="573"/>
      <c r="E185" s="573"/>
      <c r="F185" s="573"/>
      <c r="G185" s="573"/>
      <c r="H185" s="573"/>
      <c r="I185" s="574"/>
      <c r="J185" s="574"/>
      <c r="K185" s="574"/>
      <c r="L185" s="574"/>
      <c r="M185" s="574"/>
      <c r="N185" s="574"/>
      <c r="O185" s="574"/>
      <c r="P185" s="574"/>
      <c r="Q185" s="574"/>
      <c r="R185" s="571"/>
      <c r="S185" s="540"/>
      <c r="T185" s="540"/>
      <c r="U185" s="540"/>
      <c r="V185" s="540"/>
      <c r="W185" s="540"/>
      <c r="X185" s="540"/>
      <c r="Y185" s="540"/>
      <c r="Z185" s="540"/>
      <c r="AA185" s="540"/>
      <c r="AB185" s="540"/>
      <c r="AC185" s="540"/>
      <c r="AD185" s="540"/>
      <c r="AE185" s="540"/>
      <c r="AF185" s="571"/>
      <c r="AG185" s="540"/>
      <c r="AH185" s="540"/>
      <c r="AI185" s="540"/>
      <c r="AJ185" s="540"/>
      <c r="AN185" s="598"/>
      <c r="AP185" s="613" t="s">
        <v>1360</v>
      </c>
      <c r="AQ185" s="613">
        <v>0</v>
      </c>
    </row>
    <row r="186" spans="1:73" s="551" customFormat="1" ht="12.75" customHeight="1">
      <c r="A186" s="539" t="s">
        <v>1361</v>
      </c>
      <c r="B186" s="539" t="s">
        <v>1727</v>
      </c>
      <c r="C186" s="614"/>
      <c r="D186" s="615"/>
      <c r="E186" s="615"/>
      <c r="F186" s="615"/>
      <c r="G186" s="615"/>
      <c r="H186" s="615"/>
      <c r="I186" s="615"/>
      <c r="J186" s="615"/>
      <c r="K186" s="537"/>
      <c r="L186" s="537"/>
      <c r="M186" s="537"/>
      <c r="N186" s="537"/>
      <c r="O186" s="537"/>
      <c r="P186" s="537"/>
      <c r="Q186" s="537"/>
      <c r="R186" s="537"/>
      <c r="S186" s="537"/>
      <c r="T186" s="537"/>
      <c r="U186" s="537"/>
      <c r="V186" s="537"/>
      <c r="W186" s="537"/>
      <c r="X186" s="537"/>
      <c r="Y186" s="616"/>
      <c r="Z186" s="616"/>
      <c r="AA186" s="616"/>
      <c r="AB186" s="616"/>
      <c r="AC186" s="537"/>
      <c r="AD186" s="537"/>
      <c r="AE186" s="2470" t="s">
        <v>1314</v>
      </c>
      <c r="AF186" s="2470"/>
      <c r="AG186" s="2470"/>
      <c r="AH186" s="2470"/>
      <c r="AI186" s="2470"/>
      <c r="AJ186" s="2470"/>
      <c r="AK186" s="2470"/>
      <c r="AL186" s="592"/>
      <c r="AN186" s="598"/>
      <c r="AP186" s="551" t="s">
        <v>1041</v>
      </c>
      <c r="AQ186" s="551">
        <v>10</v>
      </c>
    </row>
    <row r="187" spans="1:73" s="551" customFormat="1" ht="12.75" customHeight="1">
      <c r="A187" s="539"/>
      <c r="B187" s="617"/>
      <c r="C187" s="618"/>
      <c r="D187" s="615"/>
      <c r="E187" s="615"/>
      <c r="F187" s="615"/>
      <c r="G187" s="615"/>
      <c r="H187" s="537"/>
      <c r="I187" s="537"/>
      <c r="J187" s="537"/>
      <c r="K187" s="537"/>
      <c r="L187" s="537"/>
      <c r="M187" s="537"/>
      <c r="N187" s="537"/>
      <c r="O187" s="537"/>
      <c r="P187" s="537"/>
      <c r="Q187" s="537"/>
      <c r="R187" s="616"/>
      <c r="S187" s="616"/>
      <c r="T187" s="616"/>
      <c r="U187" s="616"/>
      <c r="V187" s="616"/>
      <c r="W187" s="616"/>
      <c r="X187" s="616"/>
      <c r="Y187" s="616"/>
      <c r="Z187" s="616"/>
      <c r="AA187" s="616"/>
      <c r="AB187" s="616"/>
      <c r="AC187" s="592"/>
      <c r="AD187" s="592"/>
      <c r="AE187" s="537"/>
      <c r="AF187" s="537"/>
      <c r="AG187" s="537"/>
      <c r="AH187" s="537"/>
      <c r="AI187" s="537"/>
      <c r="AJ187" s="537"/>
      <c r="AK187" s="537"/>
      <c r="AL187" s="537"/>
      <c r="AN187" s="598"/>
      <c r="AP187" s="551" t="s">
        <v>1362</v>
      </c>
      <c r="AQ187" s="551">
        <v>10</v>
      </c>
    </row>
    <row r="188" spans="1:73" s="551" customFormat="1" ht="12.75" customHeight="1">
      <c r="A188" s="537"/>
      <c r="B188" s="2599" t="s">
        <v>1360</v>
      </c>
      <c r="C188" s="2599"/>
      <c r="D188" s="2599"/>
      <c r="E188" s="2599"/>
      <c r="F188" s="2599"/>
      <c r="G188" s="2599"/>
      <c r="H188" s="2599"/>
      <c r="I188" s="2599"/>
      <c r="J188" s="2599"/>
      <c r="K188" s="2599"/>
      <c r="L188" s="2599"/>
      <c r="M188" s="2599"/>
      <c r="N188" s="2599"/>
      <c r="O188" s="2599"/>
      <c r="P188" s="2599"/>
      <c r="Q188" s="2599"/>
      <c r="R188" s="2599"/>
      <c r="S188" s="2599"/>
      <c r="T188" s="2599"/>
      <c r="U188" s="2599"/>
      <c r="V188" s="2599"/>
      <c r="W188" s="2599"/>
      <c r="X188" s="2599"/>
      <c r="Y188" s="2599"/>
      <c r="Z188" s="2599"/>
      <c r="AA188" s="2599"/>
      <c r="AB188" s="2599"/>
      <c r="AC188" s="2599"/>
      <c r="AD188" s="537"/>
      <c r="AE188" s="537"/>
      <c r="AF188" s="2530" t="s">
        <v>1363</v>
      </c>
      <c r="AG188" s="2530"/>
      <c r="AH188" s="2530"/>
      <c r="AI188" s="2530"/>
      <c r="AJ188" s="2530"/>
      <c r="AK188" s="2530"/>
      <c r="AL188" s="2530"/>
      <c r="AN188" s="598"/>
      <c r="AP188" s="551" t="s">
        <v>1043</v>
      </c>
      <c r="AQ188" s="551">
        <v>10</v>
      </c>
    </row>
    <row r="189" spans="1:73" s="551" customFormat="1" ht="12.75" customHeight="1">
      <c r="A189" s="537"/>
      <c r="B189" s="2401" t="s">
        <v>1726</v>
      </c>
      <c r="C189" s="2401"/>
      <c r="D189" s="2401"/>
      <c r="E189" s="2401"/>
      <c r="F189" s="2401"/>
      <c r="G189" s="2401"/>
      <c r="H189" s="2401"/>
      <c r="I189" s="2401"/>
      <c r="J189" s="2401"/>
      <c r="K189" s="2401"/>
      <c r="L189" s="2401"/>
      <c r="M189" s="2401"/>
      <c r="N189" s="2401"/>
      <c r="O189" s="2401"/>
      <c r="P189" s="2401"/>
      <c r="Q189" s="2401"/>
      <c r="R189" s="2401"/>
      <c r="S189" s="2401"/>
      <c r="T189" s="2600" t="s">
        <v>591</v>
      </c>
      <c r="U189" s="2600"/>
      <c r="V189" s="2600"/>
      <c r="W189" s="2600"/>
      <c r="X189" s="2600"/>
      <c r="Y189" s="2600"/>
      <c r="Z189" s="2600"/>
      <c r="AA189" s="2600"/>
      <c r="AB189" s="2600"/>
      <c r="AC189" s="2600"/>
      <c r="AD189" s="537"/>
      <c r="AE189" s="537"/>
      <c r="AF189" s="537"/>
      <c r="AG189" s="537"/>
      <c r="AH189" s="537"/>
      <c r="AI189" s="537"/>
      <c r="AJ189" s="544"/>
      <c r="AK189" s="596"/>
      <c r="AL189" s="596"/>
      <c r="AM189" s="596"/>
      <c r="AN189" s="598"/>
      <c r="AP189" s="551" t="s">
        <v>1364</v>
      </c>
      <c r="AQ189" s="551">
        <v>10</v>
      </c>
      <c r="AS189" s="551" t="s">
        <v>591</v>
      </c>
    </row>
    <row r="190" spans="1:73" s="551" customFormat="1" ht="12.75" customHeight="1">
      <c r="A190" s="537"/>
      <c r="B190" s="606"/>
      <c r="C190" s="606"/>
      <c r="D190" s="606"/>
      <c r="E190" s="606"/>
      <c r="F190" s="606"/>
      <c r="G190" s="606"/>
      <c r="H190" s="606"/>
      <c r="I190" s="606"/>
      <c r="J190" s="606"/>
      <c r="K190" s="606"/>
      <c r="L190" s="606"/>
      <c r="M190" s="606"/>
      <c r="N190" s="606"/>
      <c r="O190" s="606"/>
      <c r="P190" s="606"/>
      <c r="Q190" s="606"/>
      <c r="R190" s="606"/>
      <c r="S190" s="606"/>
      <c r="T190" s="606"/>
      <c r="U190" s="606"/>
      <c r="V190" s="606"/>
      <c r="W190" s="606"/>
      <c r="X190" s="606"/>
      <c r="Y190" s="606"/>
      <c r="Z190" s="606"/>
      <c r="AA190" s="606"/>
      <c r="AB190" s="606"/>
      <c r="AC190" s="606"/>
      <c r="AD190" s="606"/>
      <c r="AE190" s="537"/>
      <c r="AF190" s="537"/>
      <c r="AG190" s="537"/>
      <c r="AH190" s="537"/>
      <c r="AI190" s="537"/>
      <c r="AJ190" s="544"/>
      <c r="AK190" s="596"/>
      <c r="AL190" s="596"/>
      <c r="AM190" s="619"/>
      <c r="AP190" s="551" t="s">
        <v>1367</v>
      </c>
      <c r="AQ190" s="551">
        <v>10</v>
      </c>
      <c r="AS190" s="551" t="s">
        <v>1365</v>
      </c>
    </row>
    <row r="191" spans="1:73" s="551" customFormat="1" ht="12.75" customHeight="1">
      <c r="A191" s="607"/>
      <c r="B191" s="565"/>
      <c r="C191" s="565"/>
      <c r="D191" s="565"/>
      <c r="E191" s="565"/>
      <c r="F191" s="565"/>
      <c r="G191" s="565"/>
      <c r="H191" s="565"/>
      <c r="I191" s="565"/>
      <c r="J191" s="565"/>
      <c r="K191" s="565"/>
      <c r="L191" s="565"/>
      <c r="M191" s="565"/>
      <c r="N191" s="565"/>
      <c r="O191" s="565"/>
      <c r="P191" s="565"/>
      <c r="Q191" s="565"/>
      <c r="R191" s="565"/>
      <c r="S191" s="565"/>
      <c r="T191" s="565"/>
      <c r="U191" s="565"/>
      <c r="V191" s="565"/>
      <c r="W191" s="565"/>
      <c r="X191" s="565"/>
      <c r="Y191" s="565"/>
      <c r="Z191" s="565"/>
      <c r="AA191" s="565"/>
      <c r="AB191" s="565"/>
      <c r="AC191" s="565"/>
      <c r="AD191" s="565"/>
      <c r="AE191" s="565"/>
      <c r="AF191" s="565"/>
      <c r="AG191" s="565"/>
      <c r="AH191" s="565"/>
      <c r="AI191" s="566"/>
      <c r="AJ191" s="566" t="s">
        <v>1366</v>
      </c>
      <c r="AK191" s="2437">
        <f>IF(AK84&gt;0,VLOOKUP($B$188,AP185:AQ191,2,FALSE),0)</f>
        <v>0</v>
      </c>
      <c r="AL191" s="2438"/>
      <c r="AM191" s="2439"/>
      <c r="AN191" s="536"/>
      <c r="AP191" s="551" t="s">
        <v>1369</v>
      </c>
      <c r="AQ191" s="551">
        <v>10</v>
      </c>
      <c r="AS191" s="551" t="s">
        <v>1368</v>
      </c>
    </row>
    <row r="192" spans="1:73" s="551" customFormat="1" ht="12.75" customHeight="1" thickBot="1">
      <c r="A192" s="620"/>
      <c r="B192" s="620"/>
      <c r="C192" s="621"/>
      <c r="D192" s="622"/>
      <c r="E192" s="622"/>
      <c r="F192" s="622"/>
      <c r="G192" s="622"/>
      <c r="H192" s="622"/>
      <c r="I192" s="622"/>
      <c r="J192" s="622"/>
      <c r="K192" s="622"/>
      <c r="L192" s="622"/>
      <c r="M192" s="622"/>
      <c r="N192" s="622"/>
      <c r="O192" s="622"/>
      <c r="P192" s="622"/>
      <c r="Q192" s="622"/>
      <c r="R192" s="622"/>
      <c r="S192" s="622"/>
      <c r="T192" s="622"/>
      <c r="U192" s="622"/>
      <c r="V192" s="622"/>
      <c r="W192" s="622"/>
      <c r="X192" s="622"/>
      <c r="Y192" s="622"/>
      <c r="Z192" s="622"/>
      <c r="AA192" s="622"/>
      <c r="AB192" s="622"/>
      <c r="AC192" s="622"/>
      <c r="AD192" s="622"/>
      <c r="AE192" s="622"/>
      <c r="AF192" s="622"/>
      <c r="AG192" s="622"/>
      <c r="AH192" s="622"/>
      <c r="AI192" s="622"/>
      <c r="AJ192" s="622"/>
      <c r="AK192" s="622"/>
      <c r="AL192" s="622"/>
      <c r="AM192" s="622"/>
      <c r="AN192" s="598"/>
    </row>
    <row r="193" spans="1:40" s="551" customFormat="1" ht="12.75" customHeight="1" thickTop="1">
      <c r="A193" s="571"/>
      <c r="B193" s="572"/>
      <c r="C193" s="573"/>
      <c r="D193" s="573"/>
      <c r="E193" s="573"/>
      <c r="F193" s="573"/>
      <c r="G193" s="573"/>
      <c r="H193" s="573"/>
      <c r="I193" s="574"/>
      <c r="J193" s="574"/>
      <c r="K193" s="574"/>
      <c r="L193" s="574"/>
      <c r="M193" s="574"/>
      <c r="N193" s="574"/>
      <c r="O193" s="574"/>
      <c r="P193" s="574"/>
      <c r="Q193" s="574"/>
      <c r="R193" s="571"/>
      <c r="S193" s="540"/>
      <c r="T193" s="540"/>
      <c r="U193" s="540"/>
      <c r="V193" s="540"/>
      <c r="W193" s="540"/>
      <c r="X193" s="540"/>
      <c r="Y193" s="540"/>
      <c r="Z193" s="540"/>
      <c r="AA193" s="540"/>
      <c r="AB193" s="540"/>
      <c r="AC193" s="540"/>
      <c r="AD193" s="540"/>
      <c r="AE193" s="540"/>
      <c r="AF193" s="571"/>
      <c r="AG193" s="540"/>
      <c r="AH193" s="540"/>
      <c r="AI193" s="540"/>
      <c r="AJ193" s="540"/>
      <c r="AN193" s="598"/>
    </row>
    <row r="194" spans="1:40">
      <c r="A194" s="539" t="s">
        <v>1370</v>
      </c>
      <c r="B194" s="539" t="s">
        <v>1371</v>
      </c>
      <c r="C194" s="614"/>
      <c r="D194" s="615"/>
      <c r="E194" s="615"/>
      <c r="F194" s="615"/>
      <c r="G194" s="615"/>
      <c r="H194" s="615"/>
      <c r="I194" s="615"/>
      <c r="J194" s="615"/>
      <c r="K194" s="551"/>
      <c r="L194" s="551"/>
      <c r="M194" s="551"/>
      <c r="N194" s="551"/>
      <c r="O194" s="551"/>
      <c r="P194" s="551"/>
      <c r="Q194" s="551"/>
      <c r="R194" s="551"/>
      <c r="S194" s="551"/>
      <c r="T194" s="551"/>
      <c r="U194" s="551"/>
      <c r="V194" s="551"/>
      <c r="W194" s="551"/>
      <c r="X194" s="551"/>
      <c r="Y194" s="616"/>
      <c r="Z194" s="616"/>
      <c r="AA194" s="616"/>
      <c r="AB194" s="616"/>
      <c r="AC194" s="551"/>
      <c r="AD194" s="551"/>
      <c r="AE194" s="2470" t="s">
        <v>1372</v>
      </c>
      <c r="AF194" s="2470"/>
      <c r="AG194" s="2470"/>
      <c r="AH194" s="2470"/>
      <c r="AI194" s="2470"/>
      <c r="AJ194" s="2470"/>
      <c r="AK194" s="2470"/>
    </row>
    <row r="195" spans="1:40">
      <c r="A195" s="539"/>
      <c r="B195" s="539"/>
      <c r="C195" s="614"/>
      <c r="D195" s="615"/>
      <c r="E195" s="615"/>
      <c r="F195" s="615"/>
      <c r="G195" s="615"/>
      <c r="H195" s="615"/>
      <c r="I195" s="615"/>
      <c r="J195" s="615"/>
      <c r="K195" s="537"/>
      <c r="L195" s="537"/>
      <c r="M195" s="537"/>
      <c r="N195" s="537"/>
      <c r="O195" s="537"/>
      <c r="P195" s="537"/>
      <c r="Q195" s="537"/>
      <c r="R195" s="537"/>
      <c r="S195" s="537"/>
      <c r="T195" s="537"/>
      <c r="U195" s="537"/>
      <c r="V195" s="537"/>
      <c r="W195" s="537"/>
      <c r="X195" s="537"/>
      <c r="Y195" s="616"/>
      <c r="Z195" s="616"/>
      <c r="AA195" s="616"/>
      <c r="AB195" s="616"/>
      <c r="AC195" s="537"/>
      <c r="AD195" s="537"/>
      <c r="AE195" s="544"/>
      <c r="AF195" s="544"/>
      <c r="AG195" s="544"/>
      <c r="AH195" s="544"/>
      <c r="AI195" s="544"/>
      <c r="AJ195" s="544"/>
      <c r="AK195" s="544"/>
    </row>
    <row r="196" spans="1:40">
      <c r="A196" s="539"/>
      <c r="B196" s="845" t="s">
        <v>1589</v>
      </c>
      <c r="C196" s="614"/>
      <c r="D196" s="615"/>
      <c r="E196" s="615"/>
      <c r="F196" s="615"/>
      <c r="G196" s="615"/>
      <c r="H196" s="615"/>
      <c r="I196" s="615"/>
      <c r="J196" s="615"/>
      <c r="K196" s="537"/>
      <c r="L196" s="537"/>
      <c r="M196" s="537"/>
      <c r="N196" s="537"/>
      <c r="O196" s="537"/>
      <c r="P196" s="537"/>
      <c r="Q196" s="537"/>
      <c r="R196" s="537"/>
      <c r="S196" s="537"/>
      <c r="T196" s="537"/>
      <c r="U196" s="537"/>
      <c r="V196" s="537"/>
      <c r="W196" s="537"/>
      <c r="X196" s="537"/>
      <c r="Y196" s="616"/>
      <c r="Z196" s="616"/>
      <c r="AA196" s="616"/>
      <c r="AB196" s="616"/>
      <c r="AC196" s="537"/>
      <c r="AD196" s="537"/>
      <c r="AE196" s="544"/>
      <c r="AF196" s="544"/>
      <c r="AG196" s="544"/>
      <c r="AH196" s="544"/>
      <c r="AI196" s="544"/>
      <c r="AJ196" s="544"/>
      <c r="AK196" s="544"/>
    </row>
    <row r="197" spans="1:40">
      <c r="A197" s="606"/>
      <c r="C197" s="664"/>
      <c r="D197" s="828"/>
      <c r="E197" s="828"/>
      <c r="F197" s="828"/>
      <c r="G197" s="828"/>
      <c r="H197" s="828"/>
      <c r="I197" s="828"/>
      <c r="J197" s="828"/>
      <c r="K197" s="537"/>
      <c r="L197" s="537"/>
      <c r="M197" s="537"/>
      <c r="N197" s="537"/>
      <c r="O197" s="537"/>
      <c r="P197" s="537"/>
      <c r="Q197" s="537"/>
      <c r="R197" s="537"/>
      <c r="S197" s="537"/>
      <c r="T197" s="537"/>
      <c r="U197" s="537"/>
      <c r="V197" s="537"/>
      <c r="W197" s="537"/>
      <c r="X197" s="537"/>
      <c r="Y197" s="644"/>
      <c r="Z197" s="644"/>
      <c r="AA197" s="644"/>
      <c r="AB197" s="644"/>
      <c r="AC197" s="537"/>
      <c r="AD197" s="537"/>
      <c r="AE197" s="611"/>
      <c r="AF197" s="611"/>
      <c r="AG197" s="611"/>
      <c r="AH197" s="611"/>
      <c r="AI197" s="611"/>
      <c r="AJ197" s="611"/>
      <c r="AK197" s="611"/>
    </row>
    <row r="198" spans="1:40">
      <c r="A198" s="606"/>
      <c r="B198" s="846" t="s">
        <v>1625</v>
      </c>
      <c r="C198" s="664"/>
      <c r="D198" s="828"/>
      <c r="E198" s="828"/>
      <c r="F198" s="828"/>
      <c r="G198" s="828"/>
      <c r="H198" s="828"/>
      <c r="I198" s="828"/>
      <c r="J198" s="828"/>
      <c r="K198" s="537"/>
      <c r="L198" s="537"/>
      <c r="M198" s="537"/>
      <c r="N198" s="537"/>
      <c r="O198" s="537"/>
      <c r="P198" s="537"/>
      <c r="Q198" s="537"/>
      <c r="R198" s="537"/>
      <c r="S198" s="537"/>
      <c r="T198" s="537"/>
      <c r="U198" s="537"/>
      <c r="V198" s="537"/>
      <c r="W198" s="537"/>
      <c r="X198" s="537"/>
      <c r="Y198" s="644"/>
      <c r="Z198" s="644"/>
      <c r="AA198" s="644"/>
      <c r="AB198" s="644"/>
      <c r="AC198" s="537"/>
      <c r="AD198" s="537"/>
      <c r="AE198" s="611"/>
      <c r="AF198" s="611"/>
      <c r="AG198" s="611"/>
      <c r="AH198" s="611"/>
      <c r="AI198" s="611"/>
      <c r="AJ198" s="611"/>
      <c r="AK198" s="611"/>
    </row>
    <row r="199" spans="1:40">
      <c r="A199" s="606"/>
      <c r="B199" s="2593" t="s">
        <v>2645</v>
      </c>
      <c r="C199" s="2593"/>
      <c r="D199" s="2593"/>
      <c r="E199" s="2593"/>
      <c r="F199" s="2593"/>
      <c r="G199" s="2593"/>
      <c r="H199" s="2593"/>
      <c r="I199" s="2593"/>
      <c r="J199" s="2593"/>
      <c r="K199" s="2593"/>
      <c r="L199" s="2593"/>
      <c r="M199" s="2593"/>
      <c r="N199" s="2593"/>
      <c r="O199" s="2593"/>
      <c r="P199" s="2593"/>
      <c r="Q199" s="2593"/>
      <c r="R199" s="2593"/>
      <c r="S199" s="2593"/>
      <c r="T199" s="2593"/>
      <c r="U199" s="2593"/>
      <c r="V199" s="2593"/>
      <c r="W199" s="2593"/>
      <c r="X199" s="2593"/>
      <c r="Y199" s="2593"/>
      <c r="Z199" s="2593"/>
      <c r="AA199" s="2593"/>
      <c r="AB199" s="2593"/>
      <c r="AC199" s="847"/>
      <c r="AD199" s="2583">
        <v>2772894</v>
      </c>
      <c r="AE199" s="2583"/>
      <c r="AF199" s="2583"/>
      <c r="AG199" s="2583"/>
      <c r="AH199" s="2583"/>
      <c r="AI199" s="2583"/>
      <c r="AJ199" s="2583"/>
      <c r="AK199" s="611"/>
    </row>
    <row r="200" spans="1:40">
      <c r="A200" s="606"/>
      <c r="B200" s="2593"/>
      <c r="C200" s="2593"/>
      <c r="D200" s="2593"/>
      <c r="E200" s="2593"/>
      <c r="F200" s="2593"/>
      <c r="G200" s="2593"/>
      <c r="H200" s="2593"/>
      <c r="I200" s="2593"/>
      <c r="J200" s="2593"/>
      <c r="K200" s="2593"/>
      <c r="L200" s="2593"/>
      <c r="M200" s="2593"/>
      <c r="N200" s="2593"/>
      <c r="O200" s="2593"/>
      <c r="P200" s="2593"/>
      <c r="Q200" s="2593"/>
      <c r="R200" s="2593"/>
      <c r="S200" s="2593"/>
      <c r="T200" s="2593"/>
      <c r="U200" s="2593"/>
      <c r="V200" s="2593"/>
      <c r="W200" s="2593"/>
      <c r="X200" s="2593"/>
      <c r="Y200" s="2593"/>
      <c r="Z200" s="2593"/>
      <c r="AA200" s="2593"/>
      <c r="AB200" s="2593"/>
      <c r="AC200" s="847"/>
      <c r="AD200" s="2583"/>
      <c r="AE200" s="2583"/>
      <c r="AF200" s="2583"/>
      <c r="AG200" s="2583"/>
      <c r="AH200" s="2583"/>
      <c r="AI200" s="2583"/>
      <c r="AJ200" s="2583"/>
      <c r="AK200" s="611"/>
    </row>
    <row r="201" spans="1:40">
      <c r="A201" s="606"/>
      <c r="B201" s="2593"/>
      <c r="C201" s="2593"/>
      <c r="D201" s="2593"/>
      <c r="E201" s="2593"/>
      <c r="F201" s="2593"/>
      <c r="G201" s="2593"/>
      <c r="H201" s="2593"/>
      <c r="I201" s="2593"/>
      <c r="J201" s="2593"/>
      <c r="K201" s="2593"/>
      <c r="L201" s="2593"/>
      <c r="M201" s="2593"/>
      <c r="N201" s="2593"/>
      <c r="O201" s="2593"/>
      <c r="P201" s="2593"/>
      <c r="Q201" s="2593"/>
      <c r="R201" s="2593"/>
      <c r="S201" s="2593"/>
      <c r="T201" s="2593"/>
      <c r="U201" s="2593"/>
      <c r="V201" s="2593"/>
      <c r="W201" s="2593"/>
      <c r="X201" s="2593"/>
      <c r="Y201" s="2593"/>
      <c r="Z201" s="2593"/>
      <c r="AA201" s="2593"/>
      <c r="AB201" s="2593"/>
      <c r="AC201" s="847"/>
      <c r="AD201" s="2583"/>
      <c r="AE201" s="2583"/>
      <c r="AF201" s="2583"/>
      <c r="AG201" s="2583"/>
      <c r="AH201" s="2583"/>
      <c r="AI201" s="2583"/>
      <c r="AJ201" s="2583"/>
      <c r="AK201" s="611"/>
    </row>
    <row r="202" spans="1:40">
      <c r="A202" s="606"/>
      <c r="B202" s="2593"/>
      <c r="C202" s="2593"/>
      <c r="D202" s="2593"/>
      <c r="E202" s="2593"/>
      <c r="F202" s="2593"/>
      <c r="G202" s="2593"/>
      <c r="H202" s="2593"/>
      <c r="I202" s="2593"/>
      <c r="J202" s="2593"/>
      <c r="K202" s="2593"/>
      <c r="L202" s="2593"/>
      <c r="M202" s="2593"/>
      <c r="N202" s="2593"/>
      <c r="O202" s="2593"/>
      <c r="P202" s="2593"/>
      <c r="Q202" s="2593"/>
      <c r="R202" s="2593"/>
      <c r="S202" s="2593"/>
      <c r="T202" s="2593"/>
      <c r="U202" s="2593"/>
      <c r="V202" s="2593"/>
      <c r="W202" s="2593"/>
      <c r="X202" s="2593"/>
      <c r="Y202" s="2593"/>
      <c r="Z202" s="2593"/>
      <c r="AA202" s="2593"/>
      <c r="AB202" s="2593"/>
      <c r="AC202" s="847"/>
      <c r="AD202" s="2583"/>
      <c r="AE202" s="2583"/>
      <c r="AF202" s="2583"/>
      <c r="AG202" s="2583"/>
      <c r="AH202" s="2583"/>
      <c r="AI202" s="2583"/>
      <c r="AJ202" s="2583"/>
      <c r="AK202" s="611"/>
    </row>
    <row r="203" spans="1:40">
      <c r="A203" s="606"/>
      <c r="B203" s="2593"/>
      <c r="C203" s="2593"/>
      <c r="D203" s="2593"/>
      <c r="E203" s="2593"/>
      <c r="F203" s="2593"/>
      <c r="G203" s="2593"/>
      <c r="H203" s="2593"/>
      <c r="I203" s="2593"/>
      <c r="J203" s="2593"/>
      <c r="K203" s="2593"/>
      <c r="L203" s="2593"/>
      <c r="M203" s="2593"/>
      <c r="N203" s="2593"/>
      <c r="O203" s="2593"/>
      <c r="P203" s="2593"/>
      <c r="Q203" s="2593"/>
      <c r="R203" s="2593"/>
      <c r="S203" s="2593"/>
      <c r="T203" s="2593"/>
      <c r="U203" s="2593"/>
      <c r="V203" s="2593"/>
      <c r="W203" s="2593"/>
      <c r="X203" s="2593"/>
      <c r="Y203" s="2593"/>
      <c r="Z203" s="2593"/>
      <c r="AA203" s="2593"/>
      <c r="AB203" s="2593"/>
      <c r="AC203" s="847"/>
      <c r="AD203" s="2583"/>
      <c r="AE203" s="2583"/>
      <c r="AF203" s="2583"/>
      <c r="AG203" s="2583"/>
      <c r="AH203" s="2583"/>
      <c r="AI203" s="2583"/>
      <c r="AJ203" s="2583"/>
      <c r="AK203" s="611"/>
    </row>
    <row r="204" spans="1:40">
      <c r="A204" s="606"/>
      <c r="B204" s="2593"/>
      <c r="C204" s="2593"/>
      <c r="D204" s="2593"/>
      <c r="E204" s="2593"/>
      <c r="F204" s="2593"/>
      <c r="G204" s="2593"/>
      <c r="H204" s="2593"/>
      <c r="I204" s="2593"/>
      <c r="J204" s="2593"/>
      <c r="K204" s="2593"/>
      <c r="L204" s="2593"/>
      <c r="M204" s="2593"/>
      <c r="N204" s="2593"/>
      <c r="O204" s="2593"/>
      <c r="P204" s="2593"/>
      <c r="Q204" s="2593"/>
      <c r="R204" s="2593"/>
      <c r="S204" s="2593"/>
      <c r="T204" s="2593"/>
      <c r="U204" s="2593"/>
      <c r="V204" s="2593"/>
      <c r="W204" s="2593"/>
      <c r="X204" s="2593"/>
      <c r="Y204" s="2593"/>
      <c r="Z204" s="2593"/>
      <c r="AA204" s="2593"/>
      <c r="AB204" s="2593"/>
      <c r="AC204" s="847"/>
      <c r="AD204" s="2583"/>
      <c r="AE204" s="2583"/>
      <c r="AF204" s="2583"/>
      <c r="AG204" s="2583"/>
      <c r="AH204" s="2583"/>
      <c r="AI204" s="2583"/>
      <c r="AJ204" s="2583"/>
      <c r="AK204" s="611"/>
    </row>
    <row r="205" spans="1:40">
      <c r="A205" s="606"/>
      <c r="B205" s="2593"/>
      <c r="C205" s="2593"/>
      <c r="D205" s="2593"/>
      <c r="E205" s="2593"/>
      <c r="F205" s="2593"/>
      <c r="G205" s="2593"/>
      <c r="H205" s="2593"/>
      <c r="I205" s="2593"/>
      <c r="J205" s="2593"/>
      <c r="K205" s="2593"/>
      <c r="L205" s="2593"/>
      <c r="M205" s="2593"/>
      <c r="N205" s="2593"/>
      <c r="O205" s="2593"/>
      <c r="P205" s="2593"/>
      <c r="Q205" s="2593"/>
      <c r="R205" s="2593"/>
      <c r="S205" s="2593"/>
      <c r="T205" s="2593"/>
      <c r="U205" s="2593"/>
      <c r="V205" s="2593"/>
      <c r="W205" s="2593"/>
      <c r="X205" s="2593"/>
      <c r="Y205" s="2593"/>
      <c r="Z205" s="2593"/>
      <c r="AA205" s="2593"/>
      <c r="AB205" s="2593"/>
      <c r="AC205" s="847"/>
      <c r="AD205" s="2583"/>
      <c r="AE205" s="2583"/>
      <c r="AF205" s="2583"/>
      <c r="AG205" s="2583"/>
      <c r="AH205" s="2583"/>
      <c r="AI205" s="2583"/>
      <c r="AJ205" s="2583"/>
      <c r="AK205" s="611"/>
    </row>
    <row r="206" spans="1:40">
      <c r="A206" s="606"/>
      <c r="B206" s="2593"/>
      <c r="C206" s="2593"/>
      <c r="D206" s="2593"/>
      <c r="E206" s="2593"/>
      <c r="F206" s="2593"/>
      <c r="G206" s="2593"/>
      <c r="H206" s="2593"/>
      <c r="I206" s="2593"/>
      <c r="J206" s="2593"/>
      <c r="K206" s="2593"/>
      <c r="L206" s="2593"/>
      <c r="M206" s="2593"/>
      <c r="N206" s="2593"/>
      <c r="O206" s="2593"/>
      <c r="P206" s="2593"/>
      <c r="Q206" s="2593"/>
      <c r="R206" s="2593"/>
      <c r="S206" s="2593"/>
      <c r="T206" s="2593"/>
      <c r="U206" s="2593"/>
      <c r="V206" s="2593"/>
      <c r="W206" s="2593"/>
      <c r="X206" s="2593"/>
      <c r="Y206" s="2593"/>
      <c r="Z206" s="2593"/>
      <c r="AA206" s="2593"/>
      <c r="AB206" s="2593"/>
      <c r="AC206" s="847"/>
      <c r="AD206" s="2583"/>
      <c r="AE206" s="2583"/>
      <c r="AF206" s="2583"/>
      <c r="AG206" s="2583"/>
      <c r="AH206" s="2583"/>
      <c r="AI206" s="2583"/>
      <c r="AJ206" s="2583"/>
      <c r="AK206" s="611"/>
    </row>
    <row r="207" spans="1:40">
      <c r="A207" s="606"/>
      <c r="B207" s="2593"/>
      <c r="C207" s="2593"/>
      <c r="D207" s="2593"/>
      <c r="E207" s="2593"/>
      <c r="F207" s="2593"/>
      <c r="G207" s="2593"/>
      <c r="H207" s="2593"/>
      <c r="I207" s="2593"/>
      <c r="J207" s="2593"/>
      <c r="K207" s="2593"/>
      <c r="L207" s="2593"/>
      <c r="M207" s="2593"/>
      <c r="N207" s="2593"/>
      <c r="O207" s="2593"/>
      <c r="P207" s="2593"/>
      <c r="Q207" s="2593"/>
      <c r="R207" s="2593"/>
      <c r="S207" s="2593"/>
      <c r="T207" s="2593"/>
      <c r="U207" s="2593"/>
      <c r="V207" s="2593"/>
      <c r="W207" s="2593"/>
      <c r="X207" s="2593"/>
      <c r="Y207" s="2593"/>
      <c r="Z207" s="2593"/>
      <c r="AA207" s="2593"/>
      <c r="AB207" s="2593"/>
      <c r="AC207" s="847"/>
      <c r="AD207" s="2583"/>
      <c r="AE207" s="2583"/>
      <c r="AF207" s="2583"/>
      <c r="AG207" s="2583"/>
      <c r="AH207" s="2583"/>
      <c r="AI207" s="2583"/>
      <c r="AJ207" s="2583"/>
      <c r="AK207" s="611"/>
    </row>
    <row r="208" spans="1:40">
      <c r="A208" s="606"/>
      <c r="B208" s="2593"/>
      <c r="C208" s="2593"/>
      <c r="D208" s="2593"/>
      <c r="E208" s="2593"/>
      <c r="F208" s="2593"/>
      <c r="G208" s="2593"/>
      <c r="H208" s="2593"/>
      <c r="I208" s="2593"/>
      <c r="J208" s="2593"/>
      <c r="K208" s="2593"/>
      <c r="L208" s="2593"/>
      <c r="M208" s="2593"/>
      <c r="N208" s="2593"/>
      <c r="O208" s="2593"/>
      <c r="P208" s="2593"/>
      <c r="Q208" s="2593"/>
      <c r="R208" s="2593"/>
      <c r="S208" s="2593"/>
      <c r="T208" s="2593"/>
      <c r="U208" s="2593"/>
      <c r="V208" s="2593"/>
      <c r="W208" s="2593"/>
      <c r="X208" s="2593"/>
      <c r="Y208" s="2593"/>
      <c r="Z208" s="2593"/>
      <c r="AA208" s="2593"/>
      <c r="AB208" s="2593"/>
      <c r="AC208" s="847"/>
      <c r="AD208" s="2583"/>
      <c r="AE208" s="2583"/>
      <c r="AF208" s="2583"/>
      <c r="AG208" s="2583"/>
      <c r="AH208" s="2583"/>
      <c r="AI208" s="2583"/>
      <c r="AJ208" s="2583"/>
      <c r="AK208" s="611"/>
    </row>
    <row r="209" spans="1:37">
      <c r="A209" s="606"/>
      <c r="B209" s="2608" t="s">
        <v>1627</v>
      </c>
      <c r="C209" s="2608"/>
      <c r="D209" s="2608"/>
      <c r="E209" s="2608"/>
      <c r="F209" s="2608"/>
      <c r="G209" s="2608"/>
      <c r="H209" s="2608"/>
      <c r="I209" s="2608"/>
      <c r="J209" s="2608"/>
      <c r="K209" s="2608"/>
      <c r="L209" s="2608"/>
      <c r="M209" s="2608"/>
      <c r="N209" s="2608"/>
      <c r="O209" s="2608"/>
      <c r="P209" s="2608"/>
      <c r="Q209" s="2608"/>
      <c r="R209" s="2608"/>
      <c r="S209" s="2608"/>
      <c r="T209" s="2608"/>
      <c r="U209" s="2608"/>
      <c r="V209" s="2608"/>
      <c r="W209" s="2608"/>
      <c r="X209" s="2608"/>
      <c r="Y209" s="2608"/>
      <c r="Z209" s="2608"/>
      <c r="AA209" s="2608"/>
      <c r="AB209" s="2608"/>
      <c r="AC209" s="537"/>
      <c r="AD209" s="2581">
        <f>AB260</f>
        <v>0</v>
      </c>
      <c r="AE209" s="2581"/>
      <c r="AF209" s="2581"/>
      <c r="AG209" s="2581"/>
      <c r="AH209" s="2581"/>
      <c r="AI209" s="2581"/>
      <c r="AJ209" s="2581"/>
      <c r="AK209" s="611"/>
    </row>
    <row r="210" spans="1:37">
      <c r="A210" s="606"/>
      <c r="B210" s="2455" t="s">
        <v>1590</v>
      </c>
      <c r="C210" s="2455"/>
      <c r="D210" s="2455"/>
      <c r="E210" s="2455"/>
      <c r="F210" s="2455"/>
      <c r="G210" s="2455"/>
      <c r="H210" s="2455"/>
      <c r="I210" s="2455"/>
      <c r="J210" s="2455"/>
      <c r="K210" s="2455"/>
      <c r="L210" s="2455"/>
      <c r="M210" s="2455"/>
      <c r="N210" s="2455"/>
      <c r="O210" s="2455"/>
      <c r="P210" s="2455"/>
      <c r="Q210" s="2455"/>
      <c r="R210" s="2455"/>
      <c r="S210" s="2455"/>
      <c r="T210" s="2455"/>
      <c r="U210" s="2455"/>
      <c r="V210" s="2455"/>
      <c r="W210" s="2455"/>
      <c r="X210" s="2455"/>
      <c r="Y210" s="2455"/>
      <c r="Z210" s="2455"/>
      <c r="AA210" s="2455"/>
      <c r="AB210" s="2455"/>
      <c r="AC210" s="847"/>
      <c r="AD210" s="2582">
        <f>'Sources and Uses Budget'!B15</f>
        <v>0</v>
      </c>
      <c r="AE210" s="2582"/>
      <c r="AF210" s="2582"/>
      <c r="AG210" s="2582"/>
      <c r="AH210" s="2582"/>
      <c r="AI210" s="2582"/>
      <c r="AJ210" s="2582"/>
      <c r="AK210" s="611"/>
    </row>
    <row r="211" spans="1:37">
      <c r="A211" s="606"/>
      <c r="B211" s="448"/>
      <c r="C211" s="448"/>
      <c r="D211" s="448"/>
      <c r="E211" s="448"/>
      <c r="F211" s="448"/>
      <c r="G211" s="448"/>
      <c r="H211" s="448"/>
      <c r="I211" s="448"/>
      <c r="J211" s="448"/>
      <c r="K211" s="448"/>
      <c r="L211" s="448"/>
      <c r="M211" s="448"/>
      <c r="N211" s="448"/>
      <c r="O211" s="448"/>
      <c r="P211" s="448"/>
      <c r="Q211" s="448"/>
      <c r="R211" s="448"/>
      <c r="S211" s="448"/>
      <c r="T211" s="448"/>
      <c r="U211" s="448"/>
      <c r="V211" s="448"/>
      <c r="W211" s="448"/>
      <c r="X211" s="448"/>
      <c r="Y211" s="448"/>
      <c r="Z211" s="448"/>
      <c r="AA211" s="448"/>
      <c r="AB211" s="624" t="s">
        <v>899</v>
      </c>
      <c r="AC211" s="537"/>
      <c r="AD211" s="2587">
        <f>SUM(AD199:AJ209)-AD210</f>
        <v>2772894</v>
      </c>
      <c r="AE211" s="2587"/>
      <c r="AF211" s="2587"/>
      <c r="AG211" s="2587"/>
      <c r="AH211" s="2587"/>
      <c r="AI211" s="2587"/>
      <c r="AJ211" s="2587"/>
      <c r="AK211" s="611"/>
    </row>
    <row r="212" spans="1:37">
      <c r="A212" s="606"/>
      <c r="B212" s="606"/>
      <c r="C212" s="664"/>
      <c r="D212" s="828"/>
      <c r="E212" s="828"/>
      <c r="F212" s="828"/>
      <c r="G212" s="828"/>
      <c r="H212" s="828"/>
      <c r="I212" s="828"/>
      <c r="J212" s="828"/>
      <c r="K212" s="537"/>
      <c r="L212" s="537"/>
      <c r="M212" s="537"/>
      <c r="N212" s="537"/>
      <c r="O212" s="537"/>
      <c r="P212" s="537"/>
      <c r="Q212" s="537"/>
      <c r="R212" s="537"/>
      <c r="S212" s="537"/>
      <c r="T212" s="537"/>
      <c r="U212" s="537"/>
      <c r="V212" s="537"/>
      <c r="W212" s="537"/>
      <c r="X212" s="537"/>
      <c r="Y212" s="644"/>
      <c r="Z212" s="644"/>
      <c r="AA212" s="644"/>
      <c r="AB212" s="644"/>
      <c r="AC212" s="537"/>
      <c r="AD212" s="537"/>
      <c r="AE212" s="611"/>
      <c r="AF212" s="611"/>
      <c r="AG212" s="611"/>
      <c r="AH212" s="611"/>
      <c r="AI212" s="611"/>
      <c r="AJ212" s="611"/>
      <c r="AK212" s="611"/>
    </row>
    <row r="213" spans="1:37">
      <c r="A213" s="606"/>
      <c r="B213" s="499" t="s">
        <v>1595</v>
      </c>
      <c r="C213" s="664"/>
      <c r="D213" s="828"/>
      <c r="E213" s="828"/>
      <c r="F213" s="828"/>
      <c r="G213" s="828"/>
      <c r="H213" s="828"/>
      <c r="I213" s="828"/>
      <c r="J213" s="828"/>
      <c r="K213" s="537"/>
      <c r="L213" s="537"/>
      <c r="M213" s="537"/>
      <c r="N213" s="537"/>
      <c r="O213" s="537"/>
      <c r="P213" s="537"/>
      <c r="Q213" s="537"/>
      <c r="R213" s="537"/>
      <c r="S213" s="537"/>
      <c r="T213" s="537"/>
      <c r="U213" s="537"/>
      <c r="V213" s="537"/>
      <c r="W213" s="537"/>
      <c r="X213" s="537"/>
      <c r="Y213" s="644"/>
      <c r="Z213" s="644"/>
      <c r="AA213" s="644"/>
      <c r="AB213" s="644"/>
      <c r="AC213" s="537"/>
      <c r="AD213" s="537"/>
      <c r="AE213" s="611"/>
      <c r="AF213" s="611"/>
      <c r="AG213" s="611"/>
      <c r="AH213" s="611"/>
      <c r="AI213" s="611"/>
      <c r="AJ213" s="611"/>
      <c r="AK213" s="611"/>
    </row>
    <row r="214" spans="1:37">
      <c r="A214" s="606"/>
      <c r="B214" s="477" t="s">
        <v>1626</v>
      </c>
      <c r="C214" s="664"/>
      <c r="D214" s="828"/>
      <c r="E214" s="828"/>
      <c r="F214" s="828"/>
      <c r="G214" s="828"/>
      <c r="H214" s="828"/>
      <c r="I214" s="828"/>
      <c r="J214" s="828"/>
      <c r="K214" s="537"/>
      <c r="L214" s="537"/>
      <c r="M214" s="537"/>
      <c r="N214" s="537"/>
      <c r="O214" s="537"/>
      <c r="P214" s="537"/>
      <c r="Q214" s="537"/>
      <c r="R214" s="537"/>
      <c r="S214" s="537"/>
      <c r="T214" s="537"/>
      <c r="U214" s="537"/>
      <c r="V214" s="537"/>
      <c r="W214" s="537"/>
      <c r="X214" s="537"/>
      <c r="Y214" s="644"/>
      <c r="Z214" s="644"/>
      <c r="AA214" s="644"/>
      <c r="AB214" s="644"/>
      <c r="AC214" s="537"/>
      <c r="AD214" s="537"/>
      <c r="AE214" s="611"/>
      <c r="AF214" s="611"/>
      <c r="AG214" s="611"/>
      <c r="AH214" s="611"/>
      <c r="AI214" s="611"/>
      <c r="AJ214" s="611"/>
      <c r="AK214" s="611"/>
    </row>
    <row r="215" spans="1:37">
      <c r="A215" s="855"/>
      <c r="B215" s="878" t="s">
        <v>1597</v>
      </c>
      <c r="C215" s="879"/>
      <c r="D215" s="880"/>
      <c r="E215" s="880"/>
      <c r="F215" s="880"/>
      <c r="G215" s="880"/>
      <c r="H215" s="880"/>
      <c r="I215" s="880"/>
      <c r="J215" s="880"/>
      <c r="K215" s="881"/>
      <c r="L215" s="881"/>
      <c r="M215" s="881"/>
      <c r="N215" s="881"/>
      <c r="O215" s="881"/>
      <c r="P215" s="881"/>
      <c r="Q215" s="881"/>
      <c r="R215" s="881"/>
      <c r="S215" s="745"/>
      <c r="T215" s="745"/>
      <c r="U215" s="745"/>
      <c r="V215" s="745"/>
      <c r="W215" s="745"/>
      <c r="X215" s="745"/>
      <c r="Y215" s="829"/>
      <c r="Z215" s="829"/>
      <c r="AA215" s="829"/>
      <c r="AB215" s="829"/>
      <c r="AC215" s="745"/>
      <c r="AD215" s="745"/>
      <c r="AE215" s="830"/>
      <c r="AF215" s="830"/>
      <c r="AG215" s="830"/>
      <c r="AH215" s="830"/>
      <c r="AI215" s="830"/>
      <c r="AJ215" s="831"/>
      <c r="AK215" s="611"/>
    </row>
    <row r="216" spans="1:37">
      <c r="A216" s="855"/>
      <c r="B216" s="882" t="s">
        <v>1598</v>
      </c>
      <c r="C216" s="883"/>
      <c r="D216" s="884"/>
      <c r="E216" s="884"/>
      <c r="F216" s="884"/>
      <c r="G216" s="884"/>
      <c r="H216" s="884"/>
      <c r="I216" s="884"/>
      <c r="J216" s="884"/>
      <c r="K216" s="885"/>
      <c r="L216" s="885"/>
      <c r="M216" s="885"/>
      <c r="N216" s="885"/>
      <c r="O216" s="885"/>
      <c r="P216" s="885"/>
      <c r="Q216" s="885"/>
      <c r="R216" s="885"/>
      <c r="S216" s="537"/>
      <c r="T216" s="537"/>
      <c r="U216" s="537"/>
      <c r="V216" s="537"/>
      <c r="W216" s="537"/>
      <c r="X216" s="537"/>
      <c r="Y216" s="644"/>
      <c r="Z216" s="644"/>
      <c r="AA216" s="644"/>
      <c r="AB216" s="644"/>
      <c r="AC216" s="537"/>
      <c r="AD216" s="537"/>
      <c r="AE216" s="611"/>
      <c r="AF216" s="611"/>
      <c r="AG216" s="611"/>
      <c r="AH216" s="611"/>
      <c r="AI216" s="611"/>
      <c r="AJ216" s="832"/>
      <c r="AK216" s="611"/>
    </row>
    <row r="217" spans="1:37">
      <c r="A217" s="855"/>
      <c r="B217" s="882" t="s">
        <v>2025</v>
      </c>
      <c r="C217" s="883"/>
      <c r="D217" s="884"/>
      <c r="E217" s="884"/>
      <c r="F217" s="884"/>
      <c r="G217" s="884"/>
      <c r="H217" s="884"/>
      <c r="I217" s="884"/>
      <c r="J217" s="884"/>
      <c r="K217" s="885"/>
      <c r="L217" s="885"/>
      <c r="M217" s="885"/>
      <c r="N217" s="885"/>
      <c r="O217" s="885"/>
      <c r="P217" s="885"/>
      <c r="Q217" s="885"/>
      <c r="R217" s="885"/>
      <c r="S217" s="537"/>
      <c r="T217" s="537"/>
      <c r="U217" s="537"/>
      <c r="V217" s="537"/>
      <c r="W217" s="537"/>
      <c r="X217" s="537"/>
      <c r="Y217" s="644"/>
      <c r="Z217" s="644"/>
      <c r="AA217" s="644"/>
      <c r="AB217" s="644"/>
      <c r="AC217" s="537"/>
      <c r="AD217" s="537"/>
      <c r="AE217" s="611"/>
      <c r="AF217" s="611"/>
      <c r="AG217" s="611"/>
      <c r="AH217" s="611"/>
      <c r="AI217" s="611"/>
      <c r="AJ217" s="832"/>
      <c r="AK217" s="611"/>
    </row>
    <row r="218" spans="1:37">
      <c r="A218" s="855"/>
      <c r="B218" s="882" t="s">
        <v>1599</v>
      </c>
      <c r="C218" s="883"/>
      <c r="D218" s="884"/>
      <c r="E218" s="884"/>
      <c r="F218" s="884"/>
      <c r="G218" s="884"/>
      <c r="H218" s="884"/>
      <c r="I218" s="884"/>
      <c r="J218" s="884"/>
      <c r="K218" s="885"/>
      <c r="L218" s="885"/>
      <c r="M218" s="885"/>
      <c r="N218" s="885"/>
      <c r="O218" s="885"/>
      <c r="P218" s="885"/>
      <c r="Q218" s="885"/>
      <c r="R218" s="885"/>
      <c r="S218" s="537"/>
      <c r="T218" s="537"/>
      <c r="U218" s="537"/>
      <c r="V218" s="537"/>
      <c r="W218" s="537"/>
      <c r="X218" s="537"/>
      <c r="Y218" s="644"/>
      <c r="Z218" s="644"/>
      <c r="AA218" s="644"/>
      <c r="AB218" s="644"/>
      <c r="AC218" s="537"/>
      <c r="AD218" s="537"/>
      <c r="AE218" s="611"/>
      <c r="AF218" s="611"/>
      <c r="AG218" s="611"/>
      <c r="AH218" s="611"/>
      <c r="AI218" s="611"/>
      <c r="AJ218" s="832"/>
      <c r="AK218" s="611"/>
    </row>
    <row r="219" spans="1:37">
      <c r="A219" s="855"/>
      <c r="B219" s="886" t="s">
        <v>1600</v>
      </c>
      <c r="C219" s="883"/>
      <c r="D219" s="884"/>
      <c r="E219" s="884"/>
      <c r="F219" s="884"/>
      <c r="G219" s="884"/>
      <c r="H219" s="884"/>
      <c r="I219" s="884"/>
      <c r="J219" s="884"/>
      <c r="K219" s="885"/>
      <c r="L219" s="885"/>
      <c r="M219" s="885"/>
      <c r="N219" s="885"/>
      <c r="O219" s="885"/>
      <c r="P219" s="885"/>
      <c r="Q219" s="885"/>
      <c r="R219" s="885"/>
      <c r="S219" s="537"/>
      <c r="T219" s="537"/>
      <c r="U219" s="537"/>
      <c r="V219" s="537"/>
      <c r="W219" s="537"/>
      <c r="X219" s="537"/>
      <c r="Y219" s="644"/>
      <c r="Z219" s="644"/>
      <c r="AA219" s="644"/>
      <c r="AB219" s="644"/>
      <c r="AC219" s="537"/>
      <c r="AD219" s="537"/>
      <c r="AE219" s="611"/>
      <c r="AF219" s="611"/>
      <c r="AG219" s="611"/>
      <c r="AH219" s="611"/>
      <c r="AI219" s="611"/>
      <c r="AJ219" s="832"/>
      <c r="AK219" s="611"/>
    </row>
    <row r="220" spans="1:37">
      <c r="A220" s="855"/>
      <c r="B220" s="887" t="s">
        <v>1636</v>
      </c>
      <c r="C220" s="888"/>
      <c r="D220" s="889"/>
      <c r="E220" s="889"/>
      <c r="F220" s="889"/>
      <c r="G220" s="889"/>
      <c r="H220" s="889"/>
      <c r="I220" s="889"/>
      <c r="J220" s="889"/>
      <c r="K220" s="890"/>
      <c r="L220" s="890"/>
      <c r="M220" s="890"/>
      <c r="N220" s="890"/>
      <c r="O220" s="890"/>
      <c r="P220" s="890"/>
      <c r="Q220" s="890"/>
      <c r="R220" s="890"/>
      <c r="S220" s="738"/>
      <c r="T220" s="738"/>
      <c r="U220" s="738"/>
      <c r="V220" s="738"/>
      <c r="W220" s="738"/>
      <c r="X220" s="738"/>
      <c r="Y220" s="833"/>
      <c r="Z220" s="833"/>
      <c r="AA220" s="833"/>
      <c r="AB220" s="833"/>
      <c r="AC220" s="738"/>
      <c r="AD220" s="738"/>
      <c r="AE220" s="834"/>
      <c r="AF220" s="834"/>
      <c r="AG220" s="834"/>
      <c r="AH220" s="834"/>
      <c r="AI220" s="834"/>
      <c r="AJ220" s="835"/>
      <c r="AK220" s="611"/>
    </row>
    <row r="221" spans="1:37">
      <c r="A221" s="606"/>
      <c r="B221" s="606"/>
      <c r="C221" s="664"/>
      <c r="D221" s="828"/>
      <c r="E221" s="828"/>
      <c r="F221" s="828"/>
      <c r="G221" s="828"/>
      <c r="H221" s="828"/>
      <c r="I221" s="828"/>
      <c r="J221" s="828"/>
      <c r="K221" s="537"/>
      <c r="L221" s="537"/>
      <c r="M221" s="537"/>
      <c r="N221" s="537"/>
      <c r="O221" s="537"/>
      <c r="P221" s="537"/>
      <c r="Q221" s="537"/>
      <c r="R221" s="537"/>
      <c r="S221" s="537"/>
      <c r="T221" s="537"/>
      <c r="U221" s="537"/>
      <c r="V221" s="537"/>
      <c r="W221" s="537"/>
      <c r="X221" s="537"/>
      <c r="Y221" s="644"/>
      <c r="Z221" s="644"/>
      <c r="AA221" s="644"/>
      <c r="AB221" s="644"/>
      <c r="AC221" s="537"/>
      <c r="AD221" s="537"/>
      <c r="AE221" s="611"/>
      <c r="AF221" s="611"/>
      <c r="AG221" s="611"/>
      <c r="AH221" s="611"/>
      <c r="AI221" s="611"/>
      <c r="AJ221" s="611"/>
      <c r="AK221" s="611"/>
    </row>
    <row r="222" spans="1:37">
      <c r="A222" s="606"/>
      <c r="B222" s="849"/>
      <c r="C222" s="477"/>
      <c r="D222" s="477"/>
      <c r="I222" s="2606" t="s">
        <v>1607</v>
      </c>
      <c r="J222" s="2606"/>
      <c r="K222" s="2606"/>
      <c r="L222" s="537"/>
      <c r="M222" s="537"/>
      <c r="N222" s="537"/>
      <c r="O222" s="537"/>
      <c r="P222" s="537"/>
      <c r="Q222" s="537"/>
      <c r="R222" s="537"/>
      <c r="S222" s="537"/>
      <c r="T222" s="2421" t="s">
        <v>1601</v>
      </c>
      <c r="U222" s="2421"/>
      <c r="V222" s="2421"/>
      <c r="W222" s="2421"/>
      <c r="X222" s="2421"/>
      <c r="Y222" s="2421"/>
      <c r="Z222" s="850"/>
      <c r="AA222" s="490"/>
      <c r="AB222" s="2603" t="s">
        <v>1602</v>
      </c>
      <c r="AC222" s="2603"/>
      <c r="AD222" s="2603"/>
      <c r="AE222" s="2603"/>
      <c r="AF222" s="2603"/>
      <c r="AG222" s="2603"/>
      <c r="AH222" s="828"/>
      <c r="AI222" s="828"/>
      <c r="AJ222" s="828"/>
      <c r="AK222" s="611"/>
    </row>
    <row r="223" spans="1:37">
      <c r="A223" s="606"/>
      <c r="B223" s="2604" t="s">
        <v>1587</v>
      </c>
      <c r="C223" s="2604"/>
      <c r="D223" s="2604"/>
      <c r="E223" s="2604"/>
      <c r="F223" s="2604"/>
      <c r="G223" s="2604"/>
      <c r="I223" s="2605" t="s">
        <v>1608</v>
      </c>
      <c r="J223" s="2605"/>
      <c r="K223" s="2605"/>
      <c r="L223" s="1009"/>
      <c r="N223" s="2456" t="s">
        <v>1603</v>
      </c>
      <c r="O223" s="2456"/>
      <c r="P223" s="2456"/>
      <c r="Q223" s="2456"/>
      <c r="R223" s="2456"/>
      <c r="T223" s="2456" t="s">
        <v>1604</v>
      </c>
      <c r="U223" s="2456"/>
      <c r="V223" s="2456"/>
      <c r="W223" s="2456"/>
      <c r="X223" s="2456"/>
      <c r="Y223" s="2456"/>
      <c r="Z223" s="851"/>
      <c r="AA223" s="490"/>
      <c r="AB223" s="2471" t="s">
        <v>1605</v>
      </c>
      <c r="AC223" s="2471"/>
      <c r="AD223" s="2471"/>
      <c r="AE223" s="2471"/>
      <c r="AF223" s="2471"/>
      <c r="AG223" s="2471"/>
      <c r="AH223" s="828"/>
      <c r="AI223" s="828"/>
      <c r="AJ223" s="828"/>
      <c r="AK223" s="611"/>
    </row>
    <row r="224" spans="1:37">
      <c r="A224" s="606"/>
      <c r="B224" s="2472" t="s">
        <v>1184</v>
      </c>
      <c r="C224" s="2472"/>
      <c r="D224" s="2472"/>
      <c r="E224" s="2472"/>
      <c r="F224" s="2472"/>
      <c r="G224" s="2472"/>
      <c r="H224" s="853"/>
      <c r="I224" s="2425"/>
      <c r="J224" s="2425"/>
      <c r="K224" s="2425"/>
      <c r="L224" s="1009"/>
      <c r="N224" s="2423"/>
      <c r="O224" s="2423"/>
      <c r="P224" s="2423"/>
      <c r="Q224" s="2423"/>
      <c r="R224" s="2423"/>
      <c r="T224" s="2422"/>
      <c r="U224" s="2422"/>
      <c r="V224" s="2422"/>
      <c r="W224" s="2422"/>
      <c r="X224" s="2422"/>
      <c r="Y224" s="2422"/>
      <c r="Z224" s="852"/>
      <c r="AA224" s="852"/>
      <c r="AB224" s="2420">
        <f t="shared" ref="AB224:AB233" si="0">MAX(($T224-$N224)*$I224*12,0)</f>
        <v>0</v>
      </c>
      <c r="AC224" s="2420"/>
      <c r="AD224" s="2420"/>
      <c r="AE224" s="2420"/>
      <c r="AF224" s="2420"/>
      <c r="AG224" s="2420"/>
      <c r="AH224" s="828"/>
      <c r="AI224" s="828"/>
      <c r="AJ224" s="828"/>
      <c r="AK224" s="611"/>
    </row>
    <row r="225" spans="1:37">
      <c r="A225" s="606"/>
      <c r="B225" s="2472" t="s">
        <v>1184</v>
      </c>
      <c r="C225" s="2472"/>
      <c r="D225" s="2472"/>
      <c r="E225" s="2472"/>
      <c r="F225" s="2472"/>
      <c r="G225" s="2472"/>
      <c r="I225" s="2425"/>
      <c r="J225" s="2425"/>
      <c r="K225" s="2425"/>
      <c r="L225" s="1009"/>
      <c r="N225" s="2423"/>
      <c r="O225" s="2423"/>
      <c r="P225" s="2423"/>
      <c r="Q225" s="2423"/>
      <c r="R225" s="2423"/>
      <c r="T225" s="2422"/>
      <c r="U225" s="2422"/>
      <c r="V225" s="2422"/>
      <c r="W225" s="2422"/>
      <c r="X225" s="2422"/>
      <c r="Y225" s="2422"/>
      <c r="Z225" s="852"/>
      <c r="AA225" s="852"/>
      <c r="AB225" s="2420">
        <f t="shared" si="0"/>
        <v>0</v>
      </c>
      <c r="AC225" s="2420"/>
      <c r="AD225" s="2420"/>
      <c r="AE225" s="2420"/>
      <c r="AF225" s="2420"/>
      <c r="AG225" s="2420"/>
      <c r="AH225" s="828"/>
      <c r="AI225" s="828"/>
      <c r="AJ225" s="828"/>
      <c r="AK225" s="611"/>
    </row>
    <row r="226" spans="1:37">
      <c r="A226" s="606"/>
      <c r="B226" s="2472" t="s">
        <v>1184</v>
      </c>
      <c r="C226" s="2472"/>
      <c r="D226" s="2472"/>
      <c r="E226" s="2472"/>
      <c r="F226" s="2472"/>
      <c r="G226" s="2472"/>
      <c r="I226" s="2425"/>
      <c r="J226" s="2425"/>
      <c r="K226" s="2425"/>
      <c r="L226" s="1009"/>
      <c r="N226" s="2423"/>
      <c r="O226" s="2423"/>
      <c r="P226" s="2423"/>
      <c r="Q226" s="2423"/>
      <c r="R226" s="2423"/>
      <c r="T226" s="2422"/>
      <c r="U226" s="2422"/>
      <c r="V226" s="2422"/>
      <c r="W226" s="2422"/>
      <c r="X226" s="2422"/>
      <c r="Y226" s="2422"/>
      <c r="Z226" s="852"/>
      <c r="AA226" s="852"/>
      <c r="AB226" s="2420">
        <f t="shared" si="0"/>
        <v>0</v>
      </c>
      <c r="AC226" s="2420"/>
      <c r="AD226" s="2420"/>
      <c r="AE226" s="2420"/>
      <c r="AF226" s="2420"/>
      <c r="AG226" s="2420"/>
      <c r="AH226" s="828"/>
      <c r="AI226" s="828"/>
      <c r="AJ226" s="828"/>
      <c r="AK226" s="611"/>
    </row>
    <row r="227" spans="1:37">
      <c r="A227" s="606"/>
      <c r="B227" s="2472" t="s">
        <v>1184</v>
      </c>
      <c r="C227" s="2472"/>
      <c r="D227" s="2472"/>
      <c r="E227" s="2472"/>
      <c r="F227" s="2472"/>
      <c r="G227" s="2472"/>
      <c r="I227" s="2425"/>
      <c r="J227" s="2425"/>
      <c r="K227" s="2425"/>
      <c r="L227" s="1009"/>
      <c r="N227" s="2423"/>
      <c r="O227" s="2423"/>
      <c r="P227" s="2423"/>
      <c r="Q227" s="2423"/>
      <c r="R227" s="2423"/>
      <c r="T227" s="2422"/>
      <c r="U227" s="2422"/>
      <c r="V227" s="2422"/>
      <c r="W227" s="2422"/>
      <c r="X227" s="2422"/>
      <c r="Y227" s="2422"/>
      <c r="Z227" s="852"/>
      <c r="AA227" s="852"/>
      <c r="AB227" s="2420">
        <f t="shared" si="0"/>
        <v>0</v>
      </c>
      <c r="AC227" s="2420"/>
      <c r="AD227" s="2420"/>
      <c r="AE227" s="2420"/>
      <c r="AF227" s="2420"/>
      <c r="AG227" s="2420"/>
      <c r="AH227" s="828"/>
      <c r="AI227" s="828"/>
      <c r="AJ227" s="828"/>
      <c r="AK227" s="611"/>
    </row>
    <row r="228" spans="1:37">
      <c r="A228" s="606"/>
      <c r="B228" s="2472" t="s">
        <v>1184</v>
      </c>
      <c r="C228" s="2472"/>
      <c r="D228" s="2472"/>
      <c r="E228" s="2472"/>
      <c r="F228" s="2472"/>
      <c r="G228" s="2472"/>
      <c r="I228" s="2425"/>
      <c r="J228" s="2425"/>
      <c r="K228" s="2425"/>
      <c r="L228" s="1016"/>
      <c r="N228" s="2423"/>
      <c r="O228" s="2423"/>
      <c r="P228" s="2423"/>
      <c r="Q228" s="2423"/>
      <c r="R228" s="2423"/>
      <c r="T228" s="2422"/>
      <c r="U228" s="2422"/>
      <c r="V228" s="2422"/>
      <c r="W228" s="2422"/>
      <c r="X228" s="2422"/>
      <c r="Y228" s="2422"/>
      <c r="Z228" s="852"/>
      <c r="AA228" s="852"/>
      <c r="AB228" s="2420">
        <f t="shared" si="0"/>
        <v>0</v>
      </c>
      <c r="AC228" s="2420"/>
      <c r="AD228" s="2420"/>
      <c r="AE228" s="2420"/>
      <c r="AF228" s="2420"/>
      <c r="AG228" s="2420"/>
      <c r="AH228" s="828"/>
      <c r="AI228" s="828"/>
      <c r="AJ228" s="828"/>
      <c r="AK228" s="611"/>
    </row>
    <row r="229" spans="1:37">
      <c r="A229" s="606"/>
      <c r="B229" s="2472" t="s">
        <v>1184</v>
      </c>
      <c r="C229" s="2472"/>
      <c r="D229" s="2472"/>
      <c r="E229" s="2472"/>
      <c r="F229" s="2472"/>
      <c r="G229" s="2472"/>
      <c r="I229" s="2425"/>
      <c r="J229" s="2425"/>
      <c r="K229" s="2425"/>
      <c r="L229" s="1016"/>
      <c r="N229" s="2423"/>
      <c r="O229" s="2423"/>
      <c r="P229" s="2423"/>
      <c r="Q229" s="2423"/>
      <c r="R229" s="2423"/>
      <c r="T229" s="2422"/>
      <c r="U229" s="2422"/>
      <c r="V229" s="2422"/>
      <c r="W229" s="2422"/>
      <c r="X229" s="2422"/>
      <c r="Y229" s="2422"/>
      <c r="Z229" s="852"/>
      <c r="AA229" s="852"/>
      <c r="AB229" s="2420">
        <f t="shared" si="0"/>
        <v>0</v>
      </c>
      <c r="AC229" s="2420"/>
      <c r="AD229" s="2420"/>
      <c r="AE229" s="2420"/>
      <c r="AF229" s="2420"/>
      <c r="AG229" s="2420"/>
      <c r="AH229" s="828"/>
      <c r="AI229" s="828"/>
      <c r="AJ229" s="828"/>
      <c r="AK229" s="611"/>
    </row>
    <row r="230" spans="1:37">
      <c r="A230" s="606"/>
      <c r="B230" s="2472" t="s">
        <v>1184</v>
      </c>
      <c r="C230" s="2472"/>
      <c r="D230" s="2472"/>
      <c r="E230" s="2472"/>
      <c r="F230" s="2472"/>
      <c r="G230" s="2472"/>
      <c r="I230" s="2425"/>
      <c r="J230" s="2425"/>
      <c r="K230" s="2425"/>
      <c r="L230" s="1016"/>
      <c r="N230" s="2423"/>
      <c r="O230" s="2423"/>
      <c r="P230" s="2423"/>
      <c r="Q230" s="2423"/>
      <c r="R230" s="2423"/>
      <c r="T230" s="2422"/>
      <c r="U230" s="2422"/>
      <c r="V230" s="2422"/>
      <c r="W230" s="2422"/>
      <c r="X230" s="2422"/>
      <c r="Y230" s="2422"/>
      <c r="Z230" s="852"/>
      <c r="AA230" s="852"/>
      <c r="AB230" s="2420">
        <f t="shared" si="0"/>
        <v>0</v>
      </c>
      <c r="AC230" s="2420"/>
      <c r="AD230" s="2420"/>
      <c r="AE230" s="2420"/>
      <c r="AF230" s="2420"/>
      <c r="AG230" s="2420"/>
      <c r="AH230" s="828"/>
      <c r="AI230" s="828"/>
      <c r="AJ230" s="828"/>
      <c r="AK230" s="611"/>
    </row>
    <row r="231" spans="1:37">
      <c r="A231" s="606"/>
      <c r="B231" s="2472" t="s">
        <v>1184</v>
      </c>
      <c r="C231" s="2472"/>
      <c r="D231" s="2472"/>
      <c r="E231" s="2472"/>
      <c r="F231" s="2472"/>
      <c r="G231" s="2472"/>
      <c r="I231" s="2425"/>
      <c r="J231" s="2425"/>
      <c r="K231" s="2425"/>
      <c r="L231" s="1016"/>
      <c r="N231" s="2423"/>
      <c r="O231" s="2423"/>
      <c r="P231" s="2423"/>
      <c r="Q231" s="2423"/>
      <c r="R231" s="2423"/>
      <c r="T231" s="2422"/>
      <c r="U231" s="2422"/>
      <c r="V231" s="2422"/>
      <c r="W231" s="2422"/>
      <c r="X231" s="2422"/>
      <c r="Y231" s="2422"/>
      <c r="Z231" s="852"/>
      <c r="AA231" s="852"/>
      <c r="AB231" s="2420">
        <f t="shared" si="0"/>
        <v>0</v>
      </c>
      <c r="AC231" s="2420"/>
      <c r="AD231" s="2420"/>
      <c r="AE231" s="2420"/>
      <c r="AF231" s="2420"/>
      <c r="AG231" s="2420"/>
      <c r="AH231" s="828"/>
      <c r="AI231" s="828"/>
      <c r="AJ231" s="828"/>
      <c r="AK231" s="611"/>
    </row>
    <row r="232" spans="1:37">
      <c r="A232" s="606"/>
      <c r="B232" s="2472" t="s">
        <v>1184</v>
      </c>
      <c r="C232" s="2472"/>
      <c r="D232" s="2472"/>
      <c r="E232" s="2472"/>
      <c r="F232" s="2472"/>
      <c r="G232" s="2472"/>
      <c r="I232" s="2425"/>
      <c r="J232" s="2425"/>
      <c r="K232" s="2425"/>
      <c r="L232" s="1016"/>
      <c r="N232" s="2423"/>
      <c r="O232" s="2423"/>
      <c r="P232" s="2423"/>
      <c r="Q232" s="2423"/>
      <c r="R232" s="2423"/>
      <c r="T232" s="2422"/>
      <c r="U232" s="2422"/>
      <c r="V232" s="2422"/>
      <c r="W232" s="2422"/>
      <c r="X232" s="2422"/>
      <c r="Y232" s="2422"/>
      <c r="Z232" s="852"/>
      <c r="AA232" s="852"/>
      <c r="AB232" s="2420">
        <f t="shared" si="0"/>
        <v>0</v>
      </c>
      <c r="AC232" s="2420"/>
      <c r="AD232" s="2420"/>
      <c r="AE232" s="2420"/>
      <c r="AF232" s="2420"/>
      <c r="AG232" s="2420"/>
      <c r="AH232" s="828"/>
      <c r="AI232" s="828"/>
      <c r="AJ232" s="828"/>
      <c r="AK232" s="611"/>
    </row>
    <row r="233" spans="1:37">
      <c r="A233" s="606"/>
      <c r="B233" s="2472" t="s">
        <v>1184</v>
      </c>
      <c r="C233" s="2472"/>
      <c r="D233" s="2472"/>
      <c r="E233" s="2472"/>
      <c r="F233" s="2472"/>
      <c r="G233" s="2472"/>
      <c r="I233" s="2607"/>
      <c r="J233" s="2607"/>
      <c r="K233" s="2607"/>
      <c r="L233" s="1016"/>
      <c r="N233" s="2423"/>
      <c r="O233" s="2423"/>
      <c r="P233" s="2423"/>
      <c r="Q233" s="2423"/>
      <c r="R233" s="2423"/>
      <c r="T233" s="2422"/>
      <c r="U233" s="2422"/>
      <c r="V233" s="2422"/>
      <c r="W233" s="2422"/>
      <c r="X233" s="2422"/>
      <c r="Y233" s="2422"/>
      <c r="Z233" s="852"/>
      <c r="AA233" s="852"/>
      <c r="AB233" s="2426">
        <f t="shared" si="0"/>
        <v>0</v>
      </c>
      <c r="AC233" s="2426"/>
      <c r="AD233" s="2426"/>
      <c r="AE233" s="2426"/>
      <c r="AF233" s="2426"/>
      <c r="AG233" s="2426"/>
      <c r="AH233" s="828"/>
      <c r="AI233" s="828"/>
      <c r="AJ233" s="828"/>
      <c r="AK233" s="611"/>
    </row>
    <row r="234" spans="1:37">
      <c r="A234" s="606"/>
      <c r="B234" s="477"/>
      <c r="C234" s="853"/>
      <c r="D234" s="477"/>
      <c r="K234" s="537"/>
      <c r="L234" s="537"/>
      <c r="M234" s="537"/>
      <c r="N234" s="537"/>
      <c r="O234" s="537"/>
      <c r="P234" s="537"/>
      <c r="Q234" s="537"/>
      <c r="R234" s="537"/>
      <c r="S234" s="537"/>
      <c r="T234" s="537"/>
      <c r="U234" s="537"/>
      <c r="V234" s="537"/>
      <c r="W234" s="537"/>
      <c r="X234" s="537"/>
      <c r="Y234" s="854" t="s">
        <v>1606</v>
      </c>
      <c r="AA234" s="854"/>
      <c r="AB234" s="2420">
        <f>SUM(AB224:AB233)</f>
        <v>0</v>
      </c>
      <c r="AC234" s="2420"/>
      <c r="AD234" s="2420"/>
      <c r="AE234" s="2420"/>
      <c r="AF234" s="2420"/>
      <c r="AG234" s="2420"/>
      <c r="AH234" s="828"/>
      <c r="AI234" s="828"/>
      <c r="AJ234" s="828"/>
      <c r="AK234" s="611"/>
    </row>
    <row r="235" spans="1:37">
      <c r="A235" s="606"/>
      <c r="B235" s="606"/>
      <c r="C235" s="664"/>
      <c r="D235" s="828"/>
      <c r="E235" s="828"/>
      <c r="F235" s="828"/>
      <c r="G235" s="828"/>
      <c r="H235" s="828"/>
      <c r="I235" s="828"/>
      <c r="J235" s="828"/>
      <c r="K235" s="551"/>
      <c r="L235" s="551"/>
      <c r="M235" s="551"/>
      <c r="N235" s="551"/>
      <c r="O235" s="551"/>
      <c r="P235" s="551"/>
      <c r="Q235" s="551"/>
      <c r="R235" s="551"/>
      <c r="S235" s="551"/>
      <c r="T235" s="551"/>
      <c r="U235" s="551"/>
      <c r="V235" s="551"/>
      <c r="W235" s="551"/>
      <c r="X235" s="551"/>
      <c r="Y235" s="644"/>
      <c r="Z235" s="644"/>
      <c r="AA235" s="644"/>
      <c r="AB235" s="644"/>
      <c r="AC235" s="551"/>
      <c r="AD235" s="551"/>
      <c r="AE235" s="611"/>
      <c r="AF235" s="611"/>
      <c r="AG235" s="611"/>
      <c r="AH235" s="611"/>
      <c r="AI235" s="611"/>
      <c r="AJ235" s="611"/>
      <c r="AK235" s="611"/>
    </row>
    <row r="236" spans="1:37">
      <c r="A236" s="1138" t="s">
        <v>1596</v>
      </c>
      <c r="C236" s="664"/>
      <c r="D236" s="828"/>
      <c r="E236" s="828"/>
      <c r="F236" s="828"/>
      <c r="G236" s="828"/>
      <c r="H236" s="828"/>
      <c r="I236" s="828"/>
      <c r="J236" s="828"/>
      <c r="K236" s="537"/>
      <c r="L236" s="537"/>
      <c r="M236" s="537"/>
      <c r="N236" s="537"/>
      <c r="O236" s="537"/>
      <c r="P236" s="537"/>
      <c r="Q236" s="537"/>
      <c r="R236" s="537"/>
      <c r="S236" s="537"/>
      <c r="T236" s="537"/>
      <c r="U236" s="537"/>
      <c r="V236" s="537"/>
      <c r="W236" s="537"/>
      <c r="X236" s="537"/>
      <c r="Y236" s="644"/>
      <c r="Z236" s="644"/>
      <c r="AA236" s="644"/>
      <c r="AB236" s="644"/>
      <c r="AC236" s="537"/>
      <c r="AD236" s="537"/>
      <c r="AE236" s="611"/>
      <c r="AF236" s="611"/>
      <c r="AG236" s="611"/>
      <c r="AH236" s="611"/>
      <c r="AI236" s="611"/>
      <c r="AJ236" s="611"/>
      <c r="AK236" s="611"/>
    </row>
    <row r="237" spans="1:37">
      <c r="A237" s="606"/>
      <c r="B237" s="477" t="s">
        <v>1624</v>
      </c>
      <c r="C237" s="664"/>
      <c r="D237" s="828"/>
      <c r="E237" s="828"/>
      <c r="F237" s="828"/>
      <c r="G237" s="828"/>
      <c r="H237" s="828"/>
      <c r="I237" s="828"/>
      <c r="J237" s="828"/>
      <c r="K237" s="537"/>
      <c r="L237" s="537"/>
      <c r="M237" s="537"/>
      <c r="N237" s="537"/>
      <c r="O237" s="537"/>
      <c r="P237" s="537"/>
      <c r="Q237" s="537"/>
      <c r="R237" s="537"/>
      <c r="S237" s="537"/>
      <c r="T237" s="537"/>
      <c r="U237" s="537"/>
      <c r="V237" s="537"/>
      <c r="W237" s="537"/>
      <c r="X237" s="537"/>
      <c r="Y237" s="644"/>
      <c r="Z237" s="644"/>
      <c r="AA237" s="644"/>
      <c r="AB237" s="644"/>
      <c r="AC237" s="537"/>
      <c r="AD237" s="537"/>
      <c r="AE237" s="611"/>
      <c r="AF237" s="611"/>
      <c r="AG237" s="611"/>
      <c r="AH237" s="611"/>
      <c r="AI237" s="611"/>
      <c r="AJ237" s="611"/>
      <c r="AK237" s="611"/>
    </row>
    <row r="238" spans="1:37">
      <c r="A238" s="606"/>
      <c r="B238" s="477"/>
      <c r="C238" s="664"/>
      <c r="D238" s="828"/>
      <c r="E238" s="828"/>
      <c r="F238" s="828"/>
      <c r="G238" s="828"/>
      <c r="H238" s="828"/>
      <c r="I238" s="828"/>
      <c r="J238" s="828"/>
      <c r="K238" s="537"/>
      <c r="L238" s="537"/>
      <c r="M238" s="537"/>
      <c r="N238" s="537"/>
      <c r="O238" s="537"/>
      <c r="P238" s="537"/>
      <c r="Q238" s="537"/>
      <c r="R238" s="537"/>
      <c r="S238" s="537"/>
      <c r="T238" s="537"/>
      <c r="U238" s="537"/>
      <c r="V238" s="537"/>
      <c r="W238" s="537"/>
      <c r="X238" s="537"/>
      <c r="Y238" s="644"/>
      <c r="Z238" s="644"/>
      <c r="AA238" s="644"/>
      <c r="AB238" s="644"/>
      <c r="AC238" s="537"/>
      <c r="AD238" s="537"/>
      <c r="AE238" s="611"/>
      <c r="AF238" s="611"/>
      <c r="AG238" s="611"/>
      <c r="AH238" s="611"/>
      <c r="AI238" s="611"/>
      <c r="AJ238" s="611"/>
      <c r="AK238" s="611"/>
    </row>
    <row r="239" spans="1:37">
      <c r="A239" s="606"/>
      <c r="B239" s="837" t="s">
        <v>1622</v>
      </c>
      <c r="C239" s="664"/>
      <c r="D239" s="828"/>
      <c r="E239" s="828"/>
      <c r="F239" s="828"/>
      <c r="G239" s="828"/>
      <c r="H239" s="828"/>
      <c r="I239" s="828"/>
      <c r="J239" s="828"/>
      <c r="K239" s="537"/>
      <c r="L239" s="537"/>
      <c r="M239" s="537"/>
      <c r="N239" s="537"/>
      <c r="O239" s="537"/>
      <c r="P239" s="537"/>
      <c r="Q239" s="537"/>
      <c r="R239" s="537"/>
      <c r="S239" s="537"/>
      <c r="T239" s="537"/>
      <c r="U239" s="537"/>
      <c r="V239" s="537"/>
      <c r="W239" s="537"/>
      <c r="X239" s="537"/>
      <c r="Y239" s="644"/>
      <c r="Z239" s="644"/>
      <c r="AA239" s="644"/>
      <c r="AB239" s="644"/>
      <c r="AC239" s="537"/>
      <c r="AD239" s="537"/>
      <c r="AE239" s="611"/>
      <c r="AF239" s="611"/>
      <c r="AG239" s="611"/>
      <c r="AH239" s="611"/>
      <c r="AI239" s="611"/>
      <c r="AJ239" s="611"/>
      <c r="AK239" s="611"/>
    </row>
    <row r="240" spans="1:37">
      <c r="A240" s="606"/>
      <c r="B240" s="837" t="s">
        <v>1616</v>
      </c>
      <c r="C240" s="664"/>
      <c r="D240" s="828"/>
      <c r="E240" s="828"/>
      <c r="F240" s="828"/>
      <c r="G240" s="828"/>
      <c r="H240" s="828"/>
      <c r="I240" s="828"/>
      <c r="J240" s="828"/>
      <c r="K240" s="537"/>
      <c r="L240" s="537"/>
      <c r="M240" s="537"/>
      <c r="N240" s="537"/>
      <c r="O240" s="537"/>
      <c r="P240" s="537"/>
      <c r="Q240" s="537"/>
      <c r="R240" s="537"/>
      <c r="S240" s="537"/>
      <c r="T240" s="537"/>
      <c r="U240" s="537"/>
      <c r="V240" s="537"/>
      <c r="W240" s="537"/>
      <c r="X240" s="537"/>
      <c r="Y240" s="644"/>
      <c r="Z240" s="644"/>
      <c r="AA240" s="644"/>
      <c r="AB240" s="2457"/>
      <c r="AC240" s="2457"/>
      <c r="AD240" s="2457"/>
      <c r="AE240" s="2457"/>
      <c r="AF240" s="2457"/>
      <c r="AG240" s="2457"/>
      <c r="AH240" s="611"/>
      <c r="AI240" s="611"/>
      <c r="AJ240" s="611"/>
      <c r="AK240" s="611"/>
    </row>
    <row r="241" spans="1:37">
      <c r="A241" s="606"/>
      <c r="B241" s="838" t="s">
        <v>1621</v>
      </c>
      <c r="C241" s="617"/>
      <c r="D241" s="836"/>
      <c r="E241" s="828"/>
      <c r="F241" s="828"/>
      <c r="G241" s="828"/>
      <c r="H241" s="828"/>
      <c r="I241" s="828"/>
      <c r="J241" s="828"/>
      <c r="K241" s="537"/>
      <c r="L241" s="537"/>
      <c r="M241" s="537"/>
      <c r="N241" s="537"/>
      <c r="O241" s="537"/>
      <c r="P241" s="537"/>
      <c r="Q241" s="537"/>
      <c r="R241" s="537"/>
      <c r="S241" s="537"/>
      <c r="T241" s="537"/>
      <c r="U241" s="537"/>
      <c r="V241" s="537"/>
      <c r="W241" s="537"/>
      <c r="X241" s="537"/>
      <c r="Y241" s="644"/>
      <c r="Z241" s="644"/>
      <c r="AA241" s="644"/>
      <c r="AB241" s="644"/>
      <c r="AC241" s="537"/>
      <c r="AD241" s="537"/>
      <c r="AE241" s="611"/>
      <c r="AF241" s="611"/>
      <c r="AG241" s="611"/>
      <c r="AH241" s="611"/>
      <c r="AI241" s="611"/>
      <c r="AJ241" s="611"/>
      <c r="AK241" s="611"/>
    </row>
    <row r="242" spans="1:37">
      <c r="A242" s="606"/>
      <c r="B242" s="839" t="s">
        <v>1623</v>
      </c>
      <c r="C242" s="664"/>
      <c r="D242" s="828"/>
      <c r="E242" s="828"/>
      <c r="F242" s="828"/>
      <c r="G242" s="828"/>
      <c r="H242" s="828"/>
      <c r="I242" s="828"/>
      <c r="J242" s="828"/>
      <c r="K242" s="537"/>
      <c r="L242" s="537"/>
      <c r="M242" s="537"/>
      <c r="N242" s="537"/>
      <c r="O242" s="537"/>
      <c r="P242" s="537"/>
      <c r="Q242" s="537"/>
      <c r="R242" s="537"/>
      <c r="S242" s="537"/>
      <c r="T242" s="537"/>
      <c r="U242" s="537"/>
      <c r="V242" s="537"/>
      <c r="W242" s="537"/>
      <c r="X242" s="537"/>
      <c r="Y242" s="644"/>
      <c r="Z242" s="644"/>
      <c r="AA242" s="644"/>
      <c r="AB242" s="644"/>
      <c r="AC242" s="537"/>
      <c r="AD242" s="537"/>
      <c r="AE242" s="611"/>
      <c r="AF242" s="611"/>
      <c r="AG242" s="611"/>
      <c r="AH242" s="611"/>
      <c r="AI242" s="611"/>
      <c r="AJ242" s="611"/>
      <c r="AK242" s="611"/>
    </row>
    <row r="243" spans="1:37">
      <c r="A243" s="606"/>
      <c r="B243" s="839" t="s">
        <v>1617</v>
      </c>
      <c r="C243" s="664"/>
      <c r="D243" s="828"/>
      <c r="E243" s="828"/>
      <c r="F243" s="828"/>
      <c r="G243" s="828"/>
      <c r="H243" s="828"/>
      <c r="I243" s="828"/>
      <c r="J243" s="828"/>
      <c r="K243" s="537"/>
      <c r="L243" s="537"/>
      <c r="M243" s="537"/>
      <c r="N243" s="537"/>
      <c r="O243" s="537"/>
      <c r="P243" s="537"/>
      <c r="Q243" s="537"/>
      <c r="R243" s="537"/>
      <c r="S243" s="537"/>
      <c r="T243" s="537"/>
      <c r="U243" s="537"/>
      <c r="V243" s="537"/>
      <c r="W243" s="537"/>
      <c r="X243" s="537"/>
      <c r="Y243" s="644"/>
      <c r="Z243" s="644"/>
      <c r="AA243" s="644"/>
      <c r="AB243" s="2457"/>
      <c r="AC243" s="2457"/>
      <c r="AD243" s="2457"/>
      <c r="AE243" s="2457"/>
      <c r="AF243" s="2457"/>
      <c r="AG243" s="2457"/>
      <c r="AH243" s="611"/>
      <c r="AI243" s="611"/>
      <c r="AJ243" s="611"/>
      <c r="AK243" s="611"/>
    </row>
    <row r="244" spans="1:37">
      <c r="A244" s="606"/>
      <c r="B244" s="839" t="s">
        <v>1618</v>
      </c>
      <c r="C244" s="664"/>
      <c r="D244" s="828"/>
      <c r="E244" s="828"/>
      <c r="F244" s="828"/>
      <c r="G244" s="828"/>
      <c r="H244" s="828"/>
      <c r="I244" s="828"/>
      <c r="J244" s="828"/>
      <c r="K244" s="537"/>
      <c r="L244" s="537"/>
      <c r="M244" s="537"/>
      <c r="N244" s="537"/>
      <c r="O244" s="537"/>
      <c r="P244" s="537"/>
      <c r="Q244" s="537"/>
      <c r="R244" s="537"/>
      <c r="S244" s="537"/>
      <c r="T244" s="537"/>
      <c r="U244" s="537"/>
      <c r="V244" s="537"/>
      <c r="W244" s="537"/>
      <c r="X244" s="537"/>
      <c r="Y244" s="644"/>
      <c r="Z244" s="644"/>
      <c r="AA244" s="644"/>
      <c r="AB244" s="2419"/>
      <c r="AC244" s="2419"/>
      <c r="AD244" s="2419"/>
      <c r="AE244" s="2419"/>
      <c r="AF244" s="2419"/>
      <c r="AG244" s="2419"/>
      <c r="AH244" s="611"/>
      <c r="AI244" s="611"/>
      <c r="AJ244" s="611"/>
      <c r="AK244" s="611"/>
    </row>
    <row r="245" spans="1:37">
      <c r="A245" s="606"/>
      <c r="B245" s="839" t="s">
        <v>1619</v>
      </c>
      <c r="C245" s="664"/>
      <c r="D245" s="828"/>
      <c r="E245" s="828"/>
      <c r="F245" s="828"/>
      <c r="G245" s="828"/>
      <c r="H245" s="828"/>
      <c r="I245" s="828"/>
      <c r="J245" s="828"/>
      <c r="K245" s="537"/>
      <c r="L245" s="537"/>
      <c r="M245" s="537"/>
      <c r="N245" s="537"/>
      <c r="O245" s="537"/>
      <c r="P245" s="537"/>
      <c r="Q245" s="537"/>
      <c r="R245" s="537"/>
      <c r="S245" s="537"/>
      <c r="T245" s="537"/>
      <c r="U245" s="537"/>
      <c r="V245" s="537"/>
      <c r="W245" s="537"/>
      <c r="X245" s="537"/>
      <c r="Y245" s="644"/>
      <c r="Z245" s="644"/>
      <c r="AA245" s="644"/>
      <c r="AB245" s="2427">
        <f>IFERROR(AB243/AB244,0)</f>
        <v>0</v>
      </c>
      <c r="AC245" s="2427"/>
      <c r="AD245" s="2427"/>
      <c r="AE245" s="2427"/>
      <c r="AF245" s="2427"/>
      <c r="AG245" s="2427"/>
      <c r="AH245" s="611"/>
      <c r="AI245" s="611"/>
      <c r="AJ245" s="611"/>
      <c r="AK245" s="611"/>
    </row>
    <row r="246" spans="1:37">
      <c r="A246" s="606"/>
      <c r="B246" s="477"/>
      <c r="C246" s="664"/>
      <c r="D246" s="828"/>
      <c r="E246" s="828"/>
      <c r="F246" s="828"/>
      <c r="G246" s="828"/>
      <c r="H246" s="828"/>
      <c r="I246" s="828"/>
      <c r="J246" s="828"/>
      <c r="K246" s="537"/>
      <c r="L246" s="537"/>
      <c r="M246" s="537"/>
      <c r="N246" s="537"/>
      <c r="O246" s="537"/>
      <c r="P246" s="537"/>
      <c r="Q246" s="537"/>
      <c r="R246" s="537"/>
      <c r="S246" s="537"/>
      <c r="T246" s="537"/>
      <c r="U246" s="537"/>
      <c r="V246" s="537"/>
      <c r="W246" s="537"/>
      <c r="X246" s="537"/>
      <c r="Y246" s="644"/>
      <c r="Z246" s="644"/>
      <c r="AA246" s="644"/>
      <c r="AB246" s="644"/>
      <c r="AC246" s="537"/>
      <c r="AD246" s="537"/>
      <c r="AE246" s="611"/>
      <c r="AF246" s="611"/>
      <c r="AG246" s="611"/>
      <c r="AH246" s="611"/>
      <c r="AI246" s="611"/>
      <c r="AJ246" s="611"/>
      <c r="AK246" s="611"/>
    </row>
    <row r="247" spans="1:37">
      <c r="A247" s="606"/>
      <c r="B247" s="477" t="s">
        <v>1620</v>
      </c>
      <c r="C247" s="664"/>
      <c r="D247" s="828"/>
      <c r="E247" s="828"/>
      <c r="F247" s="828"/>
      <c r="G247" s="828"/>
      <c r="H247" s="828"/>
      <c r="I247" s="828"/>
      <c r="J247" s="828"/>
      <c r="K247" s="537"/>
      <c r="L247" s="537"/>
      <c r="M247" s="537"/>
      <c r="N247" s="537"/>
      <c r="O247" s="537"/>
      <c r="P247" s="537"/>
      <c r="Q247" s="537"/>
      <c r="R247" s="537"/>
      <c r="S247" s="537"/>
      <c r="T247" s="537"/>
      <c r="U247" s="537"/>
      <c r="V247" s="537"/>
      <c r="W247" s="537"/>
      <c r="X247" s="537"/>
      <c r="Y247" s="644"/>
      <c r="Z247" s="644"/>
      <c r="AA247" s="644"/>
      <c r="AB247" s="2426">
        <f>MAX(AB240,AB245)</f>
        <v>0</v>
      </c>
      <c r="AC247" s="2426"/>
      <c r="AD247" s="2426"/>
      <c r="AE247" s="2426"/>
      <c r="AF247" s="2426"/>
      <c r="AG247" s="2426"/>
      <c r="AH247" s="611"/>
      <c r="AI247" s="611"/>
      <c r="AJ247" s="611"/>
      <c r="AK247" s="611"/>
    </row>
    <row r="248" spans="1:37">
      <c r="A248" s="606"/>
      <c r="B248" s="477"/>
      <c r="C248" s="664"/>
      <c r="D248" s="828"/>
      <c r="E248" s="828"/>
      <c r="F248" s="828"/>
      <c r="G248" s="828"/>
      <c r="H248" s="828"/>
      <c r="I248" s="828"/>
      <c r="J248" s="828"/>
      <c r="K248" s="537"/>
      <c r="L248" s="537"/>
      <c r="M248" s="537"/>
      <c r="N248" s="537"/>
      <c r="O248" s="537"/>
      <c r="P248" s="537"/>
      <c r="Q248" s="537"/>
      <c r="R248" s="537"/>
      <c r="S248" s="537"/>
      <c r="T248" s="537"/>
      <c r="U248" s="537"/>
      <c r="V248" s="537"/>
      <c r="W248" s="537"/>
      <c r="X248" s="537"/>
      <c r="Y248" s="644"/>
      <c r="Z248" s="644"/>
      <c r="AA248" s="644"/>
      <c r="AB248" s="644"/>
      <c r="AC248" s="537"/>
      <c r="AD248" s="537"/>
      <c r="AE248" s="611"/>
      <c r="AF248" s="611"/>
      <c r="AG248" s="611"/>
      <c r="AH248" s="611"/>
      <c r="AI248" s="611"/>
      <c r="AJ248" s="611"/>
      <c r="AK248" s="611"/>
    </row>
    <row r="249" spans="1:37">
      <c r="A249" s="606"/>
      <c r="B249" s="477"/>
      <c r="C249" s="664"/>
      <c r="D249" s="828"/>
      <c r="E249" s="828"/>
      <c r="F249" s="828"/>
      <c r="G249" s="828"/>
      <c r="H249" s="828"/>
      <c r="I249" s="828"/>
      <c r="J249" s="828"/>
      <c r="K249" s="537"/>
      <c r="L249" s="537"/>
      <c r="M249" s="537"/>
      <c r="N249" s="537"/>
      <c r="O249" s="537"/>
      <c r="P249" s="537"/>
      <c r="Q249" s="537"/>
      <c r="R249" s="537"/>
      <c r="S249" s="537"/>
      <c r="T249" s="537"/>
      <c r="U249" s="537"/>
      <c r="V249" s="537"/>
      <c r="W249" s="537"/>
      <c r="X249" s="537"/>
      <c r="Y249" s="644"/>
      <c r="Z249" s="644"/>
      <c r="AA249" s="644"/>
      <c r="AB249" s="644"/>
      <c r="AC249" s="537"/>
      <c r="AD249" s="537"/>
      <c r="AE249" s="611"/>
      <c r="AF249" s="611"/>
      <c r="AG249" s="611"/>
      <c r="AH249" s="611"/>
      <c r="AI249" s="611"/>
      <c r="AJ249" s="611"/>
      <c r="AK249" s="611"/>
    </row>
    <row r="250" spans="1:37">
      <c r="A250" s="606"/>
      <c r="B250" s="477" t="s">
        <v>1609</v>
      </c>
      <c r="C250" s="664"/>
      <c r="D250" s="828"/>
      <c r="E250" s="828"/>
      <c r="F250" s="828"/>
      <c r="G250" s="828"/>
      <c r="H250" s="828"/>
      <c r="I250" s="828"/>
      <c r="J250" s="828"/>
      <c r="K250" s="537"/>
      <c r="L250" s="537"/>
      <c r="M250" s="537"/>
      <c r="N250" s="537"/>
      <c r="O250" s="537"/>
      <c r="P250" s="537"/>
      <c r="Q250" s="537"/>
      <c r="R250" s="537"/>
      <c r="S250" s="537"/>
      <c r="U250" s="840"/>
      <c r="V250" s="840"/>
      <c r="W250" s="840"/>
      <c r="X250" s="840"/>
      <c r="Y250" s="840"/>
      <c r="Z250" s="644"/>
      <c r="AA250" s="644"/>
      <c r="AB250" s="2420">
        <f>AB234+AB247</f>
        <v>0</v>
      </c>
      <c r="AC250" s="2420"/>
      <c r="AD250" s="2420"/>
      <c r="AE250" s="2420"/>
      <c r="AF250" s="2420"/>
      <c r="AG250" s="2420"/>
      <c r="AH250" s="611"/>
      <c r="AI250" s="611"/>
      <c r="AJ250" s="611"/>
      <c r="AK250" s="611"/>
    </row>
    <row r="251" spans="1:37">
      <c r="A251" s="606"/>
      <c r="B251" s="477" t="s">
        <v>838</v>
      </c>
      <c r="C251" s="664"/>
      <c r="D251" s="828"/>
      <c r="E251" s="828"/>
      <c r="F251" s="828"/>
      <c r="G251" s="828"/>
      <c r="H251" s="828"/>
      <c r="I251" s="828"/>
      <c r="J251" s="828"/>
      <c r="K251" s="537"/>
      <c r="L251" s="537"/>
      <c r="M251" s="537"/>
      <c r="N251" s="537"/>
      <c r="O251" s="537"/>
      <c r="P251" s="537"/>
      <c r="Q251" s="537"/>
      <c r="R251" s="537"/>
      <c r="S251" s="537"/>
      <c r="U251" s="841"/>
      <c r="V251" s="841"/>
      <c r="W251" s="841"/>
      <c r="X251" s="841"/>
      <c r="Y251" s="841"/>
      <c r="Z251" s="644"/>
      <c r="AA251" s="644"/>
      <c r="AB251" s="2591">
        <v>0.05</v>
      </c>
      <c r="AC251" s="2591"/>
      <c r="AD251" s="2591"/>
      <c r="AE251" s="2591"/>
      <c r="AF251" s="2591"/>
      <c r="AG251" s="2591"/>
      <c r="AH251" s="611"/>
      <c r="AI251" s="611"/>
      <c r="AJ251" s="611"/>
      <c r="AK251" s="611"/>
    </row>
    <row r="252" spans="1:37">
      <c r="A252" s="606"/>
      <c r="B252" s="477" t="s">
        <v>1610</v>
      </c>
      <c r="C252" s="664"/>
      <c r="D252" s="828"/>
      <c r="E252" s="828"/>
      <c r="F252" s="828"/>
      <c r="G252" s="828"/>
      <c r="H252" s="828"/>
      <c r="I252" s="828"/>
      <c r="J252" s="828"/>
      <c r="K252" s="537"/>
      <c r="L252" s="537"/>
      <c r="M252" s="537"/>
      <c r="N252" s="537"/>
      <c r="O252" s="537"/>
      <c r="P252" s="537"/>
      <c r="Q252" s="537"/>
      <c r="R252" s="537"/>
      <c r="S252" s="537"/>
      <c r="U252" s="840"/>
      <c r="V252" s="840"/>
      <c r="W252" s="840"/>
      <c r="X252" s="840"/>
      <c r="Y252" s="840"/>
      <c r="Z252" s="644"/>
      <c r="AA252" s="644"/>
      <c r="AB252" s="2592">
        <f>AB250-(AB250*AB251)</f>
        <v>0</v>
      </c>
      <c r="AC252" s="2592"/>
      <c r="AD252" s="2592"/>
      <c r="AE252" s="2592"/>
      <c r="AF252" s="2592"/>
      <c r="AG252" s="2592"/>
      <c r="AH252" s="611"/>
      <c r="AI252" s="611"/>
      <c r="AJ252" s="611"/>
      <c r="AK252" s="611"/>
    </row>
    <row r="253" spans="1:37">
      <c r="A253" s="606"/>
      <c r="B253" s="477" t="s">
        <v>1611</v>
      </c>
      <c r="C253" s="664"/>
      <c r="D253" s="828"/>
      <c r="E253" s="828"/>
      <c r="F253" s="828"/>
      <c r="G253" s="828"/>
      <c r="H253" s="828"/>
      <c r="I253" s="828"/>
      <c r="J253" s="828"/>
      <c r="K253" s="537"/>
      <c r="L253" s="537"/>
      <c r="M253" s="537"/>
      <c r="N253" s="537"/>
      <c r="O253" s="537"/>
      <c r="P253" s="537"/>
      <c r="Q253" s="537"/>
      <c r="R253" s="537"/>
      <c r="S253" s="537"/>
      <c r="U253" s="537"/>
      <c r="V253" s="537"/>
      <c r="W253" s="537"/>
      <c r="X253" s="537"/>
      <c r="Y253" s="842"/>
      <c r="Z253" s="644"/>
      <c r="AA253" s="644"/>
      <c r="AB253" s="537"/>
      <c r="AC253" s="537"/>
      <c r="AD253" s="537"/>
      <c r="AE253" s="611"/>
      <c r="AF253" s="611"/>
      <c r="AG253" s="611"/>
      <c r="AH253" s="611"/>
      <c r="AI253" s="611"/>
      <c r="AJ253" s="611"/>
      <c r="AK253" s="611"/>
    </row>
    <row r="254" spans="1:37">
      <c r="A254" s="606"/>
      <c r="B254" s="477" t="s">
        <v>1612</v>
      </c>
      <c r="C254" s="664"/>
      <c r="D254" s="828"/>
      <c r="E254" s="828"/>
      <c r="F254" s="828"/>
      <c r="G254" s="828"/>
      <c r="H254" s="828"/>
      <c r="I254" s="828"/>
      <c r="J254" s="828"/>
      <c r="K254" s="537"/>
      <c r="L254" s="537"/>
      <c r="M254" s="537"/>
      <c r="N254" s="537"/>
      <c r="O254" s="537"/>
      <c r="P254" s="537"/>
      <c r="Q254" s="537"/>
      <c r="R254" s="537"/>
      <c r="S254" s="537"/>
      <c r="U254" s="840"/>
      <c r="V254" s="840"/>
      <c r="W254" s="840"/>
      <c r="X254" s="840"/>
      <c r="Y254" s="840"/>
      <c r="Z254" s="644"/>
      <c r="AA254" s="644"/>
      <c r="AB254" s="2420">
        <f>AB252/AB258</f>
        <v>0</v>
      </c>
      <c r="AC254" s="2420"/>
      <c r="AD254" s="2420"/>
      <c r="AE254" s="2420"/>
      <c r="AF254" s="2420"/>
      <c r="AG254" s="2420"/>
      <c r="AH254" s="611"/>
      <c r="AI254" s="611"/>
      <c r="AJ254" s="611"/>
      <c r="AK254" s="611"/>
    </row>
    <row r="255" spans="1:37">
      <c r="A255" s="606"/>
      <c r="B255" s="477"/>
      <c r="C255" s="664"/>
      <c r="D255" s="828"/>
      <c r="E255" s="828"/>
      <c r="F255" s="828"/>
      <c r="G255" s="828"/>
      <c r="H255" s="828"/>
      <c r="I255" s="828"/>
      <c r="J255" s="828"/>
      <c r="K255" s="537"/>
      <c r="L255" s="537"/>
      <c r="M255" s="537"/>
      <c r="N255" s="537"/>
      <c r="O255" s="537"/>
      <c r="P255" s="537"/>
      <c r="Q255" s="537"/>
      <c r="R255" s="537"/>
      <c r="S255" s="537"/>
      <c r="U255" s="537"/>
      <c r="V255" s="537"/>
      <c r="W255" s="537"/>
      <c r="X255" s="537"/>
      <c r="Y255" s="477"/>
      <c r="Z255" s="644"/>
      <c r="AA255" s="644"/>
      <c r="AB255" s="537"/>
      <c r="AC255" s="537"/>
      <c r="AD255" s="537"/>
      <c r="AE255" s="611"/>
      <c r="AF255" s="611"/>
      <c r="AG255" s="611"/>
      <c r="AH255" s="611"/>
      <c r="AI255" s="611"/>
      <c r="AJ255" s="611"/>
      <c r="AK255" s="611"/>
    </row>
    <row r="256" spans="1:37">
      <c r="A256" s="606"/>
      <c r="B256" s="477" t="s">
        <v>1613</v>
      </c>
      <c r="C256" s="664"/>
      <c r="D256" s="828"/>
      <c r="E256" s="828"/>
      <c r="F256" s="828"/>
      <c r="G256" s="828"/>
      <c r="H256" s="828"/>
      <c r="I256" s="828"/>
      <c r="J256" s="828"/>
      <c r="K256" s="537"/>
      <c r="L256" s="537"/>
      <c r="M256" s="537"/>
      <c r="N256" s="537"/>
      <c r="O256" s="537"/>
      <c r="P256" s="537"/>
      <c r="Q256" s="537"/>
      <c r="R256" s="537"/>
      <c r="S256" s="537"/>
      <c r="U256" s="477"/>
      <c r="V256" s="477"/>
      <c r="W256" s="477"/>
      <c r="X256" s="477"/>
      <c r="Y256" s="477"/>
      <c r="Z256" s="644"/>
      <c r="AA256" s="644"/>
      <c r="AB256" s="2603">
        <v>15</v>
      </c>
      <c r="AC256" s="2603"/>
      <c r="AD256" s="2603"/>
      <c r="AE256" s="2603"/>
      <c r="AF256" s="2603"/>
      <c r="AG256" s="2603"/>
      <c r="AH256" s="611"/>
      <c r="AI256" s="611"/>
      <c r="AJ256" s="611"/>
      <c r="AK256" s="611"/>
    </row>
    <row r="257" spans="1:37">
      <c r="A257" s="606"/>
      <c r="B257" s="477" t="s">
        <v>1614</v>
      </c>
      <c r="C257" s="664"/>
      <c r="D257" s="828"/>
      <c r="E257" s="828"/>
      <c r="F257" s="828"/>
      <c r="G257" s="828"/>
      <c r="H257" s="828"/>
      <c r="I257" s="828"/>
      <c r="J257" s="828"/>
      <c r="K257" s="537"/>
      <c r="L257" s="537"/>
      <c r="M257" s="537"/>
      <c r="N257" s="537"/>
      <c r="O257" s="537"/>
      <c r="P257" s="537"/>
      <c r="Q257" s="537"/>
      <c r="R257" s="537"/>
      <c r="S257" s="537"/>
      <c r="U257" s="841"/>
      <c r="V257" s="841"/>
      <c r="W257" s="841"/>
      <c r="X257" s="841"/>
      <c r="Y257" s="841"/>
      <c r="Z257" s="644"/>
      <c r="AA257" s="644"/>
      <c r="AB257" s="2594">
        <v>0.04</v>
      </c>
      <c r="AC257" s="2594"/>
      <c r="AD257" s="2594"/>
      <c r="AE257" s="2594"/>
      <c r="AF257" s="2594"/>
      <c r="AG257" s="2594"/>
      <c r="AH257" s="611"/>
      <c r="AI257" s="611"/>
      <c r="AJ257" s="611"/>
      <c r="AK257" s="611"/>
    </row>
    <row r="258" spans="1:37">
      <c r="A258" s="606"/>
      <c r="B258" s="477" t="s">
        <v>850</v>
      </c>
      <c r="C258" s="664"/>
      <c r="D258" s="828"/>
      <c r="E258" s="828"/>
      <c r="F258" s="828"/>
      <c r="G258" s="828"/>
      <c r="H258" s="828"/>
      <c r="I258" s="828"/>
      <c r="J258" s="828"/>
      <c r="K258" s="537"/>
      <c r="L258" s="537"/>
      <c r="M258" s="537"/>
      <c r="N258" s="537"/>
      <c r="O258" s="537"/>
      <c r="P258" s="537"/>
      <c r="Q258" s="537"/>
      <c r="R258" s="537"/>
      <c r="S258" s="537"/>
      <c r="U258" s="843"/>
      <c r="V258" s="843"/>
      <c r="W258" s="843"/>
      <c r="X258" s="843"/>
      <c r="Y258" s="843"/>
      <c r="Z258" s="644"/>
      <c r="AA258" s="644"/>
      <c r="AB258" s="2595">
        <v>1.1499999999999999</v>
      </c>
      <c r="AC258" s="2595"/>
      <c r="AD258" s="2595"/>
      <c r="AE258" s="2595"/>
      <c r="AF258" s="2595"/>
      <c r="AG258" s="2595"/>
      <c r="AH258" s="611"/>
      <c r="AI258" s="611"/>
      <c r="AJ258" s="611"/>
      <c r="AK258" s="611"/>
    </row>
    <row r="259" spans="1:37">
      <c r="A259" s="606"/>
      <c r="B259" s="477"/>
      <c r="C259" s="664"/>
      <c r="D259" s="828"/>
      <c r="E259" s="828"/>
      <c r="F259" s="828"/>
      <c r="G259" s="828"/>
      <c r="H259" s="828"/>
      <c r="I259" s="828"/>
      <c r="J259" s="828"/>
      <c r="K259" s="537"/>
      <c r="L259" s="537"/>
      <c r="M259" s="537"/>
      <c r="N259" s="537"/>
      <c r="O259" s="537"/>
      <c r="P259" s="537"/>
      <c r="Q259" s="537"/>
      <c r="R259" s="537"/>
      <c r="S259" s="537"/>
      <c r="U259" s="537"/>
      <c r="V259" s="537"/>
      <c r="W259" s="537"/>
      <c r="X259" s="537"/>
      <c r="Y259" s="490"/>
      <c r="Z259" s="644"/>
      <c r="AA259" s="644"/>
      <c r="AB259" s="537"/>
      <c r="AC259" s="537"/>
      <c r="AD259" s="537"/>
      <c r="AE259" s="611"/>
      <c r="AF259" s="611"/>
      <c r="AG259" s="611"/>
      <c r="AH259" s="611"/>
      <c r="AI259" s="611"/>
      <c r="AJ259" s="611"/>
      <c r="AK259" s="611"/>
    </row>
    <row r="260" spans="1:37">
      <c r="A260" s="606"/>
      <c r="B260" s="845" t="s">
        <v>1615</v>
      </c>
      <c r="C260" s="664"/>
      <c r="D260" s="828"/>
      <c r="E260" s="828"/>
      <c r="F260" s="828"/>
      <c r="G260" s="828"/>
      <c r="H260" s="828"/>
      <c r="I260" s="828"/>
      <c r="J260" s="828"/>
      <c r="K260" s="537"/>
      <c r="L260" s="537"/>
      <c r="M260" s="537"/>
      <c r="N260" s="537"/>
      <c r="O260" s="537"/>
      <c r="P260" s="537"/>
      <c r="Q260" s="537"/>
      <c r="R260" s="537"/>
      <c r="S260" s="537"/>
      <c r="U260" s="844"/>
      <c r="V260" s="844"/>
      <c r="W260" s="844"/>
      <c r="X260" s="844"/>
      <c r="Y260" s="844"/>
      <c r="Z260" s="644"/>
      <c r="AA260" s="644"/>
      <c r="AB260" s="2584">
        <f>PV(AB257/12,AB256*12,-AB254/12, ,0)</f>
        <v>0</v>
      </c>
      <c r="AC260" s="2585"/>
      <c r="AD260" s="2585"/>
      <c r="AE260" s="2585"/>
      <c r="AF260" s="2585"/>
      <c r="AG260" s="2586"/>
      <c r="AH260" s="611"/>
      <c r="AI260" s="611"/>
      <c r="AJ260" s="611"/>
      <c r="AK260" s="611"/>
    </row>
    <row r="261" spans="1:37">
      <c r="A261" s="606"/>
      <c r="B261" s="845"/>
      <c r="C261" s="664"/>
      <c r="D261" s="828"/>
      <c r="E261" s="828"/>
      <c r="F261" s="828"/>
      <c r="G261" s="828"/>
      <c r="H261" s="828"/>
      <c r="I261" s="828"/>
      <c r="J261" s="828"/>
      <c r="K261" s="537"/>
      <c r="L261" s="537"/>
      <c r="M261" s="537"/>
      <c r="N261" s="537"/>
      <c r="O261" s="537"/>
      <c r="P261" s="537"/>
      <c r="Q261" s="537"/>
      <c r="R261" s="537"/>
      <c r="S261" s="537"/>
      <c r="U261" s="844"/>
      <c r="V261" s="844"/>
      <c r="W261" s="844"/>
      <c r="X261" s="844"/>
      <c r="Y261" s="844"/>
      <c r="Z261" s="644"/>
      <c r="AA261" s="644"/>
      <c r="AB261" s="856"/>
      <c r="AC261" s="856"/>
      <c r="AD261" s="856"/>
      <c r="AE261" s="856"/>
      <c r="AF261" s="856"/>
      <c r="AG261" s="856"/>
      <c r="AH261" s="611"/>
      <c r="AI261" s="611"/>
      <c r="AJ261" s="611"/>
      <c r="AK261" s="611"/>
    </row>
    <row r="262" spans="1:37">
      <c r="A262" s="606"/>
      <c r="B262" s="845"/>
      <c r="C262" s="664"/>
      <c r="D262" s="828"/>
      <c r="E262" s="828"/>
      <c r="F262" s="828"/>
      <c r="G262" s="828"/>
      <c r="H262" s="828"/>
      <c r="I262" s="828"/>
      <c r="J262" s="828"/>
      <c r="K262" s="537"/>
      <c r="L262" s="537"/>
      <c r="M262" s="537"/>
      <c r="N262" s="537"/>
      <c r="O262" s="537"/>
      <c r="P262" s="537"/>
      <c r="Q262" s="537"/>
      <c r="R262" s="537"/>
      <c r="S262" s="537"/>
      <c r="U262" s="844"/>
      <c r="V262" s="844"/>
      <c r="W262" s="844"/>
      <c r="X262" s="844"/>
      <c r="Y262" s="844"/>
      <c r="Z262" s="644"/>
      <c r="AA262" s="644"/>
      <c r="AB262" s="856"/>
      <c r="AC262" s="856"/>
      <c r="AD262" s="856"/>
      <c r="AE262" s="856"/>
      <c r="AF262" s="856"/>
      <c r="AG262" s="856"/>
      <c r="AH262" s="611"/>
      <c r="AI262" s="611"/>
      <c r="AJ262" s="611"/>
      <c r="AK262" s="611"/>
    </row>
    <row r="263" spans="1:37">
      <c r="A263" s="606"/>
      <c r="B263" s="848" t="s">
        <v>1591</v>
      </c>
      <c r="C263" s="848"/>
      <c r="D263" s="828"/>
      <c r="E263" s="828"/>
      <c r="F263" s="828"/>
      <c r="G263" s="828"/>
      <c r="H263" s="828"/>
      <c r="I263" s="828"/>
      <c r="J263" s="828"/>
      <c r="K263" s="537"/>
      <c r="L263" s="537"/>
      <c r="M263" s="537"/>
      <c r="N263" s="537"/>
      <c r="O263" s="537"/>
      <c r="P263" s="537"/>
      <c r="Q263" s="537"/>
      <c r="R263" s="537"/>
      <c r="S263" s="537"/>
      <c r="T263" s="537"/>
      <c r="U263" s="537"/>
      <c r="V263" s="537"/>
      <c r="W263" s="537"/>
      <c r="X263" s="537"/>
      <c r="Y263" s="644"/>
      <c r="Z263" s="644"/>
      <c r="AA263" s="644"/>
      <c r="AB263" s="644"/>
      <c r="AC263" s="537"/>
      <c r="AD263" s="537"/>
      <c r="AE263" s="611"/>
      <c r="AF263" s="611"/>
      <c r="AG263" s="611"/>
      <c r="AH263" s="611"/>
      <c r="AI263" s="611"/>
      <c r="AJ263" s="611"/>
      <c r="AK263" s="611"/>
    </row>
    <row r="264" spans="1:37">
      <c r="A264" s="606"/>
      <c r="B264" s="606" t="s">
        <v>1594</v>
      </c>
      <c r="C264" s="664"/>
      <c r="D264" s="828"/>
      <c r="E264" s="828"/>
      <c r="F264" s="828"/>
      <c r="G264" s="828"/>
      <c r="H264" s="828"/>
      <c r="I264" s="828"/>
      <c r="J264" s="828"/>
      <c r="K264" s="537"/>
      <c r="L264" s="537"/>
      <c r="M264" s="537"/>
      <c r="N264" s="537"/>
      <c r="O264" s="537"/>
      <c r="P264" s="537"/>
      <c r="Q264" s="537"/>
      <c r="R264" s="537"/>
      <c r="S264" s="537"/>
      <c r="T264" s="537"/>
      <c r="U264" s="537"/>
      <c r="V264" s="537"/>
      <c r="W264" s="537"/>
      <c r="X264" s="537"/>
      <c r="Y264" s="644"/>
      <c r="Z264" s="644"/>
      <c r="AA264" s="644"/>
      <c r="AB264" s="644"/>
      <c r="AC264" s="537"/>
      <c r="AD264" s="537"/>
      <c r="AE264" s="611"/>
      <c r="AF264" s="611"/>
      <c r="AG264" s="611"/>
      <c r="AH264" s="611"/>
      <c r="AI264" s="611"/>
      <c r="AJ264" s="611"/>
      <c r="AK264" s="611"/>
    </row>
    <row r="265" spans="1:37">
      <c r="A265" s="606"/>
      <c r="B265" s="606" t="s">
        <v>1593</v>
      </c>
      <c r="C265" s="664"/>
      <c r="D265" s="828"/>
      <c r="E265" s="828"/>
      <c r="F265" s="828"/>
      <c r="G265" s="828"/>
      <c r="H265" s="828"/>
      <c r="I265" s="828"/>
      <c r="J265" s="828"/>
      <c r="K265" s="537"/>
      <c r="L265" s="537"/>
      <c r="M265" s="537"/>
      <c r="N265" s="537"/>
      <c r="O265" s="537"/>
      <c r="P265" s="537"/>
      <c r="Q265" s="537"/>
      <c r="R265" s="537"/>
      <c r="S265" s="537"/>
      <c r="T265" s="537"/>
      <c r="U265" s="537"/>
      <c r="V265" s="537"/>
      <c r="W265" s="537"/>
      <c r="X265" s="537"/>
      <c r="Y265" s="644"/>
      <c r="Z265" s="644"/>
      <c r="AA265" s="644"/>
      <c r="AB265" s="644"/>
      <c r="AC265" s="537"/>
      <c r="AD265" s="537"/>
      <c r="AE265" s="611"/>
      <c r="AF265" s="611"/>
      <c r="AG265" s="611"/>
      <c r="AH265" s="611"/>
      <c r="AI265" s="611"/>
      <c r="AJ265" s="611"/>
      <c r="AK265" s="611"/>
    </row>
    <row r="266" spans="1:37">
      <c r="A266" s="606"/>
      <c r="B266" s="606" t="s">
        <v>1592</v>
      </c>
      <c r="C266" s="664"/>
      <c r="D266" s="828"/>
      <c r="E266" s="828"/>
      <c r="F266" s="828"/>
      <c r="G266" s="828"/>
      <c r="H266" s="828"/>
      <c r="I266" s="828"/>
      <c r="J266" s="828"/>
      <c r="K266" s="537"/>
      <c r="L266" s="537"/>
      <c r="M266" s="537"/>
      <c r="N266" s="537"/>
      <c r="O266" s="537"/>
      <c r="P266" s="537"/>
      <c r="Q266" s="537"/>
      <c r="R266" s="537"/>
      <c r="S266" s="537"/>
      <c r="T266" s="537"/>
      <c r="U266" s="537"/>
      <c r="V266" s="537"/>
      <c r="W266" s="537"/>
      <c r="X266" s="537"/>
      <c r="Y266" s="644"/>
      <c r="Z266" s="644"/>
      <c r="AA266" s="644"/>
      <c r="AB266" s="2588">
        <f>IFERROR(('Sources and Uses Budget'!D105/'Sources and Uses Budget'!B105),0)</f>
        <v>0</v>
      </c>
      <c r="AC266" s="2589"/>
      <c r="AD266" s="2589"/>
      <c r="AE266" s="2589"/>
      <c r="AF266" s="2589"/>
      <c r="AG266" s="2590"/>
      <c r="AH266" s="857"/>
      <c r="AI266" s="857"/>
      <c r="AJ266" s="857"/>
      <c r="AK266" s="611"/>
    </row>
    <row r="267" spans="1:37">
      <c r="A267" s="606"/>
      <c r="B267" s="477"/>
      <c r="C267" s="664"/>
      <c r="D267" s="828"/>
      <c r="E267" s="828"/>
      <c r="F267" s="828"/>
      <c r="G267" s="828"/>
      <c r="H267" s="828"/>
      <c r="I267" s="828"/>
      <c r="J267" s="828"/>
      <c r="K267" s="537"/>
      <c r="L267" s="537"/>
      <c r="M267" s="537"/>
      <c r="N267" s="537"/>
      <c r="O267" s="537"/>
      <c r="P267" s="537"/>
      <c r="Q267" s="537"/>
      <c r="R267" s="537"/>
      <c r="S267" s="537"/>
      <c r="T267" s="537"/>
      <c r="U267" s="537"/>
      <c r="V267" s="537"/>
      <c r="W267" s="537"/>
      <c r="X267" s="537"/>
      <c r="Y267" s="644"/>
      <c r="Z267" s="644"/>
      <c r="AA267" s="644"/>
      <c r="AB267" s="644"/>
      <c r="AC267" s="537"/>
      <c r="AD267" s="537"/>
      <c r="AE267" s="611"/>
      <c r="AF267" s="611"/>
      <c r="AG267" s="611"/>
      <c r="AH267" s="611"/>
      <c r="AI267" s="611"/>
      <c r="AJ267" s="611"/>
      <c r="AK267" s="611"/>
    </row>
    <row r="268" spans="1:37">
      <c r="A268" s="623"/>
      <c r="B268" s="448" t="s">
        <v>1373</v>
      </c>
      <c r="C268" s="624"/>
      <c r="D268" s="624"/>
      <c r="E268" s="624"/>
      <c r="F268" s="624"/>
      <c r="H268" s="625"/>
      <c r="I268" s="625"/>
      <c r="J268" s="625"/>
      <c r="K268" s="625"/>
      <c r="L268" s="625"/>
      <c r="M268" s="625"/>
      <c r="N268" s="625"/>
      <c r="O268" s="625"/>
      <c r="P268" s="625"/>
      <c r="Q268" s="625"/>
      <c r="R268" s="625"/>
      <c r="Y268" s="625"/>
      <c r="Z268" s="625"/>
      <c r="AA268" s="625"/>
      <c r="AB268" s="623"/>
      <c r="AC268" s="623"/>
      <c r="AD268" s="623"/>
      <c r="AE268" s="623"/>
      <c r="AG268" s="2434">
        <f>AD211*(1-AB266)</f>
        <v>2772894</v>
      </c>
      <c r="AH268" s="2434"/>
      <c r="AI268" s="2434"/>
      <c r="AJ268" s="2434"/>
      <c r="AK268" s="2434"/>
    </row>
    <row r="269" spans="1:37">
      <c r="A269" s="623"/>
      <c r="B269" s="626" t="s">
        <v>1374</v>
      </c>
      <c r="C269" s="627"/>
      <c r="D269" s="625"/>
      <c r="E269" s="625"/>
      <c r="F269" s="627"/>
      <c r="G269" s="627"/>
      <c r="H269" s="627"/>
      <c r="I269" s="627"/>
      <c r="J269" s="627"/>
      <c r="K269" s="627"/>
      <c r="L269" s="627"/>
      <c r="M269" s="625"/>
      <c r="N269" s="627"/>
      <c r="O269" s="627"/>
      <c r="P269" s="627"/>
      <c r="Q269" s="627"/>
      <c r="R269" s="627"/>
      <c r="Y269" s="625"/>
      <c r="Z269" s="625"/>
      <c r="AA269" s="625"/>
      <c r="AB269" s="623"/>
      <c r="AC269" s="623"/>
      <c r="AD269" s="623"/>
      <c r="AE269" s="623"/>
      <c r="AG269" s="2434">
        <f>'Sources and Uses Budget'!C105</f>
        <v>33516886</v>
      </c>
      <c r="AH269" s="2434"/>
      <c r="AI269" s="2434"/>
      <c r="AJ269" s="2434"/>
      <c r="AK269" s="2434"/>
    </row>
    <row r="270" spans="1:37">
      <c r="A270" s="623"/>
      <c r="B270" s="625" t="s">
        <v>13</v>
      </c>
      <c r="C270" s="625"/>
      <c r="D270" s="625"/>
      <c r="E270" s="625"/>
      <c r="F270" s="625"/>
      <c r="G270" s="625"/>
      <c r="H270" s="625"/>
      <c r="I270" s="625"/>
      <c r="J270" s="625"/>
      <c r="K270" s="625"/>
      <c r="L270" s="625"/>
      <c r="M270" s="625"/>
      <c r="N270" s="625"/>
      <c r="O270" s="625"/>
      <c r="P270" s="625"/>
      <c r="Q270" s="625"/>
      <c r="R270" s="625"/>
      <c r="Y270" s="625"/>
      <c r="Z270" s="625"/>
      <c r="AA270" s="625"/>
      <c r="AB270" s="623"/>
      <c r="AC270" s="623"/>
      <c r="AD270" s="623"/>
      <c r="AE270" s="623"/>
      <c r="AG270" s="2580">
        <f>ROUNDDOWN(IF(AND(C292="Yes",AK84=10),((AG268*2)/AG269),AG268/AG269),2)</f>
        <v>0.08</v>
      </c>
      <c r="AH270" s="2580"/>
      <c r="AI270" s="2580"/>
      <c r="AJ270" s="2580"/>
      <c r="AK270" s="2580"/>
    </row>
    <row r="271" spans="1:37">
      <c r="A271" s="623"/>
      <c r="B271" s="979" t="s">
        <v>1741</v>
      </c>
      <c r="C271" s="625"/>
      <c r="D271" s="625"/>
      <c r="E271" s="625"/>
      <c r="F271" s="625"/>
      <c r="G271" s="625"/>
      <c r="H271" s="625"/>
      <c r="I271" s="625"/>
      <c r="J271" s="625"/>
      <c r="K271" s="625"/>
      <c r="L271" s="625"/>
      <c r="M271" s="625"/>
      <c r="N271" s="625"/>
      <c r="O271" s="625"/>
      <c r="P271" s="625"/>
      <c r="Q271" s="625"/>
      <c r="R271" s="625"/>
      <c r="Y271" s="625"/>
      <c r="Z271" s="625"/>
      <c r="AA271" s="625"/>
      <c r="AB271" s="623"/>
      <c r="AC271" s="623"/>
      <c r="AD271" s="623"/>
      <c r="AE271" s="623"/>
      <c r="AG271" s="978"/>
      <c r="AH271" s="978"/>
      <c r="AI271" s="978"/>
      <c r="AJ271" s="978"/>
      <c r="AK271" s="978"/>
    </row>
    <row r="272" spans="1:37">
      <c r="A272" s="628"/>
      <c r="B272" s="628"/>
      <c r="C272" s="628"/>
      <c r="D272" s="628"/>
      <c r="E272" s="628"/>
      <c r="F272" s="628"/>
      <c r="G272" s="628"/>
      <c r="H272" s="628"/>
      <c r="I272" s="628"/>
      <c r="J272" s="628"/>
      <c r="K272" s="628"/>
      <c r="L272" s="628"/>
      <c r="M272" s="628"/>
      <c r="N272" s="628"/>
      <c r="O272" s="628"/>
      <c r="P272" s="628"/>
      <c r="Q272" s="628"/>
      <c r="R272" s="628"/>
      <c r="S272" s="628"/>
      <c r="T272" s="628"/>
      <c r="U272" s="628"/>
      <c r="V272" s="628"/>
      <c r="W272" s="628"/>
      <c r="X272" s="628"/>
      <c r="Y272" s="628"/>
      <c r="Z272" s="628"/>
      <c r="AA272" s="628"/>
      <c r="AB272" s="628"/>
      <c r="AC272" s="628"/>
      <c r="AD272" s="628"/>
      <c r="AE272" s="628"/>
      <c r="AF272" s="628"/>
      <c r="AG272" s="628"/>
      <c r="AH272" s="628"/>
      <c r="AI272" s="628"/>
      <c r="AJ272" s="628"/>
    </row>
    <row r="273" spans="1:52">
      <c r="A273" s="629"/>
      <c r="B273" s="629"/>
      <c r="C273" s="629"/>
      <c r="D273" s="629"/>
      <c r="E273" s="629"/>
      <c r="F273" s="629"/>
      <c r="G273" s="629"/>
      <c r="H273" s="629"/>
      <c r="I273" s="629"/>
      <c r="J273" s="629"/>
      <c r="K273" s="629"/>
      <c r="L273" s="629"/>
      <c r="M273" s="629"/>
      <c r="N273" s="629"/>
      <c r="O273" s="629"/>
      <c r="P273" s="629"/>
      <c r="Q273" s="629"/>
      <c r="R273" s="629"/>
      <c r="S273" s="629"/>
      <c r="T273" s="629"/>
      <c r="U273" s="629"/>
      <c r="V273" s="629"/>
      <c r="W273" s="629"/>
      <c r="X273" s="629"/>
      <c r="Y273" s="629"/>
      <c r="Z273" s="629"/>
      <c r="AA273" s="629"/>
      <c r="AB273" s="629"/>
      <c r="AC273" s="629"/>
      <c r="AD273" s="629"/>
      <c r="AE273" s="629"/>
      <c r="AF273" s="629"/>
      <c r="AG273" s="629"/>
      <c r="AH273" s="630"/>
      <c r="AI273" s="566"/>
      <c r="AJ273" s="566" t="s">
        <v>1375</v>
      </c>
      <c r="AK273" s="2569">
        <f>IFERROR(IF(AG270=0,0,IF((AG270*100)&gt;8,8,(AG270*100))),0)</f>
        <v>8</v>
      </c>
      <c r="AL273" s="2569"/>
      <c r="AM273" s="2570"/>
    </row>
    <row r="274" spans="1:52" ht="13.5" thickBot="1"/>
    <row r="275" spans="1:52" s="551" customFormat="1" ht="12.75" customHeight="1" thickTop="1">
      <c r="A275" s="613"/>
      <c r="B275" s="631"/>
      <c r="C275" s="631"/>
      <c r="D275" s="631"/>
      <c r="E275" s="631"/>
      <c r="F275" s="631"/>
      <c r="G275" s="631"/>
      <c r="H275" s="631"/>
      <c r="I275" s="631"/>
      <c r="J275" s="631"/>
      <c r="K275" s="631"/>
      <c r="L275" s="631"/>
      <c r="M275" s="631"/>
      <c r="N275" s="631"/>
      <c r="O275" s="631"/>
      <c r="P275" s="631"/>
      <c r="Q275" s="631"/>
      <c r="R275" s="631"/>
      <c r="S275" s="631"/>
      <c r="T275" s="631"/>
      <c r="U275" s="631"/>
      <c r="V275" s="631"/>
      <c r="W275" s="631"/>
      <c r="X275" s="631"/>
      <c r="Y275" s="631"/>
      <c r="Z275" s="631"/>
      <c r="AA275" s="631"/>
      <c r="AB275" s="631"/>
      <c r="AC275" s="632"/>
      <c r="AD275" s="631"/>
      <c r="AE275" s="631"/>
      <c r="AF275" s="631"/>
      <c r="AG275" s="631"/>
      <c r="AH275" s="613"/>
      <c r="AI275" s="633"/>
      <c r="AJ275" s="633"/>
      <c r="AK275" s="634"/>
      <c r="AL275" s="634"/>
      <c r="AM275" s="635"/>
      <c r="AN275" s="598"/>
      <c r="AP275" s="537"/>
      <c r="AQ275" s="537"/>
      <c r="AR275" s="537"/>
      <c r="AS275" s="537"/>
      <c r="AT275" s="537"/>
      <c r="AU275" s="537"/>
      <c r="AV275" s="537"/>
      <c r="AW275" s="537"/>
      <c r="AX275" s="537"/>
      <c r="AY275" s="537"/>
      <c r="AZ275" s="537"/>
    </row>
    <row r="276" spans="1:52">
      <c r="A276" s="539" t="s">
        <v>1376</v>
      </c>
      <c r="B276" s="539" t="s">
        <v>1377</v>
      </c>
      <c r="C276" s="540"/>
      <c r="D276" s="551"/>
      <c r="E276" s="551"/>
      <c r="F276" s="551"/>
      <c r="G276" s="551"/>
      <c r="H276" s="551"/>
      <c r="I276" s="551"/>
      <c r="J276" s="551"/>
      <c r="K276" s="551"/>
      <c r="L276" s="551"/>
      <c r="M276" s="551"/>
      <c r="N276" s="551"/>
      <c r="O276" s="551"/>
      <c r="P276" s="551"/>
      <c r="Q276" s="551"/>
      <c r="R276" s="551"/>
      <c r="S276" s="551"/>
      <c r="T276" s="551"/>
      <c r="U276" s="551"/>
      <c r="V276" s="551"/>
      <c r="W276" s="551"/>
      <c r="X276" s="551"/>
      <c r="Y276" s="551"/>
      <c r="Z276" s="551"/>
      <c r="AA276" s="551"/>
      <c r="AB276" s="551"/>
      <c r="AC276" s="551"/>
      <c r="AD276" s="551"/>
      <c r="AE276" s="551"/>
      <c r="AF276" s="551"/>
      <c r="AG276" s="551"/>
      <c r="AH276" s="592" t="s">
        <v>1314</v>
      </c>
      <c r="AI276" s="551"/>
      <c r="AJ276" s="551"/>
      <c r="AK276" s="551"/>
      <c r="AL276" s="551"/>
      <c r="AM276" s="551"/>
      <c r="AO276" s="551"/>
    </row>
    <row r="277" spans="1:52" ht="14.25" customHeight="1">
      <c r="A277" s="592"/>
      <c r="AI277" s="552"/>
      <c r="AJ277" s="551"/>
      <c r="AK277" s="551"/>
      <c r="AL277" s="551"/>
      <c r="AM277" s="551"/>
      <c r="AO277" s="551"/>
    </row>
    <row r="278" spans="1:52" ht="13.7" customHeight="1">
      <c r="A278" s="551"/>
      <c r="B278" s="597"/>
      <c r="C278" s="2451" t="s">
        <v>545</v>
      </c>
      <c r="D278" s="2451"/>
      <c r="E278" s="548"/>
      <c r="F278" s="2403" t="s">
        <v>2026</v>
      </c>
      <c r="G278" s="2404"/>
      <c r="H278" s="2404"/>
      <c r="I278" s="2404"/>
      <c r="J278" s="2404"/>
      <c r="K278" s="2404"/>
      <c r="L278" s="2404"/>
      <c r="M278" s="2404"/>
      <c r="N278" s="2404"/>
      <c r="O278" s="2404"/>
      <c r="P278" s="2404"/>
      <c r="Q278" s="2404"/>
      <c r="R278" s="2404"/>
      <c r="S278" s="2404"/>
      <c r="T278" s="2404"/>
      <c r="U278" s="2404"/>
      <c r="V278" s="2404"/>
      <c r="W278" s="2404"/>
      <c r="X278" s="2404"/>
      <c r="Y278" s="2404"/>
      <c r="Z278" s="2404"/>
      <c r="AA278" s="2404"/>
      <c r="AB278" s="2404"/>
      <c r="AC278" s="2404"/>
      <c r="AD278" s="2405"/>
      <c r="AE278" s="551"/>
      <c r="AF278" s="636"/>
      <c r="AG278" s="2578" t="s">
        <v>1363</v>
      </c>
      <c r="AH278" s="2578"/>
      <c r="AI278" s="2578"/>
      <c r="AJ278" s="2578"/>
      <c r="AK278" s="551"/>
      <c r="AL278" s="551"/>
      <c r="AM278" s="551"/>
      <c r="AO278" s="551"/>
    </row>
    <row r="279" spans="1:52" ht="13.7" customHeight="1">
      <c r="A279" s="551"/>
      <c r="B279" s="597"/>
      <c r="C279" s="637"/>
      <c r="D279" s="551"/>
      <c r="E279" s="548"/>
      <c r="F279" s="2406"/>
      <c r="G279" s="2407"/>
      <c r="H279" s="2407"/>
      <c r="I279" s="2407"/>
      <c r="J279" s="2407"/>
      <c r="K279" s="2407"/>
      <c r="L279" s="2407"/>
      <c r="M279" s="2407"/>
      <c r="N279" s="2407"/>
      <c r="O279" s="2407"/>
      <c r="P279" s="2407"/>
      <c r="Q279" s="2407"/>
      <c r="R279" s="2407"/>
      <c r="S279" s="2407"/>
      <c r="T279" s="2407"/>
      <c r="U279" s="2407"/>
      <c r="V279" s="2407"/>
      <c r="W279" s="2407"/>
      <c r="X279" s="2407"/>
      <c r="Y279" s="2407"/>
      <c r="Z279" s="2407"/>
      <c r="AA279" s="2407"/>
      <c r="AB279" s="2407"/>
      <c r="AC279" s="2407"/>
      <c r="AD279" s="2408"/>
      <c r="AE279" s="551"/>
      <c r="AF279" s="636"/>
      <c r="AG279" s="636"/>
      <c r="AH279" s="636"/>
      <c r="AI279" s="636"/>
      <c r="AJ279" s="551"/>
      <c r="AK279" s="551"/>
      <c r="AL279" s="551"/>
      <c r="AM279" s="551"/>
      <c r="AO279" s="551"/>
    </row>
    <row r="280" spans="1:52">
      <c r="A280" s="551"/>
      <c r="B280" s="597"/>
      <c r="C280" s="637"/>
      <c r="D280" s="551"/>
      <c r="E280" s="548"/>
      <c r="F280" s="2406"/>
      <c r="G280" s="2407"/>
      <c r="H280" s="2407"/>
      <c r="I280" s="2407"/>
      <c r="J280" s="2407"/>
      <c r="K280" s="2407"/>
      <c r="L280" s="2407"/>
      <c r="M280" s="2407"/>
      <c r="N280" s="2407"/>
      <c r="O280" s="2407"/>
      <c r="P280" s="2407"/>
      <c r="Q280" s="2407"/>
      <c r="R280" s="2407"/>
      <c r="S280" s="2407"/>
      <c r="T280" s="2407"/>
      <c r="U280" s="2407"/>
      <c r="V280" s="2407"/>
      <c r="W280" s="2407"/>
      <c r="X280" s="2407"/>
      <c r="Y280" s="2407"/>
      <c r="Z280" s="2407"/>
      <c r="AA280" s="2407"/>
      <c r="AB280" s="2407"/>
      <c r="AC280" s="2407"/>
      <c r="AD280" s="2408"/>
      <c r="AE280" s="551"/>
      <c r="AF280" s="636"/>
      <c r="AG280" s="636"/>
      <c r="AH280" s="636"/>
      <c r="AI280" s="636"/>
      <c r="AJ280" s="551"/>
      <c r="AK280" s="551"/>
      <c r="AL280" s="551"/>
      <c r="AM280" s="551"/>
      <c r="AO280" s="551"/>
      <c r="AP280" s="638"/>
    </row>
    <row r="281" spans="1:52">
      <c r="A281" s="551"/>
      <c r="B281" s="597"/>
      <c r="C281" s="637"/>
      <c r="D281" s="551"/>
      <c r="E281" s="548"/>
      <c r="F281" s="2406"/>
      <c r="G281" s="2407"/>
      <c r="H281" s="2407"/>
      <c r="I281" s="2407"/>
      <c r="J281" s="2407"/>
      <c r="K281" s="2407"/>
      <c r="L281" s="2407"/>
      <c r="M281" s="2407"/>
      <c r="N281" s="2407"/>
      <c r="O281" s="2407"/>
      <c r="P281" s="2407"/>
      <c r="Q281" s="2407"/>
      <c r="R281" s="2407"/>
      <c r="S281" s="2407"/>
      <c r="T281" s="2407"/>
      <c r="U281" s="2407"/>
      <c r="V281" s="2407"/>
      <c r="W281" s="2407"/>
      <c r="X281" s="2407"/>
      <c r="Y281" s="2407"/>
      <c r="Z281" s="2407"/>
      <c r="AA281" s="2407"/>
      <c r="AB281" s="2407"/>
      <c r="AC281" s="2407"/>
      <c r="AD281" s="2408"/>
      <c r="AE281" s="551"/>
      <c r="AF281" s="636"/>
      <c r="AG281" s="636"/>
      <c r="AH281" s="636"/>
      <c r="AI281" s="636"/>
      <c r="AJ281" s="551"/>
      <c r="AK281" s="551"/>
      <c r="AL281" s="551"/>
      <c r="AM281" s="551"/>
      <c r="AO281" s="551"/>
      <c r="AP281" s="638"/>
    </row>
    <row r="282" spans="1:52" ht="13.7" customHeight="1">
      <c r="A282" s="551"/>
      <c r="B282" s="597"/>
      <c r="C282" s="2579"/>
      <c r="D282" s="2579"/>
      <c r="E282" s="548"/>
      <c r="F282" s="2409"/>
      <c r="G282" s="2410"/>
      <c r="H282" s="2410"/>
      <c r="I282" s="2410"/>
      <c r="J282" s="2410"/>
      <c r="K282" s="2410"/>
      <c r="L282" s="2410"/>
      <c r="M282" s="2410"/>
      <c r="N282" s="2410"/>
      <c r="O282" s="2410"/>
      <c r="P282" s="2410"/>
      <c r="Q282" s="2410"/>
      <c r="R282" s="2410"/>
      <c r="S282" s="2410"/>
      <c r="T282" s="2410"/>
      <c r="U282" s="2410"/>
      <c r="V282" s="2410"/>
      <c r="W282" s="2410"/>
      <c r="X282" s="2410"/>
      <c r="Y282" s="2410"/>
      <c r="Z282" s="2410"/>
      <c r="AA282" s="2410"/>
      <c r="AB282" s="2410"/>
      <c r="AC282" s="2410"/>
      <c r="AD282" s="2411"/>
      <c r="AE282" s="551"/>
      <c r="AF282" s="636"/>
      <c r="AG282" s="2578"/>
      <c r="AH282" s="2578"/>
      <c r="AI282" s="2578"/>
      <c r="AJ282" s="2578"/>
      <c r="AK282" s="551"/>
      <c r="AL282" s="551"/>
      <c r="AM282" s="551"/>
    </row>
    <row r="283" spans="1:52" ht="13.7" hidden="1" customHeight="1">
      <c r="A283" s="551"/>
      <c r="C283" s="604"/>
      <c r="D283" s="604"/>
      <c r="E283" s="604"/>
      <c r="F283" s="1024"/>
      <c r="G283" s="1025"/>
      <c r="H283" s="1025"/>
      <c r="I283" s="1025"/>
      <c r="J283" s="1025"/>
      <c r="K283" s="1025"/>
      <c r="L283" s="1025"/>
      <c r="M283" s="1025"/>
      <c r="N283" s="1025"/>
      <c r="O283" s="1025"/>
      <c r="P283" s="1025"/>
      <c r="Q283" s="1025"/>
      <c r="R283" s="1025"/>
      <c r="S283" s="1025"/>
      <c r="T283" s="1025"/>
      <c r="U283" s="1025"/>
      <c r="V283" s="1025"/>
      <c r="W283" s="1025"/>
      <c r="X283" s="1025"/>
      <c r="Y283" s="1025"/>
      <c r="Z283" s="1025"/>
      <c r="AA283" s="1025"/>
      <c r="AB283" s="1025"/>
      <c r="AC283" s="1025"/>
      <c r="AD283" s="1026"/>
      <c r="AE283" s="604"/>
      <c r="AF283" s="604"/>
      <c r="AG283" s="604"/>
      <c r="AH283" s="604"/>
      <c r="AI283" s="636"/>
      <c r="AJ283" s="551"/>
      <c r="AK283" s="551"/>
      <c r="AL283" s="551"/>
      <c r="AM283" s="551"/>
    </row>
    <row r="284" spans="1:52">
      <c r="A284" s="551"/>
      <c r="B284" s="604"/>
      <c r="C284" s="604"/>
      <c r="D284" s="604"/>
      <c r="E284" s="604"/>
      <c r="F284" s="604"/>
      <c r="G284" s="604"/>
      <c r="H284" s="604"/>
      <c r="I284" s="604"/>
      <c r="J284" s="604"/>
      <c r="K284" s="604"/>
      <c r="L284" s="604"/>
      <c r="M284" s="604"/>
      <c r="N284" s="604"/>
      <c r="O284" s="604"/>
      <c r="P284" s="604"/>
      <c r="Q284" s="604"/>
      <c r="R284" s="604"/>
      <c r="S284" s="604"/>
      <c r="T284" s="604"/>
      <c r="U284" s="604"/>
      <c r="V284" s="604"/>
      <c r="W284" s="604"/>
      <c r="X284" s="604"/>
      <c r="Y284" s="604"/>
      <c r="Z284" s="604"/>
      <c r="AA284" s="604"/>
      <c r="AB284" s="604"/>
      <c r="AC284" s="604"/>
      <c r="AD284" s="604"/>
      <c r="AE284" s="604"/>
      <c r="AF284" s="604"/>
      <c r="AG284" s="604"/>
      <c r="AH284" s="604"/>
      <c r="AI284" s="604"/>
      <c r="AJ284" s="604"/>
      <c r="AK284" s="604"/>
      <c r="AL284" s="551"/>
      <c r="AM284" s="551"/>
      <c r="AN284" s="73"/>
    </row>
    <row r="285" spans="1:52">
      <c r="A285" s="607"/>
      <c r="B285" s="565"/>
      <c r="C285" s="565"/>
      <c r="D285" s="565"/>
      <c r="E285" s="565"/>
      <c r="F285" s="565"/>
      <c r="G285" s="565"/>
      <c r="H285" s="565"/>
      <c r="I285" s="565"/>
      <c r="J285" s="565"/>
      <c r="K285" s="565"/>
      <c r="L285" s="565"/>
      <c r="M285" s="565"/>
      <c r="N285" s="565"/>
      <c r="O285" s="565"/>
      <c r="P285" s="565"/>
      <c r="Q285" s="565"/>
      <c r="R285" s="565"/>
      <c r="S285" s="565"/>
      <c r="T285" s="565"/>
      <c r="U285" s="565"/>
      <c r="V285" s="565"/>
      <c r="W285" s="565"/>
      <c r="X285" s="565"/>
      <c r="Y285" s="565"/>
      <c r="Z285" s="565"/>
      <c r="AA285" s="565"/>
      <c r="AB285" s="565"/>
      <c r="AC285" s="565"/>
      <c r="AD285" s="565"/>
      <c r="AE285" s="565"/>
      <c r="AF285" s="565"/>
      <c r="AG285" s="565"/>
      <c r="AH285" s="565"/>
      <c r="AI285" s="566"/>
      <c r="AJ285" s="566" t="s">
        <v>1379</v>
      </c>
      <c r="AK285" s="2569">
        <f>IF($C$278="yes",10,0)</f>
        <v>10</v>
      </c>
      <c r="AL285" s="2569"/>
      <c r="AM285" s="2570"/>
      <c r="AN285" s="73"/>
    </row>
    <row r="286" spans="1:52" ht="13.5" thickBot="1"/>
    <row r="287" spans="1:52" ht="13.5" thickTop="1">
      <c r="A287" s="639"/>
      <c r="B287" s="639"/>
      <c r="C287" s="639"/>
      <c r="D287" s="639"/>
      <c r="E287" s="639"/>
      <c r="F287" s="639"/>
      <c r="G287" s="639"/>
      <c r="H287" s="639"/>
      <c r="I287" s="639"/>
      <c r="J287" s="639"/>
      <c r="K287" s="639"/>
      <c r="L287" s="639"/>
      <c r="M287" s="639"/>
      <c r="N287" s="639"/>
      <c r="O287" s="639"/>
      <c r="P287" s="639"/>
      <c r="Q287" s="639"/>
      <c r="R287" s="639"/>
      <c r="S287" s="639"/>
      <c r="T287" s="639"/>
      <c r="U287" s="639"/>
      <c r="V287" s="639"/>
      <c r="W287" s="639"/>
      <c r="X287" s="639"/>
      <c r="Y287" s="639"/>
      <c r="Z287" s="639"/>
      <c r="AA287" s="639"/>
      <c r="AB287" s="639"/>
      <c r="AC287" s="639"/>
      <c r="AD287" s="639"/>
      <c r="AE287" s="639"/>
      <c r="AF287" s="639"/>
      <c r="AG287" s="639"/>
      <c r="AH287" s="639"/>
      <c r="AI287" s="639"/>
      <c r="AJ287" s="639"/>
      <c r="AK287" s="639"/>
      <c r="AL287" s="639"/>
      <c r="AM287" s="640"/>
    </row>
    <row r="288" spans="1:52">
      <c r="A288" s="539" t="s">
        <v>1380</v>
      </c>
      <c r="B288" s="539" t="s">
        <v>1854</v>
      </c>
      <c r="AH288" s="592" t="s">
        <v>1314</v>
      </c>
    </row>
    <row r="289" spans="1:49" ht="15" customHeight="1">
      <c r="B289" s="540"/>
    </row>
    <row r="290" spans="1:49" ht="15" customHeight="1">
      <c r="B290" s="540" t="s">
        <v>1728</v>
      </c>
    </row>
    <row r="291" spans="1:49">
      <c r="B291" s="551"/>
      <c r="C291" s="641"/>
      <c r="D291" s="551"/>
      <c r="E291" s="551"/>
      <c r="F291" s="551"/>
      <c r="G291" s="551"/>
      <c r="H291" s="551"/>
      <c r="I291" s="551"/>
      <c r="J291" s="551"/>
      <c r="K291" s="551"/>
      <c r="L291" s="551"/>
      <c r="M291" s="551"/>
      <c r="N291" s="551"/>
      <c r="O291" s="551"/>
      <c r="P291" s="551"/>
      <c r="Q291" s="551"/>
      <c r="R291" s="551"/>
      <c r="S291" s="551"/>
      <c r="T291" s="551"/>
      <c r="U291" s="551"/>
      <c r="V291" s="551"/>
      <c r="W291" s="551"/>
      <c r="X291" s="551"/>
      <c r="Y291" s="551"/>
      <c r="Z291" s="551"/>
      <c r="AA291" s="551"/>
      <c r="AB291" s="551"/>
      <c r="AC291" s="551"/>
      <c r="AD291" s="551"/>
      <c r="AG291" s="551"/>
      <c r="AI291" s="551"/>
      <c r="AJ291" s="551"/>
      <c r="AK291" s="551"/>
      <c r="AL291" s="551"/>
      <c r="AM291" s="551"/>
      <c r="AN291" s="73"/>
      <c r="AO291" s="14"/>
      <c r="AP291" s="571"/>
      <c r="AQ291" s="642"/>
      <c r="AR291" s="571"/>
      <c r="AS291" s="571"/>
      <c r="AT291" s="571"/>
      <c r="AU291" s="571"/>
      <c r="AV291" s="32"/>
      <c r="AW291" s="32"/>
    </row>
    <row r="292" spans="1:49" ht="12.75" customHeight="1">
      <c r="A292" s="1651" t="s">
        <v>1382</v>
      </c>
      <c r="B292" s="1651"/>
      <c r="C292" s="2402" t="s">
        <v>591</v>
      </c>
      <c r="D292" s="2451"/>
      <c r="E292" s="548"/>
      <c r="F292" s="2571" t="s">
        <v>1383</v>
      </c>
      <c r="G292" s="2572"/>
      <c r="H292" s="2572"/>
      <c r="I292" s="2572"/>
      <c r="J292" s="2572"/>
      <c r="K292" s="2572"/>
      <c r="L292" s="2572"/>
      <c r="M292" s="2572"/>
      <c r="N292" s="2572"/>
      <c r="O292" s="2572"/>
      <c r="P292" s="2572"/>
      <c r="Q292" s="2572"/>
      <c r="R292" s="2572"/>
      <c r="S292" s="2572"/>
      <c r="T292" s="2572"/>
      <c r="U292" s="2572"/>
      <c r="V292" s="2572"/>
      <c r="W292" s="2572"/>
      <c r="X292" s="2572"/>
      <c r="Y292" s="2572"/>
      <c r="Z292" s="2572"/>
      <c r="AA292" s="2572"/>
      <c r="AB292" s="2572"/>
      <c r="AC292" s="2572"/>
      <c r="AD292" s="2573"/>
      <c r="AE292" s="643"/>
      <c r="AF292" s="551"/>
      <c r="AG292" s="2574" t="s">
        <v>2019</v>
      </c>
      <c r="AH292" s="2574"/>
      <c r="AI292" s="2574"/>
      <c r="AJ292" s="2574"/>
      <c r="AK292" s="2574"/>
      <c r="AL292" s="551"/>
      <c r="AM292" s="551"/>
      <c r="AN292" s="73"/>
      <c r="AO292" s="14"/>
      <c r="AP292" s="30"/>
      <c r="AS292" s="571"/>
      <c r="AT292" s="571"/>
      <c r="AU292" s="571"/>
      <c r="AV292" s="32"/>
      <c r="AW292" s="32"/>
    </row>
    <row r="293" spans="1:49">
      <c r="A293" s="641"/>
      <c r="B293" s="597"/>
      <c r="F293" s="2429"/>
      <c r="G293" s="2430"/>
      <c r="H293" s="2430"/>
      <c r="I293" s="2430"/>
      <c r="J293" s="2430"/>
      <c r="K293" s="2430"/>
      <c r="L293" s="2430"/>
      <c r="M293" s="2430"/>
      <c r="N293" s="2430"/>
      <c r="O293" s="2430"/>
      <c r="P293" s="2430"/>
      <c r="Q293" s="2430"/>
      <c r="R293" s="2430"/>
      <c r="S293" s="2430"/>
      <c r="T293" s="2430"/>
      <c r="U293" s="2430"/>
      <c r="V293" s="2430"/>
      <c r="W293" s="2430"/>
      <c r="X293" s="2430"/>
      <c r="Y293" s="2430"/>
      <c r="Z293" s="2430"/>
      <c r="AA293" s="2430"/>
      <c r="AB293" s="2430"/>
      <c r="AC293" s="2430"/>
      <c r="AD293" s="2431"/>
      <c r="AE293" s="643"/>
      <c r="AF293" s="552"/>
      <c r="AH293" s="552"/>
      <c r="AI293" s="552"/>
      <c r="AJ293" s="551"/>
      <c r="AK293" s="551"/>
      <c r="AL293" s="551"/>
      <c r="AM293" s="551"/>
      <c r="AN293" s="73"/>
      <c r="AO293" s="14"/>
      <c r="AP293" s="551">
        <f>IF($C$292="yes",10,IF(C292="50% Met",9,0))</f>
        <v>0</v>
      </c>
      <c r="AS293" s="571"/>
      <c r="AT293" s="571"/>
      <c r="AU293" s="571"/>
      <c r="AV293" s="32"/>
      <c r="AW293" s="32"/>
    </row>
    <row r="294" spans="1:49" ht="15" customHeight="1">
      <c r="A294" s="641"/>
      <c r="B294" s="597"/>
      <c r="F294" s="2429"/>
      <c r="G294" s="2430"/>
      <c r="H294" s="2430"/>
      <c r="I294" s="2430"/>
      <c r="J294" s="2430"/>
      <c r="K294" s="2430"/>
      <c r="L294" s="2430"/>
      <c r="M294" s="2430"/>
      <c r="N294" s="2430"/>
      <c r="O294" s="2430"/>
      <c r="P294" s="2430"/>
      <c r="Q294" s="2430"/>
      <c r="R294" s="2430"/>
      <c r="S294" s="2430"/>
      <c r="T294" s="2430"/>
      <c r="U294" s="2430"/>
      <c r="V294" s="2430"/>
      <c r="W294" s="2430"/>
      <c r="X294" s="2430"/>
      <c r="Y294" s="2430"/>
      <c r="Z294" s="2430"/>
      <c r="AA294" s="2430"/>
      <c r="AB294" s="2430"/>
      <c r="AC294" s="2430"/>
      <c r="AD294" s="2431"/>
      <c r="AE294" s="643"/>
      <c r="AF294" s="552"/>
      <c r="AH294" s="552"/>
      <c r="AI294" s="552"/>
      <c r="AJ294" s="551"/>
      <c r="AK294" s="551"/>
      <c r="AL294" s="551"/>
      <c r="AM294" s="551"/>
      <c r="AN294" s="73"/>
      <c r="AO294" s="14"/>
      <c r="AP294" s="551">
        <f>IF($C$302="yes",9,0)</f>
        <v>9</v>
      </c>
      <c r="AS294" s="571"/>
      <c r="AT294" s="571"/>
      <c r="AU294" s="571"/>
      <c r="AV294" s="32"/>
      <c r="AW294" s="32"/>
    </row>
    <row r="295" spans="1:49" ht="12.75" customHeight="1">
      <c r="A295" s="641"/>
      <c r="B295" s="597"/>
      <c r="F295" s="2429" t="s">
        <v>2027</v>
      </c>
      <c r="G295" s="2430"/>
      <c r="H295" s="2430"/>
      <c r="I295" s="2430"/>
      <c r="J295" s="2430"/>
      <c r="K295" s="2430"/>
      <c r="L295" s="2430"/>
      <c r="M295" s="2430"/>
      <c r="N295" s="2430"/>
      <c r="O295" s="2430"/>
      <c r="P295" s="2430"/>
      <c r="Q295" s="2430"/>
      <c r="R295" s="2430"/>
      <c r="S295" s="2430"/>
      <c r="T295" s="2430"/>
      <c r="U295" s="2430"/>
      <c r="V295" s="2430"/>
      <c r="W295" s="2430"/>
      <c r="X295" s="2430"/>
      <c r="Y295" s="2430"/>
      <c r="Z295" s="2430"/>
      <c r="AA295" s="2430"/>
      <c r="AB295" s="2430"/>
      <c r="AC295" s="2430"/>
      <c r="AD295" s="2431"/>
      <c r="AE295" s="643"/>
      <c r="AF295" s="552"/>
      <c r="AH295" s="552"/>
      <c r="AI295" s="552"/>
      <c r="AJ295" s="551"/>
      <c r="AK295" s="551"/>
      <c r="AL295" s="551"/>
      <c r="AM295" s="551"/>
      <c r="AN295" s="73"/>
      <c r="AO295" s="14"/>
      <c r="AP295" s="612">
        <f>MAX(AP293,AP294)</f>
        <v>9</v>
      </c>
      <c r="AQ295" s="575" t="s">
        <v>1316</v>
      </c>
      <c r="AS295" s="571"/>
      <c r="AT295" s="571"/>
      <c r="AU295" s="571"/>
      <c r="AV295" s="32"/>
      <c r="AW295" s="32"/>
    </row>
    <row r="296" spans="1:49">
      <c r="A296" s="641"/>
      <c r="B296" s="597"/>
      <c r="F296" s="2429"/>
      <c r="G296" s="2430"/>
      <c r="H296" s="2430"/>
      <c r="I296" s="2430"/>
      <c r="J296" s="2430"/>
      <c r="K296" s="2430"/>
      <c r="L296" s="2430"/>
      <c r="M296" s="2430"/>
      <c r="N296" s="2430"/>
      <c r="O296" s="2430"/>
      <c r="P296" s="2430"/>
      <c r="Q296" s="2430"/>
      <c r="R296" s="2430"/>
      <c r="S296" s="2430"/>
      <c r="T296" s="2430"/>
      <c r="U296" s="2430"/>
      <c r="V296" s="2430"/>
      <c r="W296" s="2430"/>
      <c r="X296" s="2430"/>
      <c r="Y296" s="2430"/>
      <c r="Z296" s="2430"/>
      <c r="AA296" s="2430"/>
      <c r="AB296" s="2430"/>
      <c r="AC296" s="2430"/>
      <c r="AD296" s="2431"/>
      <c r="AE296" s="643"/>
      <c r="AF296" s="552"/>
      <c r="AH296" s="552"/>
      <c r="AI296" s="552"/>
      <c r="AJ296" s="551"/>
      <c r="AK296" s="551"/>
      <c r="AL296" s="551"/>
      <c r="AM296" s="551"/>
      <c r="AN296" s="73"/>
      <c r="AO296" s="14"/>
      <c r="AP296" s="551"/>
      <c r="AS296" s="571"/>
      <c r="AT296" s="571"/>
      <c r="AU296" s="571"/>
      <c r="AV296" s="32"/>
      <c r="AW296" s="32"/>
    </row>
    <row r="297" spans="1:49" ht="12.75" customHeight="1">
      <c r="A297" s="551"/>
      <c r="B297" s="552"/>
      <c r="C297" s="551"/>
      <c r="D297" s="552"/>
      <c r="E297" s="551"/>
      <c r="F297" s="2429" t="s">
        <v>1384</v>
      </c>
      <c r="G297" s="2430"/>
      <c r="H297" s="2430"/>
      <c r="I297" s="2430"/>
      <c r="J297" s="2430"/>
      <c r="K297" s="2430"/>
      <c r="L297" s="2430"/>
      <c r="M297" s="2430"/>
      <c r="N297" s="2430"/>
      <c r="O297" s="2430"/>
      <c r="P297" s="2430"/>
      <c r="Q297" s="2430"/>
      <c r="R297" s="2430"/>
      <c r="S297" s="2430"/>
      <c r="T297" s="2430"/>
      <c r="U297" s="2430"/>
      <c r="V297" s="2430"/>
      <c r="W297" s="2430"/>
      <c r="X297" s="2430"/>
      <c r="Y297" s="2430"/>
      <c r="Z297" s="2430"/>
      <c r="AA297" s="2430"/>
      <c r="AB297" s="2430"/>
      <c r="AC297" s="2430"/>
      <c r="AD297" s="2431"/>
      <c r="AE297" s="643"/>
      <c r="AF297" s="552"/>
      <c r="AG297" s="552"/>
      <c r="AH297" s="552"/>
      <c r="AI297" s="552"/>
      <c r="AJ297" s="551"/>
      <c r="AK297" s="551"/>
      <c r="AL297" s="551"/>
      <c r="AM297" s="551"/>
      <c r="AN297" s="73"/>
      <c r="AO297" s="14"/>
      <c r="AS297" s="571"/>
      <c r="AT297" s="571"/>
      <c r="AU297" s="571"/>
      <c r="AV297" s="32"/>
      <c r="AW297" s="32"/>
    </row>
    <row r="298" spans="1:49" ht="15" customHeight="1">
      <c r="A298" s="551"/>
      <c r="B298" s="552"/>
      <c r="C298" s="552"/>
      <c r="D298" s="552"/>
      <c r="E298" s="552"/>
      <c r="F298" s="2429"/>
      <c r="G298" s="2430"/>
      <c r="H298" s="2430"/>
      <c r="I298" s="2430"/>
      <c r="J298" s="2430"/>
      <c r="K298" s="2430"/>
      <c r="L298" s="2430"/>
      <c r="M298" s="2430"/>
      <c r="N298" s="2430"/>
      <c r="O298" s="2430"/>
      <c r="P298" s="2430"/>
      <c r="Q298" s="2430"/>
      <c r="R298" s="2430"/>
      <c r="S298" s="2430"/>
      <c r="T298" s="2430"/>
      <c r="U298" s="2430"/>
      <c r="V298" s="2430"/>
      <c r="W298" s="2430"/>
      <c r="X298" s="2430"/>
      <c r="Y298" s="2430"/>
      <c r="Z298" s="2430"/>
      <c r="AA298" s="2430"/>
      <c r="AB298" s="2430"/>
      <c r="AC298" s="2430"/>
      <c r="AD298" s="2431"/>
      <c r="AE298" s="643"/>
      <c r="AF298" s="552"/>
      <c r="AG298" s="552"/>
      <c r="AH298" s="552"/>
      <c r="AI298" s="552"/>
      <c r="AJ298" s="551"/>
      <c r="AK298" s="551"/>
      <c r="AL298" s="551"/>
      <c r="AM298" s="551"/>
      <c r="AN298" s="73"/>
      <c r="AO298" s="14"/>
      <c r="AS298" s="571"/>
      <c r="AT298" s="571"/>
      <c r="AU298" s="571"/>
      <c r="AV298" s="32"/>
      <c r="AW298" s="32"/>
    </row>
    <row r="299" spans="1:49" ht="12.75" customHeight="1">
      <c r="A299" s="551"/>
      <c r="B299" s="552"/>
      <c r="C299" s="552"/>
      <c r="D299" s="552"/>
      <c r="E299" s="552"/>
      <c r="F299" s="2429" t="s">
        <v>1385</v>
      </c>
      <c r="G299" s="2430"/>
      <c r="H299" s="2430"/>
      <c r="I299" s="2430"/>
      <c r="J299" s="2430"/>
      <c r="K299" s="2430"/>
      <c r="L299" s="2430"/>
      <c r="M299" s="2430"/>
      <c r="N299" s="2430"/>
      <c r="O299" s="2430"/>
      <c r="P299" s="2430"/>
      <c r="Q299" s="2430"/>
      <c r="R299" s="2430"/>
      <c r="S299" s="2430"/>
      <c r="T299" s="2430"/>
      <c r="U299" s="2430"/>
      <c r="V299" s="2430"/>
      <c r="W299" s="2430"/>
      <c r="X299" s="2430"/>
      <c r="Y299" s="2430"/>
      <c r="Z299" s="2430"/>
      <c r="AA299" s="2430"/>
      <c r="AB299" s="2430"/>
      <c r="AC299" s="2430"/>
      <c r="AD299" s="2431"/>
      <c r="AE299" s="644"/>
      <c r="AF299" s="552"/>
      <c r="AG299" s="552"/>
      <c r="AH299" s="552"/>
      <c r="AI299" s="552"/>
      <c r="AJ299" s="551"/>
      <c r="AK299" s="551"/>
      <c r="AL299" s="551"/>
      <c r="AM299" s="551"/>
      <c r="AN299" s="73"/>
      <c r="AO299" s="14"/>
      <c r="AP299" s="551"/>
      <c r="AS299" s="571"/>
      <c r="AT299" s="571"/>
      <c r="AU299" s="571"/>
      <c r="AV299" s="32"/>
      <c r="AW299" s="32"/>
    </row>
    <row r="300" spans="1:49">
      <c r="A300" s="551"/>
      <c r="B300" s="552"/>
      <c r="C300" s="552"/>
      <c r="D300" s="552"/>
      <c r="E300" s="552"/>
      <c r="F300" s="2432"/>
      <c r="G300" s="2433"/>
      <c r="H300" s="2433"/>
      <c r="I300" s="2433"/>
      <c r="J300" s="2433"/>
      <c r="K300" s="2433"/>
      <c r="L300" s="2433"/>
      <c r="M300" s="2433"/>
      <c r="N300" s="2433"/>
      <c r="O300" s="2433"/>
      <c r="P300" s="2433"/>
      <c r="Q300" s="2433"/>
      <c r="R300" s="2433"/>
      <c r="S300" s="2433"/>
      <c r="T300" s="2433"/>
      <c r="U300" s="2433"/>
      <c r="V300" s="2433"/>
      <c r="W300" s="2433"/>
      <c r="X300" s="2433"/>
      <c r="Y300" s="2433"/>
      <c r="Z300" s="2433"/>
      <c r="AA300" s="2433"/>
      <c r="AB300" s="2433"/>
      <c r="AC300" s="2433"/>
      <c r="AD300" s="2568"/>
      <c r="AE300" s="644"/>
      <c r="AF300" s="552"/>
      <c r="AG300" s="552"/>
      <c r="AH300" s="552"/>
      <c r="AI300" s="552"/>
      <c r="AJ300" s="551"/>
      <c r="AK300" s="551"/>
      <c r="AL300" s="551"/>
      <c r="AM300" s="551"/>
      <c r="AN300" s="73"/>
      <c r="AO300" s="14"/>
      <c r="AP300" s="551"/>
      <c r="AS300" s="571"/>
      <c r="AT300" s="571"/>
      <c r="AU300" s="571"/>
      <c r="AV300" s="32"/>
      <c r="AW300" s="32"/>
    </row>
    <row r="301" spans="1:49">
      <c r="A301" s="551"/>
      <c r="B301" s="552"/>
      <c r="C301" s="552"/>
      <c r="D301" s="552"/>
      <c r="E301" s="552"/>
      <c r="F301" s="644"/>
      <c r="G301" s="644"/>
      <c r="H301" s="644"/>
      <c r="I301" s="644"/>
      <c r="J301" s="644"/>
      <c r="K301" s="644"/>
      <c r="L301" s="644"/>
      <c r="M301" s="644"/>
      <c r="N301" s="644"/>
      <c r="O301" s="644"/>
      <c r="P301" s="644"/>
      <c r="Q301" s="644"/>
      <c r="R301" s="644"/>
      <c r="S301" s="644"/>
      <c r="T301" s="644"/>
      <c r="U301" s="644"/>
      <c r="V301" s="644"/>
      <c r="W301" s="644"/>
      <c r="X301" s="644"/>
      <c r="Y301" s="644"/>
      <c r="Z301" s="644"/>
      <c r="AA301" s="644"/>
      <c r="AB301" s="644"/>
      <c r="AC301" s="644"/>
      <c r="AD301" s="644"/>
      <c r="AE301" s="552"/>
      <c r="AF301" s="552"/>
      <c r="AG301" s="552"/>
      <c r="AH301" s="552"/>
      <c r="AI301" s="552"/>
      <c r="AJ301" s="551"/>
      <c r="AK301" s="551"/>
      <c r="AL301" s="551"/>
      <c r="AM301" s="551"/>
      <c r="AN301" s="73"/>
      <c r="AO301" s="14"/>
      <c r="AS301" s="571"/>
      <c r="AT301" s="571"/>
      <c r="AU301" s="571"/>
      <c r="AV301" s="32"/>
      <c r="AW301" s="32"/>
    </row>
    <row r="302" spans="1:49" ht="15" customHeight="1">
      <c r="A302" s="1651" t="s">
        <v>1386</v>
      </c>
      <c r="B302" s="1651"/>
      <c r="C302" s="2451" t="s">
        <v>545</v>
      </c>
      <c r="D302" s="2451"/>
      <c r="E302" s="548"/>
      <c r="F302" s="645" t="s">
        <v>2020</v>
      </c>
      <c r="G302" s="646"/>
      <c r="H302" s="646"/>
      <c r="I302" s="646"/>
      <c r="J302" s="646"/>
      <c r="K302" s="646"/>
      <c r="L302" s="646"/>
      <c r="M302" s="646"/>
      <c r="N302" s="646"/>
      <c r="O302" s="646"/>
      <c r="P302" s="646"/>
      <c r="Q302" s="646"/>
      <c r="R302" s="646"/>
      <c r="S302" s="646"/>
      <c r="T302" s="646"/>
      <c r="U302" s="646"/>
      <c r="V302" s="646"/>
      <c r="W302" s="646"/>
      <c r="X302" s="646"/>
      <c r="Y302" s="646"/>
      <c r="Z302" s="646"/>
      <c r="AA302" s="646"/>
      <c r="AB302" s="646"/>
      <c r="AC302" s="646"/>
      <c r="AD302" s="647"/>
      <c r="AE302" s="552"/>
      <c r="AF302" s="552"/>
      <c r="AG302" s="540" t="s">
        <v>1388</v>
      </c>
      <c r="AH302" s="552"/>
      <c r="AI302" s="552"/>
      <c r="AJ302" s="551"/>
      <c r="AK302" s="551"/>
      <c r="AL302" s="551"/>
      <c r="AM302" s="551"/>
      <c r="AN302" s="648"/>
      <c r="AO302" s="14"/>
    </row>
    <row r="303" spans="1:49">
      <c r="A303" s="551"/>
      <c r="B303" s="552"/>
      <c r="C303" s="551"/>
      <c r="D303" s="552"/>
      <c r="E303" s="551"/>
      <c r="F303" s="2553" t="s">
        <v>2021</v>
      </c>
      <c r="G303" s="2554"/>
      <c r="H303" s="2554"/>
      <c r="I303" s="2554"/>
      <c r="J303" s="2554"/>
      <c r="K303" s="2554"/>
      <c r="L303" s="2554"/>
      <c r="M303" s="2554"/>
      <c r="N303" s="2554"/>
      <c r="O303" s="2554"/>
      <c r="P303" s="2554"/>
      <c r="Q303" s="2554"/>
      <c r="R303" s="2554"/>
      <c r="S303" s="2554"/>
      <c r="T303" s="2554"/>
      <c r="U303" s="2554"/>
      <c r="V303" s="2554"/>
      <c r="W303" s="2554"/>
      <c r="X303" s="2554"/>
      <c r="Y303" s="2554"/>
      <c r="Z303" s="2554"/>
      <c r="AA303" s="2554"/>
      <c r="AB303" s="2554"/>
      <c r="AC303" s="2554"/>
      <c r="AD303" s="2555"/>
      <c r="AE303" s="552"/>
      <c r="AF303" s="552"/>
      <c r="AG303" s="552"/>
      <c r="AH303" s="552"/>
      <c r="AI303" s="552"/>
      <c r="AJ303" s="551"/>
      <c r="AK303" s="551"/>
      <c r="AL303" s="551"/>
      <c r="AM303" s="551"/>
      <c r="AR303" s="649"/>
    </row>
    <row r="304" spans="1:49" ht="15" customHeight="1">
      <c r="A304" s="551"/>
      <c r="B304" s="552"/>
      <c r="C304" s="551"/>
      <c r="D304" s="552"/>
      <c r="E304" s="551"/>
      <c r="F304" s="2553"/>
      <c r="G304" s="2554"/>
      <c r="H304" s="2554"/>
      <c r="I304" s="2554"/>
      <c r="J304" s="2554"/>
      <c r="K304" s="2554"/>
      <c r="L304" s="2554"/>
      <c r="M304" s="2554"/>
      <c r="N304" s="2554"/>
      <c r="O304" s="2554"/>
      <c r="P304" s="2554"/>
      <c r="Q304" s="2554"/>
      <c r="R304" s="2554"/>
      <c r="S304" s="2554"/>
      <c r="T304" s="2554"/>
      <c r="U304" s="2554"/>
      <c r="V304" s="2554"/>
      <c r="W304" s="2554"/>
      <c r="X304" s="2554"/>
      <c r="Y304" s="2554"/>
      <c r="Z304" s="2554"/>
      <c r="AA304" s="2554"/>
      <c r="AB304" s="2554"/>
      <c r="AC304" s="2554"/>
      <c r="AD304" s="2555"/>
      <c r="AE304" s="552"/>
      <c r="AF304" s="552"/>
      <c r="AG304" s="552"/>
      <c r="AH304" s="552"/>
      <c r="AI304" s="552"/>
      <c r="AJ304" s="551"/>
      <c r="AK304" s="551"/>
      <c r="AL304" s="551"/>
      <c r="AM304" s="551"/>
      <c r="AR304" s="649"/>
    </row>
    <row r="305" spans="1:44">
      <c r="A305" s="551"/>
      <c r="B305" s="552"/>
      <c r="C305" s="551"/>
      <c r="D305" s="552"/>
      <c r="E305" s="551"/>
      <c r="F305" s="2553"/>
      <c r="G305" s="2554"/>
      <c r="H305" s="2554"/>
      <c r="I305" s="2554"/>
      <c r="J305" s="2554"/>
      <c r="K305" s="2554"/>
      <c r="L305" s="2554"/>
      <c r="M305" s="2554"/>
      <c r="N305" s="2554"/>
      <c r="O305" s="2554"/>
      <c r="P305" s="2554"/>
      <c r="Q305" s="2554"/>
      <c r="R305" s="2554"/>
      <c r="S305" s="2554"/>
      <c r="T305" s="2554"/>
      <c r="U305" s="2554"/>
      <c r="V305" s="2554"/>
      <c r="W305" s="2554"/>
      <c r="X305" s="2554"/>
      <c r="Y305" s="2554"/>
      <c r="Z305" s="2554"/>
      <c r="AA305" s="2554"/>
      <c r="AB305" s="2554"/>
      <c r="AC305" s="2554"/>
      <c r="AD305" s="2555"/>
      <c r="AE305" s="552"/>
      <c r="AF305" s="552"/>
      <c r="AG305" s="552"/>
      <c r="AH305" s="552"/>
      <c r="AI305" s="552"/>
      <c r="AJ305" s="551"/>
      <c r="AK305" s="551"/>
      <c r="AL305" s="551"/>
      <c r="AM305" s="551"/>
      <c r="AP305" s="612"/>
      <c r="AQ305" s="575"/>
      <c r="AR305" s="649"/>
    </row>
    <row r="306" spans="1:44" ht="15" customHeight="1">
      <c r="A306" s="551"/>
      <c r="B306" s="552"/>
      <c r="C306" s="551"/>
      <c r="D306" s="552"/>
      <c r="E306" s="551"/>
      <c r="F306" s="2575"/>
      <c r="G306" s="2576"/>
      <c r="H306" s="2576"/>
      <c r="I306" s="2576"/>
      <c r="J306" s="2576"/>
      <c r="K306" s="2576"/>
      <c r="L306" s="2576"/>
      <c r="M306" s="2576"/>
      <c r="N306" s="2576"/>
      <c r="O306" s="2576"/>
      <c r="P306" s="2576"/>
      <c r="Q306" s="2576"/>
      <c r="R306" s="2576"/>
      <c r="S306" s="2576"/>
      <c r="T306" s="2576"/>
      <c r="U306" s="2576"/>
      <c r="V306" s="2576"/>
      <c r="W306" s="2576"/>
      <c r="X306" s="2576"/>
      <c r="Y306" s="2576"/>
      <c r="Z306" s="2576"/>
      <c r="AA306" s="2576"/>
      <c r="AB306" s="2576"/>
      <c r="AC306" s="2576"/>
      <c r="AD306" s="2577"/>
      <c r="AE306" s="552"/>
      <c r="AF306" s="552"/>
      <c r="AG306" s="552"/>
      <c r="AH306" s="552"/>
      <c r="AI306" s="552"/>
      <c r="AJ306" s="551"/>
      <c r="AK306" s="551"/>
      <c r="AL306" s="551"/>
      <c r="AM306" s="551"/>
      <c r="AP306" s="612"/>
      <c r="AQ306" s="575"/>
      <c r="AR306" s="649"/>
    </row>
    <row r="307" spans="1:44">
      <c r="A307" s="551"/>
      <c r="B307" s="552"/>
      <c r="C307" s="552"/>
      <c r="D307" s="552"/>
      <c r="E307" s="552"/>
      <c r="F307" s="552"/>
      <c r="G307" s="552"/>
      <c r="H307" s="552"/>
      <c r="I307" s="552"/>
      <c r="J307" s="552"/>
      <c r="K307" s="552"/>
      <c r="L307" s="552"/>
      <c r="M307" s="552"/>
      <c r="N307" s="552"/>
      <c r="O307" s="552"/>
      <c r="P307" s="552"/>
      <c r="Q307" s="552"/>
      <c r="R307" s="552"/>
      <c r="S307" s="552"/>
      <c r="T307" s="552"/>
      <c r="U307" s="552"/>
      <c r="V307" s="552"/>
      <c r="W307" s="552"/>
      <c r="X307" s="552"/>
      <c r="Y307" s="552"/>
      <c r="Z307" s="552"/>
      <c r="AA307" s="552"/>
      <c r="AB307" s="552"/>
      <c r="AC307" s="552"/>
      <c r="AD307" s="552"/>
      <c r="AE307" s="552"/>
      <c r="AF307" s="552"/>
      <c r="AG307" s="552"/>
      <c r="AH307" s="552"/>
      <c r="AI307" s="552"/>
      <c r="AJ307" s="551"/>
      <c r="AK307" s="551"/>
      <c r="AL307" s="551"/>
      <c r="AM307" s="551"/>
      <c r="AP307" s="612"/>
      <c r="AQ307" s="575"/>
      <c r="AR307" s="649"/>
    </row>
    <row r="308" spans="1:44" hidden="1">
      <c r="A308" s="551"/>
      <c r="B308" s="552"/>
      <c r="C308" s="552"/>
      <c r="D308" s="552"/>
      <c r="E308" s="552"/>
      <c r="F308" s="552"/>
      <c r="G308" s="552"/>
      <c r="H308" s="552"/>
      <c r="I308" s="552"/>
      <c r="J308" s="552"/>
      <c r="K308" s="552"/>
      <c r="L308" s="552"/>
      <c r="M308" s="552"/>
      <c r="N308" s="552"/>
      <c r="O308" s="552"/>
      <c r="P308" s="552"/>
      <c r="Q308" s="552"/>
      <c r="R308" s="552"/>
      <c r="S308" s="552"/>
      <c r="T308" s="552"/>
      <c r="U308" s="552"/>
      <c r="V308" s="552"/>
      <c r="W308" s="552"/>
      <c r="X308" s="552"/>
      <c r="Y308" s="552"/>
      <c r="Z308" s="552"/>
      <c r="AA308" s="552"/>
      <c r="AB308" s="552"/>
      <c r="AC308" s="552"/>
      <c r="AD308" s="552"/>
      <c r="AE308" s="552"/>
      <c r="AF308" s="552"/>
      <c r="AG308" s="552"/>
      <c r="AH308" s="552"/>
      <c r="AI308" s="552"/>
      <c r="AJ308" s="551"/>
      <c r="AK308" s="551"/>
      <c r="AL308" s="551"/>
      <c r="AM308" s="551"/>
      <c r="AP308" s="612"/>
      <c r="AQ308" s="575"/>
      <c r="AR308" s="649"/>
    </row>
    <row r="309" spans="1:44" hidden="1">
      <c r="A309" s="551"/>
      <c r="B309" s="552"/>
      <c r="C309" s="552"/>
      <c r="D309" s="552"/>
      <c r="E309" s="552"/>
      <c r="F309" s="552"/>
      <c r="G309" s="552"/>
      <c r="H309" s="552"/>
      <c r="I309" s="552"/>
      <c r="J309" s="552"/>
      <c r="K309" s="552"/>
      <c r="L309" s="552"/>
      <c r="M309" s="552"/>
      <c r="N309" s="552"/>
      <c r="O309" s="552"/>
      <c r="P309" s="552"/>
      <c r="Q309" s="552"/>
      <c r="R309" s="552"/>
      <c r="S309" s="552"/>
      <c r="T309" s="552"/>
      <c r="U309" s="552"/>
      <c r="V309" s="552"/>
      <c r="W309" s="552"/>
      <c r="X309" s="552"/>
      <c r="Y309" s="552"/>
      <c r="Z309" s="552"/>
      <c r="AA309" s="552"/>
      <c r="AB309" s="552"/>
      <c r="AC309" s="552"/>
      <c r="AD309" s="552"/>
      <c r="AE309" s="552"/>
      <c r="AF309" s="552"/>
      <c r="AG309" s="552"/>
      <c r="AH309" s="552"/>
      <c r="AI309" s="552"/>
      <c r="AJ309" s="551"/>
      <c r="AK309" s="551"/>
      <c r="AL309" s="551"/>
      <c r="AM309" s="551"/>
      <c r="AN309" s="73"/>
      <c r="AO309" s="14"/>
    </row>
    <row r="310" spans="1:44" hidden="1">
      <c r="A310" s="1651" t="s">
        <v>1389</v>
      </c>
      <c r="B310" s="1651"/>
      <c r="C310" s="2451" t="s">
        <v>591</v>
      </c>
      <c r="D310" s="2451"/>
      <c r="E310" s="548"/>
      <c r="F310" s="645" t="s">
        <v>1387</v>
      </c>
      <c r="G310" s="650"/>
      <c r="H310" s="650"/>
      <c r="I310" s="650"/>
      <c r="J310" s="650"/>
      <c r="K310" s="650"/>
      <c r="L310" s="650"/>
      <c r="M310" s="650"/>
      <c r="N310" s="650"/>
      <c r="O310" s="650"/>
      <c r="P310" s="650"/>
      <c r="Q310" s="650"/>
      <c r="R310" s="650"/>
      <c r="S310" s="650"/>
      <c r="T310" s="650"/>
      <c r="U310" s="650"/>
      <c r="V310" s="650"/>
      <c r="W310" s="650"/>
      <c r="X310" s="650"/>
      <c r="Y310" s="650"/>
      <c r="Z310" s="650"/>
      <c r="AA310" s="650"/>
      <c r="AB310" s="650"/>
      <c r="AC310" s="650"/>
      <c r="AD310" s="651"/>
      <c r="AE310" s="552"/>
      <c r="AF310" s="552"/>
      <c r="AG310" s="540" t="s">
        <v>1388</v>
      </c>
      <c r="AH310" s="552"/>
      <c r="AI310" s="552"/>
      <c r="AJ310" s="551"/>
      <c r="AK310" s="551"/>
      <c r="AL310" s="551"/>
      <c r="AM310" s="551"/>
      <c r="AN310" s="73"/>
      <c r="AO310" s="14"/>
    </row>
    <row r="311" spans="1:44" hidden="1">
      <c r="A311" s="89"/>
      <c r="B311" s="89"/>
      <c r="C311" s="731"/>
      <c r="D311" s="731"/>
      <c r="E311" s="548"/>
      <c r="F311" s="2429" t="s">
        <v>2028</v>
      </c>
      <c r="G311" s="2430"/>
      <c r="H311" s="2430"/>
      <c r="I311" s="2430"/>
      <c r="J311" s="2430"/>
      <c r="K311" s="2430"/>
      <c r="L311" s="2430"/>
      <c r="M311" s="2430"/>
      <c r="N311" s="2430"/>
      <c r="O311" s="2430"/>
      <c r="P311" s="2430"/>
      <c r="Q311" s="2430"/>
      <c r="R311" s="2430"/>
      <c r="S311" s="2430"/>
      <c r="T311" s="2430"/>
      <c r="U311" s="2430"/>
      <c r="V311" s="2430"/>
      <c r="W311" s="2430"/>
      <c r="X311" s="2430"/>
      <c r="Y311" s="2430"/>
      <c r="Z311" s="2430"/>
      <c r="AA311" s="2430"/>
      <c r="AB311" s="2430"/>
      <c r="AC311" s="2430"/>
      <c r="AD311" s="2431"/>
      <c r="AE311" s="552"/>
      <c r="AF311" s="552"/>
      <c r="AG311" s="540"/>
      <c r="AH311" s="552"/>
      <c r="AI311" s="552"/>
      <c r="AJ311" s="551"/>
      <c r="AK311" s="551"/>
      <c r="AL311" s="551"/>
      <c r="AM311" s="551"/>
      <c r="AN311" s="73"/>
      <c r="AO311" s="14"/>
      <c r="AP311" s="558" t="s">
        <v>1184</v>
      </c>
    </row>
    <row r="312" spans="1:44" hidden="1">
      <c r="F312" s="2429"/>
      <c r="G312" s="2430"/>
      <c r="H312" s="2430"/>
      <c r="I312" s="2430"/>
      <c r="J312" s="2430"/>
      <c r="K312" s="2430"/>
      <c r="L312" s="2430"/>
      <c r="M312" s="2430"/>
      <c r="N312" s="2430"/>
      <c r="O312" s="2430"/>
      <c r="P312" s="2430"/>
      <c r="Q312" s="2430"/>
      <c r="R312" s="2430"/>
      <c r="S312" s="2430"/>
      <c r="T312" s="2430"/>
      <c r="U312" s="2430"/>
      <c r="V312" s="2430"/>
      <c r="W312" s="2430"/>
      <c r="X312" s="2430"/>
      <c r="Y312" s="2430"/>
      <c r="Z312" s="2430"/>
      <c r="AA312" s="2430"/>
      <c r="AB312" s="2430"/>
      <c r="AC312" s="2430"/>
      <c r="AD312" s="2431"/>
      <c r="AE312" s="552"/>
      <c r="AF312" s="552"/>
      <c r="AH312" s="552"/>
      <c r="AI312" s="552"/>
      <c r="AJ312" s="551"/>
      <c r="AK312" s="551"/>
      <c r="AL312" s="551"/>
      <c r="AM312" s="551"/>
      <c r="AN312" s="73"/>
      <c r="AO312" s="14"/>
      <c r="AP312" s="558" t="s">
        <v>1730</v>
      </c>
    </row>
    <row r="313" spans="1:44" hidden="1">
      <c r="A313" s="551"/>
      <c r="B313" s="552"/>
      <c r="C313" s="731"/>
      <c r="D313" s="731"/>
      <c r="E313" s="548"/>
      <c r="F313" s="653" t="s">
        <v>1390</v>
      </c>
      <c r="G313" s="664"/>
      <c r="H313" s="664"/>
      <c r="I313" s="664"/>
      <c r="J313" s="664"/>
      <c r="K313" s="664"/>
      <c r="L313" s="664"/>
      <c r="M313" s="664"/>
      <c r="N313" s="664"/>
      <c r="O313" s="664"/>
      <c r="P313" s="664"/>
      <c r="Q313" s="664"/>
      <c r="R313" s="664"/>
      <c r="S313" s="664"/>
      <c r="T313" s="664"/>
      <c r="U313" s="664"/>
      <c r="V313" s="664"/>
      <c r="W313" s="664"/>
      <c r="X313" s="664"/>
      <c r="Y313" s="664"/>
      <c r="Z313" s="664"/>
      <c r="AA313" s="664"/>
      <c r="AB313" s="664"/>
      <c r="AC313" s="664"/>
      <c r="AD313" s="1021"/>
      <c r="AE313" s="552"/>
      <c r="AF313" s="552"/>
      <c r="AG313" s="540"/>
      <c r="AH313" s="552"/>
      <c r="AI313" s="552"/>
      <c r="AJ313" s="551"/>
      <c r="AK313" s="551"/>
      <c r="AL313" s="551"/>
      <c r="AM313" s="551"/>
      <c r="AN313" s="73"/>
      <c r="AO313" s="14"/>
      <c r="AP313" s="558" t="s">
        <v>1732</v>
      </c>
    </row>
    <row r="314" spans="1:44" hidden="1">
      <c r="A314" s="551"/>
      <c r="B314" s="552"/>
      <c r="C314" s="731"/>
      <c r="D314" s="731"/>
      <c r="E314" s="548"/>
      <c r="F314" s="653"/>
      <c r="G314" s="664"/>
      <c r="H314" s="664"/>
      <c r="I314" s="664"/>
      <c r="J314" s="664"/>
      <c r="K314" s="664"/>
      <c r="L314" s="664"/>
      <c r="M314" s="664"/>
      <c r="N314" s="664"/>
      <c r="O314" s="664"/>
      <c r="P314" s="664"/>
      <c r="Q314" s="664"/>
      <c r="R314" s="664"/>
      <c r="S314" s="664"/>
      <c r="T314" s="664"/>
      <c r="U314" s="664"/>
      <c r="V314" s="664"/>
      <c r="W314" s="664"/>
      <c r="X314" s="664"/>
      <c r="Y314" s="664"/>
      <c r="Z314" s="664"/>
      <c r="AA314" s="664"/>
      <c r="AB314" s="664"/>
      <c r="AC314" s="664"/>
      <c r="AD314" s="1021"/>
      <c r="AE314" s="552"/>
      <c r="AF314" s="552"/>
      <c r="AG314" s="540"/>
      <c r="AH314" s="552"/>
      <c r="AI314" s="552"/>
      <c r="AJ314" s="551"/>
      <c r="AK314" s="551"/>
      <c r="AL314" s="551"/>
      <c r="AM314" s="551"/>
      <c r="AN314" s="73"/>
      <c r="AO314" s="14"/>
      <c r="AP314" s="558" t="s">
        <v>1856</v>
      </c>
    </row>
    <row r="315" spans="1:44" ht="12.75" hidden="1" customHeight="1">
      <c r="A315" s="551"/>
      <c r="B315" s="552"/>
      <c r="C315" s="731"/>
      <c r="D315" s="731"/>
      <c r="E315" s="548"/>
      <c r="F315" s="653"/>
      <c r="G315" s="643"/>
      <c r="H315" s="643"/>
      <c r="I315" s="643"/>
      <c r="J315" s="643"/>
      <c r="K315" s="643"/>
      <c r="L315" s="643"/>
      <c r="M315" s="643"/>
      <c r="N315" s="643"/>
      <c r="O315" s="643"/>
      <c r="P315" s="643"/>
      <c r="Q315" s="643"/>
      <c r="R315" s="643"/>
      <c r="S315" s="643"/>
      <c r="T315" s="643"/>
      <c r="U315" s="643"/>
      <c r="V315" s="643"/>
      <c r="W315" s="643"/>
      <c r="X315" s="643"/>
      <c r="Y315" s="643"/>
      <c r="Z315" s="643"/>
      <c r="AA315" s="643"/>
      <c r="AB315" s="643"/>
      <c r="AC315" s="643"/>
      <c r="AD315" s="654"/>
      <c r="AE315" s="552"/>
      <c r="AF315" s="552"/>
      <c r="AG315" s="540"/>
      <c r="AH315" s="552"/>
      <c r="AI315" s="552"/>
      <c r="AJ315" s="551"/>
      <c r="AK315" s="551"/>
      <c r="AL315" s="551"/>
      <c r="AM315" s="551"/>
      <c r="AN315" s="73"/>
      <c r="AO315" s="14"/>
      <c r="AP315" s="30"/>
    </row>
    <row r="316" spans="1:44" ht="12.75" hidden="1" customHeight="1">
      <c r="A316" s="551"/>
      <c r="B316" s="552"/>
      <c r="C316" s="731"/>
      <c r="D316" s="731"/>
      <c r="E316" s="548"/>
      <c r="F316" s="2556" t="s">
        <v>1184</v>
      </c>
      <c r="G316" s="2557"/>
      <c r="H316" s="2557"/>
      <c r="I316" s="2557"/>
      <c r="J316" s="2557"/>
      <c r="K316" s="2557"/>
      <c r="L316" s="2557"/>
      <c r="M316" s="2557"/>
      <c r="N316" s="2557"/>
      <c r="O316" s="2557"/>
      <c r="P316" s="2557"/>
      <c r="Q316" s="2557"/>
      <c r="R316" s="2557"/>
      <c r="S316" s="2557"/>
      <c r="T316" s="2557"/>
      <c r="U316" s="2557"/>
      <c r="V316" s="2557"/>
      <c r="W316" s="2557"/>
      <c r="X316" s="2557"/>
      <c r="Y316" s="2557"/>
      <c r="Z316" s="2557"/>
      <c r="AA316" s="2557"/>
      <c r="AB316" s="2557"/>
      <c r="AC316" s="2557"/>
      <c r="AD316" s="2558"/>
      <c r="AE316" s="643"/>
      <c r="AF316" s="643"/>
      <c r="AG316" s="643"/>
      <c r="AH316" s="643"/>
      <c r="AI316" s="643"/>
      <c r="AJ316" s="643"/>
      <c r="AK316" s="643"/>
      <c r="AL316" s="551"/>
      <c r="AM316" s="551"/>
      <c r="AN316" s="73"/>
      <c r="AO316" s="14"/>
      <c r="AP316" s="30"/>
    </row>
    <row r="317" spans="1:44" hidden="1">
      <c r="A317" s="551"/>
      <c r="B317" s="552"/>
      <c r="C317" s="731"/>
      <c r="D317" s="731"/>
      <c r="E317" s="548"/>
      <c r="F317" s="2556"/>
      <c r="G317" s="2557"/>
      <c r="H317" s="2557"/>
      <c r="I317" s="2557"/>
      <c r="J317" s="2557"/>
      <c r="K317" s="2557"/>
      <c r="L317" s="2557"/>
      <c r="M317" s="2557"/>
      <c r="N317" s="2557"/>
      <c r="O317" s="2557"/>
      <c r="P317" s="2557"/>
      <c r="Q317" s="2557"/>
      <c r="R317" s="2557"/>
      <c r="S317" s="2557"/>
      <c r="T317" s="2557"/>
      <c r="U317" s="2557"/>
      <c r="V317" s="2557"/>
      <c r="W317" s="2557"/>
      <c r="X317" s="2557"/>
      <c r="Y317" s="2557"/>
      <c r="Z317" s="2557"/>
      <c r="AA317" s="2557"/>
      <c r="AB317" s="2557"/>
      <c r="AC317" s="2557"/>
      <c r="AD317" s="2558"/>
      <c r="AE317" s="552"/>
      <c r="AF317" s="552"/>
      <c r="AG317" s="540"/>
      <c r="AH317" s="552"/>
      <c r="AI317" s="552"/>
      <c r="AJ317" s="551"/>
      <c r="AK317" s="551"/>
      <c r="AL317" s="551"/>
      <c r="AM317" s="551"/>
      <c r="AN317" s="73"/>
      <c r="AO317" s="14"/>
      <c r="AP317" s="30"/>
    </row>
    <row r="318" spans="1:44" hidden="1">
      <c r="A318" s="551"/>
      <c r="B318" s="552"/>
      <c r="C318" s="731"/>
      <c r="D318" s="731"/>
      <c r="E318" s="548"/>
      <c r="F318" s="2556"/>
      <c r="G318" s="2557"/>
      <c r="H318" s="2557"/>
      <c r="I318" s="2557"/>
      <c r="J318" s="2557"/>
      <c r="K318" s="2557"/>
      <c r="L318" s="2557"/>
      <c r="M318" s="2557"/>
      <c r="N318" s="2557"/>
      <c r="O318" s="2557"/>
      <c r="P318" s="2557"/>
      <c r="Q318" s="2557"/>
      <c r="R318" s="2557"/>
      <c r="S318" s="2557"/>
      <c r="T318" s="2557"/>
      <c r="U318" s="2557"/>
      <c r="V318" s="2557"/>
      <c r="W318" s="2557"/>
      <c r="X318" s="2557"/>
      <c r="Y318" s="2557"/>
      <c r="Z318" s="2557"/>
      <c r="AA318" s="2557"/>
      <c r="AB318" s="2557"/>
      <c r="AC318" s="2557"/>
      <c r="AD318" s="2558"/>
      <c r="AE318" s="552"/>
      <c r="AF318" s="552"/>
      <c r="AG318" s="540"/>
      <c r="AH318" s="552"/>
      <c r="AI318" s="552"/>
      <c r="AJ318" s="551"/>
      <c r="AK318" s="551"/>
      <c r="AL318" s="551"/>
      <c r="AM318" s="551"/>
      <c r="AN318" s="73"/>
      <c r="AO318" s="14"/>
      <c r="AP318" s="30"/>
    </row>
    <row r="319" spans="1:44" hidden="1">
      <c r="A319" s="551"/>
      <c r="B319" s="552"/>
      <c r="C319" s="731"/>
      <c r="D319" s="731"/>
      <c r="E319" s="548"/>
      <c r="F319" s="2556"/>
      <c r="G319" s="2557"/>
      <c r="H319" s="2557"/>
      <c r="I319" s="2557"/>
      <c r="J319" s="2557"/>
      <c r="K319" s="2557"/>
      <c r="L319" s="2557"/>
      <c r="M319" s="2557"/>
      <c r="N319" s="2557"/>
      <c r="O319" s="2557"/>
      <c r="P319" s="2557"/>
      <c r="Q319" s="2557"/>
      <c r="R319" s="2557"/>
      <c r="S319" s="2557"/>
      <c r="T319" s="2557"/>
      <c r="U319" s="2557"/>
      <c r="V319" s="2557"/>
      <c r="W319" s="2557"/>
      <c r="X319" s="2557"/>
      <c r="Y319" s="2557"/>
      <c r="Z319" s="2557"/>
      <c r="AA319" s="2557"/>
      <c r="AB319" s="2557"/>
      <c r="AC319" s="2557"/>
      <c r="AD319" s="2558"/>
      <c r="AE319" s="552"/>
      <c r="AF319" s="552"/>
      <c r="AG319" s="540"/>
      <c r="AH319" s="552"/>
      <c r="AI319" s="552"/>
      <c r="AJ319" s="551"/>
      <c r="AK319" s="551"/>
      <c r="AL319" s="551"/>
      <c r="AM319" s="551"/>
      <c r="AN319" s="73"/>
      <c r="AO319" s="14"/>
      <c r="AP319" s="30"/>
    </row>
    <row r="320" spans="1:44" hidden="1">
      <c r="A320" s="551"/>
      <c r="B320" s="552"/>
      <c r="C320" s="731"/>
      <c r="D320" s="731"/>
      <c r="E320" s="548"/>
      <c r="F320" s="2559"/>
      <c r="G320" s="2560"/>
      <c r="H320" s="2560"/>
      <c r="I320" s="2560"/>
      <c r="J320" s="2560"/>
      <c r="K320" s="2560"/>
      <c r="L320" s="2560"/>
      <c r="M320" s="2560"/>
      <c r="N320" s="2560"/>
      <c r="O320" s="2560"/>
      <c r="P320" s="2560"/>
      <c r="Q320" s="2560"/>
      <c r="R320" s="2560"/>
      <c r="S320" s="2560"/>
      <c r="T320" s="2560"/>
      <c r="U320" s="2560"/>
      <c r="V320" s="2560"/>
      <c r="W320" s="2560"/>
      <c r="X320" s="2560"/>
      <c r="Y320" s="2560"/>
      <c r="Z320" s="2560"/>
      <c r="AA320" s="2560"/>
      <c r="AB320" s="2560"/>
      <c r="AC320" s="2560"/>
      <c r="AD320" s="2561"/>
      <c r="AE320" s="552"/>
      <c r="AF320" s="552"/>
      <c r="AG320" s="540"/>
      <c r="AH320" s="552"/>
      <c r="AI320" s="552"/>
      <c r="AJ320" s="551"/>
      <c r="AK320" s="551"/>
      <c r="AL320" s="551"/>
      <c r="AM320" s="551"/>
      <c r="AN320" s="73"/>
      <c r="AO320" s="14"/>
      <c r="AP320" s="30"/>
    </row>
    <row r="321" spans="1:42" hidden="1">
      <c r="A321" s="551"/>
      <c r="B321" s="552"/>
      <c r="C321" s="731"/>
      <c r="D321" s="731"/>
      <c r="E321" s="548"/>
      <c r="F321" s="976"/>
      <c r="G321" s="643"/>
      <c r="H321" s="643"/>
      <c r="I321" s="643"/>
      <c r="J321" s="643"/>
      <c r="K321" s="643"/>
      <c r="L321" s="643"/>
      <c r="M321" s="643"/>
      <c r="N321" s="643"/>
      <c r="O321" s="643"/>
      <c r="P321" s="643"/>
      <c r="Q321" s="643"/>
      <c r="R321" s="643"/>
      <c r="S321" s="643"/>
      <c r="T321" s="643"/>
      <c r="U321" s="643"/>
      <c r="V321" s="643"/>
      <c r="W321" s="643"/>
      <c r="X321" s="643"/>
      <c r="Y321" s="643"/>
      <c r="Z321" s="643"/>
      <c r="AA321" s="643"/>
      <c r="AB321" s="643"/>
      <c r="AC321" s="643"/>
      <c r="AD321" s="654"/>
      <c r="AE321" s="552"/>
      <c r="AF321" s="552"/>
      <c r="AG321" s="540"/>
      <c r="AH321" s="552"/>
      <c r="AI321" s="552"/>
      <c r="AJ321" s="551"/>
      <c r="AK321" s="551"/>
      <c r="AL321" s="551"/>
      <c r="AM321" s="551"/>
      <c r="AN321" s="73"/>
      <c r="AO321" s="14"/>
      <c r="AP321" s="30"/>
    </row>
    <row r="322" spans="1:42" hidden="1">
      <c r="A322" s="551"/>
      <c r="B322" s="552"/>
      <c r="C322" s="731"/>
      <c r="D322" s="731"/>
      <c r="E322" s="548"/>
      <c r="F322" s="655" t="s">
        <v>1731</v>
      </c>
      <c r="G322" s="552"/>
      <c r="H322" s="552"/>
      <c r="I322" s="552"/>
      <c r="J322" s="552"/>
      <c r="K322" s="552"/>
      <c r="L322" s="552"/>
      <c r="M322" s="552"/>
      <c r="N322" s="552"/>
      <c r="O322" s="552"/>
      <c r="P322" s="552"/>
      <c r="Q322" s="552"/>
      <c r="R322" s="552"/>
      <c r="S322" s="552"/>
      <c r="T322" s="552"/>
      <c r="U322" s="552"/>
      <c r="V322" s="552"/>
      <c r="W322" s="552"/>
      <c r="X322" s="552"/>
      <c r="Y322" s="552"/>
      <c r="Z322" s="552"/>
      <c r="AA322" s="552"/>
      <c r="AB322" s="552"/>
      <c r="AC322" s="552"/>
      <c r="AD322" s="656"/>
      <c r="AE322" s="552"/>
      <c r="AF322" s="552"/>
      <c r="AG322" s="540"/>
      <c r="AH322" s="552"/>
      <c r="AI322" s="552"/>
      <c r="AJ322" s="551"/>
      <c r="AK322" s="551"/>
      <c r="AL322" s="551"/>
      <c r="AM322" s="551"/>
      <c r="AN322" s="73"/>
      <c r="AO322" s="14"/>
      <c r="AP322" s="30"/>
    </row>
    <row r="323" spans="1:42" hidden="1">
      <c r="A323" s="551"/>
      <c r="B323" s="552"/>
      <c r="C323" s="731"/>
      <c r="D323" s="731"/>
      <c r="E323" s="548"/>
      <c r="F323" s="655"/>
      <c r="G323" s="552"/>
      <c r="H323" s="552"/>
      <c r="I323" s="552"/>
      <c r="J323" s="552"/>
      <c r="K323" s="552"/>
      <c r="L323" s="552"/>
      <c r="M323" s="552"/>
      <c r="N323" s="552"/>
      <c r="O323" s="552"/>
      <c r="P323" s="552"/>
      <c r="Q323" s="552"/>
      <c r="R323" s="552"/>
      <c r="S323" s="552"/>
      <c r="T323" s="552"/>
      <c r="U323" s="552"/>
      <c r="V323" s="552"/>
      <c r="W323" s="552"/>
      <c r="X323" s="552"/>
      <c r="Y323" s="552"/>
      <c r="Z323" s="552"/>
      <c r="AA323" s="552"/>
      <c r="AB323" s="552"/>
      <c r="AC323" s="552"/>
      <c r="AD323" s="656"/>
      <c r="AE323" s="552"/>
      <c r="AF323" s="552"/>
      <c r="AG323" s="540"/>
      <c r="AH323" s="552"/>
      <c r="AI323" s="552"/>
      <c r="AJ323" s="551"/>
      <c r="AK323" s="551"/>
      <c r="AL323" s="551"/>
      <c r="AM323" s="551"/>
      <c r="AN323" s="73"/>
      <c r="AO323" s="14"/>
      <c r="AP323" s="558" t="s">
        <v>1184</v>
      </c>
    </row>
    <row r="324" spans="1:42" ht="12.75" hidden="1" customHeight="1">
      <c r="A324" s="551"/>
      <c r="B324" s="552"/>
      <c r="C324" s="731"/>
      <c r="D324" s="731"/>
      <c r="E324" s="548"/>
      <c r="F324" s="657"/>
      <c r="G324" s="576" t="s">
        <v>687</v>
      </c>
      <c r="H324" s="576"/>
      <c r="I324" s="2562" t="s">
        <v>1184</v>
      </c>
      <c r="J324" s="2562"/>
      <c r="K324" s="2562"/>
      <c r="L324" s="2562"/>
      <c r="M324" s="2562"/>
      <c r="N324" s="2562"/>
      <c r="O324" s="2562"/>
      <c r="P324" s="2562"/>
      <c r="Q324" s="2562"/>
      <c r="R324" s="2562"/>
      <c r="S324" s="2562"/>
      <c r="T324" s="2562"/>
      <c r="U324" s="2562"/>
      <c r="V324" s="2562"/>
      <c r="W324" s="2562"/>
      <c r="X324" s="2562"/>
      <c r="Y324" s="2562"/>
      <c r="Z324" s="2562"/>
      <c r="AA324" s="2562"/>
      <c r="AB324" s="2562"/>
      <c r="AC324" s="2562"/>
      <c r="AD324" s="2563"/>
      <c r="AE324" s="552"/>
      <c r="AF324" s="552"/>
      <c r="AG324" s="540"/>
      <c r="AH324" s="552"/>
      <c r="AI324" s="552"/>
      <c r="AJ324" s="551"/>
      <c r="AK324" s="551"/>
      <c r="AL324" s="551"/>
      <c r="AM324" s="551"/>
      <c r="AN324" s="73"/>
      <c r="AO324" s="14"/>
      <c r="AP324" s="558" t="s">
        <v>1637</v>
      </c>
    </row>
    <row r="325" spans="1:42" hidden="1">
      <c r="A325" s="551"/>
      <c r="B325" s="552"/>
      <c r="C325" s="731"/>
      <c r="D325" s="731"/>
      <c r="E325" s="548"/>
      <c r="F325" s="657"/>
      <c r="G325" s="576"/>
      <c r="H325" s="576"/>
      <c r="I325" s="2562"/>
      <c r="J325" s="2562"/>
      <c r="K325" s="2562"/>
      <c r="L325" s="2562"/>
      <c r="M325" s="2562"/>
      <c r="N325" s="2562"/>
      <c r="O325" s="2562"/>
      <c r="P325" s="2562"/>
      <c r="Q325" s="2562"/>
      <c r="R325" s="2562"/>
      <c r="S325" s="2562"/>
      <c r="T325" s="2562"/>
      <c r="U325" s="2562"/>
      <c r="V325" s="2562"/>
      <c r="W325" s="2562"/>
      <c r="X325" s="2562"/>
      <c r="Y325" s="2562"/>
      <c r="Z325" s="2562"/>
      <c r="AA325" s="2562"/>
      <c r="AB325" s="2562"/>
      <c r="AC325" s="2562"/>
      <c r="AD325" s="2563"/>
      <c r="AE325" s="552"/>
      <c r="AF325" s="552"/>
      <c r="AG325" s="540"/>
      <c r="AH325" s="552"/>
      <c r="AI325" s="552"/>
      <c r="AJ325" s="551"/>
      <c r="AK325" s="551"/>
      <c r="AL325" s="551"/>
      <c r="AM325" s="551"/>
      <c r="AN325" s="73"/>
      <c r="AO325" s="14"/>
      <c r="AP325" s="558" t="s">
        <v>1733</v>
      </c>
    </row>
    <row r="326" spans="1:42" hidden="1">
      <c r="A326" s="551"/>
      <c r="B326" s="552"/>
      <c r="C326" s="652"/>
      <c r="D326" s="652"/>
      <c r="E326" s="548"/>
      <c r="F326" s="657"/>
      <c r="G326" s="576"/>
      <c r="H326" s="576"/>
      <c r="I326" s="2562"/>
      <c r="J326" s="2562"/>
      <c r="K326" s="2562"/>
      <c r="L326" s="2562"/>
      <c r="M326" s="2562"/>
      <c r="N326" s="2562"/>
      <c r="O326" s="2562"/>
      <c r="P326" s="2562"/>
      <c r="Q326" s="2562"/>
      <c r="R326" s="2562"/>
      <c r="S326" s="2562"/>
      <c r="T326" s="2562"/>
      <c r="U326" s="2562"/>
      <c r="V326" s="2562"/>
      <c r="W326" s="2562"/>
      <c r="X326" s="2562"/>
      <c r="Y326" s="2562"/>
      <c r="Z326" s="2562"/>
      <c r="AA326" s="2562"/>
      <c r="AB326" s="2562"/>
      <c r="AC326" s="2562"/>
      <c r="AD326" s="2563"/>
      <c r="AE326" s="552"/>
      <c r="AF326" s="552"/>
      <c r="AG326" s="540"/>
      <c r="AH326" s="552"/>
      <c r="AI326" s="552"/>
      <c r="AJ326" s="551"/>
      <c r="AK326" s="551"/>
      <c r="AL326" s="551"/>
      <c r="AM326" s="551"/>
      <c r="AN326" s="73"/>
      <c r="AO326" s="14"/>
      <c r="AP326" s="558" t="s">
        <v>1735</v>
      </c>
    </row>
    <row r="327" spans="1:42" hidden="1">
      <c r="A327" s="551"/>
      <c r="B327" s="552"/>
      <c r="C327" s="652"/>
      <c r="D327" s="652"/>
      <c r="E327" s="548"/>
      <c r="F327" s="655"/>
      <c r="G327" s="552"/>
      <c r="H327" s="552"/>
      <c r="I327" s="2564"/>
      <c r="J327" s="2564"/>
      <c r="K327" s="2564"/>
      <c r="L327" s="2564"/>
      <c r="M327" s="2564"/>
      <c r="N327" s="2564"/>
      <c r="O327" s="2564"/>
      <c r="P327" s="2564"/>
      <c r="Q327" s="2564"/>
      <c r="R327" s="2564"/>
      <c r="S327" s="2564"/>
      <c r="T327" s="2564"/>
      <c r="U327" s="2564"/>
      <c r="V327" s="2564"/>
      <c r="W327" s="2564"/>
      <c r="X327" s="2564"/>
      <c r="Y327" s="2564"/>
      <c r="Z327" s="2564"/>
      <c r="AA327" s="2564"/>
      <c r="AB327" s="2564"/>
      <c r="AC327" s="2564"/>
      <c r="AD327" s="2565"/>
      <c r="AE327" s="552"/>
      <c r="AF327" s="552"/>
      <c r="AG327" s="540"/>
      <c r="AH327" s="552"/>
      <c r="AI327" s="552"/>
      <c r="AJ327" s="551"/>
      <c r="AK327" s="551"/>
      <c r="AL327" s="551"/>
      <c r="AM327" s="551"/>
      <c r="AN327" s="73"/>
      <c r="AO327" s="14"/>
      <c r="AP327" s="558" t="s">
        <v>1734</v>
      </c>
    </row>
    <row r="328" spans="1:42" hidden="1">
      <c r="A328" s="551"/>
      <c r="B328" s="552"/>
      <c r="C328" s="652"/>
      <c r="D328" s="652"/>
      <c r="E328" s="548"/>
      <c r="F328" s="655"/>
      <c r="G328" s="552"/>
      <c r="H328" s="552"/>
      <c r="I328" s="552"/>
      <c r="J328" s="552"/>
      <c r="K328" s="552"/>
      <c r="L328" s="552"/>
      <c r="M328" s="552"/>
      <c r="N328" s="552"/>
      <c r="O328" s="552"/>
      <c r="P328" s="552"/>
      <c r="Q328" s="552"/>
      <c r="R328" s="552"/>
      <c r="S328" s="552"/>
      <c r="T328" s="552"/>
      <c r="U328" s="552"/>
      <c r="V328" s="552"/>
      <c r="W328" s="552"/>
      <c r="X328" s="552"/>
      <c r="Y328" s="552"/>
      <c r="Z328" s="552"/>
      <c r="AA328" s="552"/>
      <c r="AB328" s="552"/>
      <c r="AC328" s="552"/>
      <c r="AD328" s="656"/>
      <c r="AE328" s="552"/>
      <c r="AF328" s="552"/>
      <c r="AG328" s="540"/>
      <c r="AH328" s="552"/>
      <c r="AI328" s="552"/>
      <c r="AJ328" s="551"/>
      <c r="AK328" s="551"/>
      <c r="AL328" s="551"/>
      <c r="AM328" s="551"/>
      <c r="AN328" s="73"/>
      <c r="AO328" s="14"/>
      <c r="AP328" s="30"/>
    </row>
    <row r="329" spans="1:42" hidden="1">
      <c r="A329" s="551"/>
      <c r="B329" s="552"/>
      <c r="C329" s="652"/>
      <c r="D329" s="652"/>
      <c r="E329" s="548"/>
      <c r="F329" s="655"/>
      <c r="G329" s="552" t="s">
        <v>509</v>
      </c>
      <c r="H329" s="552"/>
      <c r="I329" s="2562" t="s">
        <v>1184</v>
      </c>
      <c r="J329" s="2562"/>
      <c r="K329" s="2562"/>
      <c r="L329" s="2562"/>
      <c r="M329" s="2562"/>
      <c r="N329" s="2562"/>
      <c r="O329" s="2562"/>
      <c r="P329" s="2562"/>
      <c r="Q329" s="2562"/>
      <c r="R329" s="2562"/>
      <c r="S329" s="2562"/>
      <c r="T329" s="2562"/>
      <c r="U329" s="2562"/>
      <c r="V329" s="2562"/>
      <c r="W329" s="2562"/>
      <c r="X329" s="2562"/>
      <c r="Y329" s="2562"/>
      <c r="Z329" s="2562"/>
      <c r="AA329" s="2562"/>
      <c r="AB329" s="2562"/>
      <c r="AC329" s="2562"/>
      <c r="AD329" s="2563"/>
      <c r="AE329" s="552"/>
      <c r="AF329" s="552"/>
      <c r="AG329" s="540"/>
      <c r="AH329" s="552"/>
      <c r="AI329" s="552"/>
      <c r="AJ329" s="551"/>
      <c r="AK329" s="551"/>
      <c r="AL329" s="551"/>
      <c r="AM329" s="551"/>
      <c r="AN329" s="73"/>
      <c r="AO329" s="14"/>
    </row>
    <row r="330" spans="1:42" hidden="1">
      <c r="A330" s="551"/>
      <c r="B330" s="552"/>
      <c r="C330" s="652"/>
      <c r="D330" s="652"/>
      <c r="E330" s="548"/>
      <c r="F330" s="655"/>
      <c r="G330" s="552"/>
      <c r="H330" s="552"/>
      <c r="I330" s="2562"/>
      <c r="J330" s="2562"/>
      <c r="K330" s="2562"/>
      <c r="L330" s="2562"/>
      <c r="M330" s="2562"/>
      <c r="N330" s="2562"/>
      <c r="O330" s="2562"/>
      <c r="P330" s="2562"/>
      <c r="Q330" s="2562"/>
      <c r="R330" s="2562"/>
      <c r="S330" s="2562"/>
      <c r="T330" s="2562"/>
      <c r="U330" s="2562"/>
      <c r="V330" s="2562"/>
      <c r="W330" s="2562"/>
      <c r="X330" s="2562"/>
      <c r="Y330" s="2562"/>
      <c r="Z330" s="2562"/>
      <c r="AA330" s="2562"/>
      <c r="AB330" s="2562"/>
      <c r="AC330" s="2562"/>
      <c r="AD330" s="2563"/>
      <c r="AE330" s="552"/>
      <c r="AF330" s="552"/>
      <c r="AG330" s="540"/>
      <c r="AH330" s="552"/>
      <c r="AI330" s="552"/>
      <c r="AJ330" s="551"/>
      <c r="AK330" s="551"/>
      <c r="AL330" s="551"/>
      <c r="AM330" s="551"/>
      <c r="AN330" s="73"/>
      <c r="AO330" s="14"/>
      <c r="AP330" s="558" t="s">
        <v>1184</v>
      </c>
    </row>
    <row r="331" spans="1:42" hidden="1">
      <c r="A331" s="551"/>
      <c r="B331" s="552"/>
      <c r="C331" s="652"/>
      <c r="D331" s="652"/>
      <c r="E331" s="548"/>
      <c r="F331" s="658"/>
      <c r="G331" s="659"/>
      <c r="H331" s="659"/>
      <c r="I331" s="2564"/>
      <c r="J331" s="2564"/>
      <c r="K331" s="2564"/>
      <c r="L331" s="2564"/>
      <c r="M331" s="2564"/>
      <c r="N331" s="2564"/>
      <c r="O331" s="2564"/>
      <c r="P331" s="2564"/>
      <c r="Q331" s="2564"/>
      <c r="R331" s="2564"/>
      <c r="S331" s="2564"/>
      <c r="T331" s="2564"/>
      <c r="U331" s="2564"/>
      <c r="V331" s="2564"/>
      <c r="W331" s="2564"/>
      <c r="X331" s="2564"/>
      <c r="Y331" s="2564"/>
      <c r="Z331" s="2564"/>
      <c r="AA331" s="2564"/>
      <c r="AB331" s="2564"/>
      <c r="AC331" s="2564"/>
      <c r="AD331" s="2565"/>
      <c r="AE331" s="552"/>
      <c r="AF331" s="552"/>
      <c r="AG331" s="540"/>
      <c r="AH331" s="552"/>
      <c r="AI331" s="552"/>
      <c r="AJ331" s="551"/>
      <c r="AK331" s="551"/>
      <c r="AL331" s="551"/>
      <c r="AM331" s="551"/>
      <c r="AN331" s="73"/>
      <c r="AO331" s="14"/>
      <c r="AP331" s="558" t="s">
        <v>1391</v>
      </c>
    </row>
    <row r="332" spans="1:42" hidden="1">
      <c r="A332" s="551"/>
      <c r="B332" s="552"/>
      <c r="C332" s="551"/>
      <c r="D332" s="552"/>
      <c r="E332" s="551"/>
      <c r="F332" s="617"/>
      <c r="G332" s="552"/>
      <c r="H332" s="552"/>
      <c r="I332" s="552"/>
      <c r="J332" s="552"/>
      <c r="K332" s="552"/>
      <c r="L332" s="552"/>
      <c r="M332" s="552"/>
      <c r="N332" s="552"/>
      <c r="O332" s="552"/>
      <c r="P332" s="552"/>
      <c r="Q332" s="552"/>
      <c r="R332" s="552"/>
      <c r="S332" s="552"/>
      <c r="T332" s="552"/>
      <c r="U332" s="552"/>
      <c r="V332" s="552"/>
      <c r="W332" s="552"/>
      <c r="X332" s="552"/>
      <c r="Y332" s="552"/>
      <c r="Z332" s="552"/>
      <c r="AA332" s="552"/>
      <c r="AB332" s="552"/>
      <c r="AC332" s="552"/>
      <c r="AD332" s="552"/>
      <c r="AE332" s="552"/>
      <c r="AF332" s="552"/>
      <c r="AG332" s="552"/>
      <c r="AH332" s="552"/>
      <c r="AI332" s="552"/>
      <c r="AJ332" s="551"/>
      <c r="AK332" s="551"/>
      <c r="AL332" s="551"/>
      <c r="AM332" s="551"/>
      <c r="AN332" s="73"/>
      <c r="AO332" s="14"/>
      <c r="AP332" s="558" t="s">
        <v>1638</v>
      </c>
    </row>
    <row r="333" spans="1:42" ht="12.75" hidden="1" customHeight="1">
      <c r="A333" s="1651" t="s">
        <v>1392</v>
      </c>
      <c r="B333" s="1651"/>
      <c r="C333" s="2451" t="s">
        <v>591</v>
      </c>
      <c r="D333" s="2451"/>
      <c r="E333" s="548"/>
      <c r="F333" s="2550" t="s">
        <v>2029</v>
      </c>
      <c r="G333" s="2551"/>
      <c r="H333" s="2551"/>
      <c r="I333" s="2551"/>
      <c r="J333" s="2551"/>
      <c r="K333" s="2551"/>
      <c r="L333" s="2551"/>
      <c r="M333" s="2551"/>
      <c r="N333" s="2551"/>
      <c r="O333" s="2551"/>
      <c r="P333" s="2551"/>
      <c r="Q333" s="2551"/>
      <c r="R333" s="2551"/>
      <c r="S333" s="2551"/>
      <c r="T333" s="2551"/>
      <c r="U333" s="2551"/>
      <c r="V333" s="2551"/>
      <c r="W333" s="2551"/>
      <c r="X333" s="2551"/>
      <c r="Y333" s="2551"/>
      <c r="Z333" s="2551"/>
      <c r="AA333" s="2551"/>
      <c r="AB333" s="2551"/>
      <c r="AC333" s="2551"/>
      <c r="AD333" s="2552"/>
      <c r="AE333" s="552"/>
      <c r="AF333" s="552"/>
      <c r="AG333" s="540" t="s">
        <v>1388</v>
      </c>
      <c r="AH333" s="552"/>
      <c r="AI333" s="552"/>
      <c r="AJ333" s="551"/>
      <c r="AK333" s="551"/>
      <c r="AL333" s="551"/>
      <c r="AM333" s="551"/>
      <c r="AN333" s="73"/>
      <c r="AO333" s="14"/>
    </row>
    <row r="334" spans="1:42" ht="15" hidden="1" customHeight="1">
      <c r="A334" s="551"/>
      <c r="B334" s="552"/>
      <c r="C334" s="552"/>
      <c r="D334" s="552"/>
      <c r="E334" s="552"/>
      <c r="F334" s="2553"/>
      <c r="G334" s="2554"/>
      <c r="H334" s="2554"/>
      <c r="I334" s="2554"/>
      <c r="J334" s="2554"/>
      <c r="K334" s="2554"/>
      <c r="L334" s="2554"/>
      <c r="M334" s="2554"/>
      <c r="N334" s="2554"/>
      <c r="O334" s="2554"/>
      <c r="P334" s="2554"/>
      <c r="Q334" s="2554"/>
      <c r="R334" s="2554"/>
      <c r="S334" s="2554"/>
      <c r="T334" s="2554"/>
      <c r="U334" s="2554"/>
      <c r="V334" s="2554"/>
      <c r="W334" s="2554"/>
      <c r="X334" s="2554"/>
      <c r="Y334" s="2554"/>
      <c r="Z334" s="2554"/>
      <c r="AA334" s="2554"/>
      <c r="AB334" s="2554"/>
      <c r="AC334" s="2554"/>
      <c r="AD334" s="2555"/>
      <c r="AE334" s="552"/>
      <c r="AF334" s="552"/>
      <c r="AG334" s="552"/>
      <c r="AH334" s="552"/>
      <c r="AI334" s="552"/>
      <c r="AJ334" s="551"/>
      <c r="AK334" s="551"/>
      <c r="AL334" s="551"/>
      <c r="AM334" s="551"/>
      <c r="AN334" s="73"/>
      <c r="AO334" s="14"/>
    </row>
    <row r="335" spans="1:42" ht="15" hidden="1" customHeight="1">
      <c r="A335" s="551"/>
      <c r="B335" s="552"/>
      <c r="C335" s="552"/>
      <c r="D335" s="552"/>
      <c r="E335" s="552"/>
      <c r="F335" s="2553"/>
      <c r="G335" s="2554"/>
      <c r="H335" s="2554"/>
      <c r="I335" s="2554"/>
      <c r="J335" s="2554"/>
      <c r="K335" s="2554"/>
      <c r="L335" s="2554"/>
      <c r="M335" s="2554"/>
      <c r="N335" s="2554"/>
      <c r="O335" s="2554"/>
      <c r="P335" s="2554"/>
      <c r="Q335" s="2554"/>
      <c r="R335" s="2554"/>
      <c r="S335" s="2554"/>
      <c r="T335" s="2554"/>
      <c r="U335" s="2554"/>
      <c r="V335" s="2554"/>
      <c r="W335" s="2554"/>
      <c r="X335" s="2554"/>
      <c r="Y335" s="2554"/>
      <c r="Z335" s="2554"/>
      <c r="AA335" s="2554"/>
      <c r="AB335" s="2554"/>
      <c r="AC335" s="2554"/>
      <c r="AD335" s="2555"/>
      <c r="AE335" s="552"/>
      <c r="AF335" s="552"/>
      <c r="AG335" s="552"/>
      <c r="AH335" s="552"/>
      <c r="AI335" s="552"/>
      <c r="AJ335" s="551"/>
      <c r="AK335" s="551"/>
      <c r="AL335" s="551"/>
      <c r="AM335" s="660"/>
      <c r="AN335" s="14"/>
      <c r="AO335" s="14"/>
    </row>
    <row r="336" spans="1:42" hidden="1">
      <c r="A336" s="551"/>
      <c r="B336" s="552"/>
      <c r="C336" s="551"/>
      <c r="D336" s="552"/>
      <c r="E336" s="551"/>
      <c r="F336" s="661" t="s">
        <v>1393</v>
      </c>
      <c r="G336" s="662"/>
      <c r="H336" s="662"/>
      <c r="I336" s="662"/>
      <c r="J336" s="662"/>
      <c r="K336" s="662"/>
      <c r="L336" s="662"/>
      <c r="M336" s="662"/>
      <c r="N336" s="662"/>
      <c r="O336" s="662"/>
      <c r="P336" s="662"/>
      <c r="Q336" s="662"/>
      <c r="R336" s="662"/>
      <c r="S336" s="662"/>
      <c r="T336" s="662"/>
      <c r="U336" s="662"/>
      <c r="V336" s="662"/>
      <c r="W336" s="662"/>
      <c r="X336" s="662"/>
      <c r="Y336" s="662"/>
      <c r="Z336" s="662"/>
      <c r="AA336" s="662"/>
      <c r="AB336" s="662"/>
      <c r="AC336" s="662"/>
      <c r="AD336" s="663"/>
      <c r="AE336" s="552"/>
      <c r="AF336" s="552"/>
      <c r="AG336" s="552"/>
      <c r="AH336" s="552"/>
      <c r="AI336" s="552"/>
      <c r="AJ336" s="551"/>
      <c r="AK336" s="551"/>
      <c r="AL336" s="551"/>
      <c r="AM336" s="660"/>
      <c r="AN336" s="30"/>
    </row>
    <row r="337" spans="1:44" hidden="1">
      <c r="A337" s="551"/>
      <c r="B337" s="552"/>
      <c r="C337" s="551"/>
      <c r="D337" s="552"/>
      <c r="E337" s="551"/>
      <c r="F337" s="664"/>
      <c r="G337" s="664"/>
      <c r="H337" s="664"/>
      <c r="I337" s="664"/>
      <c r="J337" s="664"/>
      <c r="K337" s="664"/>
      <c r="L337" s="664"/>
      <c r="M337" s="664"/>
      <c r="N337" s="664"/>
      <c r="O337" s="664"/>
      <c r="P337" s="664"/>
      <c r="Q337" s="664"/>
      <c r="R337" s="664"/>
      <c r="S337" s="664"/>
      <c r="T337" s="664"/>
      <c r="U337" s="664"/>
      <c r="V337" s="664"/>
      <c r="W337" s="664"/>
      <c r="X337" s="664"/>
      <c r="Y337" s="664"/>
      <c r="Z337" s="664"/>
      <c r="AA337" s="664"/>
      <c r="AB337" s="664"/>
      <c r="AC337" s="664"/>
      <c r="AD337" s="664"/>
      <c r="AE337" s="552"/>
      <c r="AF337" s="552"/>
      <c r="AG337" s="552"/>
      <c r="AH337" s="552"/>
      <c r="AI337" s="552"/>
      <c r="AJ337" s="551"/>
      <c r="AK337" s="551"/>
      <c r="AL337" s="551"/>
      <c r="AM337" s="660"/>
      <c r="AN337" s="30"/>
    </row>
    <row r="338" spans="1:44">
      <c r="A338" s="607"/>
      <c r="B338" s="665"/>
      <c r="C338" s="665"/>
      <c r="D338" s="665"/>
      <c r="E338" s="665"/>
      <c r="F338" s="665"/>
      <c r="G338" s="665"/>
      <c r="H338" s="665"/>
      <c r="I338" s="665"/>
      <c r="J338" s="665"/>
      <c r="K338" s="665"/>
      <c r="L338" s="665"/>
      <c r="M338" s="665"/>
      <c r="N338" s="665"/>
      <c r="O338" s="665"/>
      <c r="P338" s="665"/>
      <c r="Q338" s="665"/>
      <c r="R338" s="665"/>
      <c r="S338" s="665"/>
      <c r="T338" s="665"/>
      <c r="U338" s="665"/>
      <c r="V338" s="665"/>
      <c r="W338" s="665"/>
      <c r="X338" s="665"/>
      <c r="Y338" s="665"/>
      <c r="Z338" s="665"/>
      <c r="AA338" s="665"/>
      <c r="AB338" s="665"/>
      <c r="AC338" s="666"/>
      <c r="AD338" s="665"/>
      <c r="AE338" s="565"/>
      <c r="AF338" s="565"/>
      <c r="AG338" s="565"/>
      <c r="AH338" s="565"/>
      <c r="AI338" s="566"/>
      <c r="AJ338" s="566" t="s">
        <v>1452</v>
      </c>
      <c r="AK338" s="2437">
        <f>IF(NOT(OR(Application!M355="Yes",Application!M356="Yes")),0,AP295)</f>
        <v>0</v>
      </c>
      <c r="AL338" s="2438"/>
      <c r="AM338" s="2439"/>
      <c r="AN338" s="30"/>
    </row>
    <row r="339" spans="1:44" s="551" customFormat="1" ht="12.75" customHeight="1" thickBot="1">
      <c r="A339" s="622"/>
      <c r="B339" s="622"/>
      <c r="C339" s="622"/>
      <c r="D339" s="622"/>
      <c r="E339" s="622"/>
      <c r="F339" s="622"/>
      <c r="G339" s="622"/>
      <c r="H339" s="622"/>
      <c r="I339" s="622"/>
      <c r="J339" s="622"/>
      <c r="K339" s="622"/>
      <c r="L339" s="622"/>
      <c r="M339" s="622"/>
      <c r="N339" s="622"/>
      <c r="O339" s="622"/>
      <c r="P339" s="622"/>
      <c r="Q339" s="622"/>
      <c r="R339" s="622"/>
      <c r="S339" s="622"/>
      <c r="T339" s="622"/>
      <c r="U339" s="622"/>
      <c r="V339" s="622"/>
      <c r="W339" s="622"/>
      <c r="X339" s="622"/>
      <c r="Y339" s="622"/>
      <c r="Z339" s="622"/>
      <c r="AA339" s="622"/>
      <c r="AB339" s="622"/>
      <c r="AC339" s="622"/>
      <c r="AD339" s="622"/>
      <c r="AE339" s="622"/>
      <c r="AF339" s="622"/>
      <c r="AG339" s="622"/>
      <c r="AH339" s="622"/>
      <c r="AI339" s="622"/>
      <c r="AJ339" s="622"/>
      <c r="AK339" s="622"/>
      <c r="AL339" s="622"/>
      <c r="AM339" s="622"/>
      <c r="AN339" s="598"/>
    </row>
    <row r="340" spans="1:44" s="551"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8"/>
    </row>
    <row r="341" spans="1:44" s="551" customFormat="1" ht="12.75" customHeight="1">
      <c r="A341" s="540" t="s">
        <v>1453</v>
      </c>
      <c r="B341" s="540" t="s">
        <v>845</v>
      </c>
      <c r="C341" s="537"/>
      <c r="AC341" s="540"/>
      <c r="AE341" s="2470" t="s">
        <v>1314</v>
      </c>
      <c r="AF341" s="2470"/>
      <c r="AG341" s="2470"/>
      <c r="AH341" s="2470"/>
      <c r="AI341" s="2470"/>
      <c r="AJ341" s="2470"/>
      <c r="AK341" s="2470"/>
      <c r="AL341" s="540"/>
      <c r="AM341" s="540"/>
      <c r="AN341" s="593"/>
    </row>
    <row r="342" spans="1:44" s="551" customFormat="1" ht="12.75" customHeight="1">
      <c r="A342" s="540"/>
      <c r="B342" s="540"/>
      <c r="C342" s="537"/>
      <c r="AC342" s="540"/>
      <c r="AE342" s="544"/>
      <c r="AF342" s="544"/>
      <c r="AG342" s="544"/>
      <c r="AH342" s="544"/>
      <c r="AI342" s="544"/>
      <c r="AJ342" s="544"/>
      <c r="AK342" s="544"/>
      <c r="AL342" s="540"/>
      <c r="AM342" s="540"/>
      <c r="AN342" s="593"/>
    </row>
    <row r="343" spans="1:44" s="551" customFormat="1" ht="12.75" customHeight="1">
      <c r="A343" s="604"/>
      <c r="B343" s="612"/>
      <c r="C343" s="2446" t="s">
        <v>1454</v>
      </c>
      <c r="D343" s="2446"/>
      <c r="E343" s="2446"/>
      <c r="F343" s="2446"/>
      <c r="G343" s="2446"/>
      <c r="H343" s="2446"/>
      <c r="I343" s="2446"/>
      <c r="J343" s="2446"/>
      <c r="K343" s="2446"/>
      <c r="L343" s="2446"/>
      <c r="M343" s="2446"/>
      <c r="N343" s="2446"/>
      <c r="O343" s="2446"/>
      <c r="P343" s="2446"/>
      <c r="Q343" s="2446"/>
      <c r="R343" s="2446"/>
      <c r="S343" s="2446"/>
      <c r="T343" s="2446"/>
      <c r="U343" s="2446"/>
      <c r="V343" s="2446"/>
      <c r="W343" s="2446"/>
      <c r="X343" s="2446"/>
      <c r="Y343" s="2446"/>
      <c r="Z343" s="2446"/>
      <c r="AA343" s="2446"/>
      <c r="AB343" s="2446"/>
      <c r="AC343" s="2446"/>
      <c r="AD343" s="2446"/>
      <c r="AE343" s="2446"/>
      <c r="AF343" s="2446"/>
      <c r="AG343" s="2446"/>
      <c r="AH343" s="2446"/>
      <c r="AI343" s="2446"/>
      <c r="AJ343" s="2446"/>
      <c r="AK343" s="604"/>
      <c r="AL343" s="604"/>
      <c r="AM343" s="604"/>
      <c r="AN343" s="598"/>
    </row>
    <row r="344" spans="1:44" s="551" customFormat="1" ht="12.75" customHeight="1">
      <c r="A344" s="604"/>
      <c r="B344" s="612"/>
      <c r="C344" s="2446"/>
      <c r="D344" s="2446"/>
      <c r="E344" s="2446"/>
      <c r="F344" s="2446"/>
      <c r="G344" s="2446"/>
      <c r="H344" s="2446"/>
      <c r="I344" s="2446"/>
      <c r="J344" s="2446"/>
      <c r="K344" s="2446"/>
      <c r="L344" s="2446"/>
      <c r="M344" s="2446"/>
      <c r="N344" s="2446"/>
      <c r="O344" s="2446"/>
      <c r="P344" s="2446"/>
      <c r="Q344" s="2446"/>
      <c r="R344" s="2446"/>
      <c r="S344" s="2446"/>
      <c r="T344" s="2446"/>
      <c r="U344" s="2446"/>
      <c r="V344" s="2446"/>
      <c r="W344" s="2446"/>
      <c r="X344" s="2446"/>
      <c r="Y344" s="2446"/>
      <c r="Z344" s="2446"/>
      <c r="AA344" s="2446"/>
      <c r="AB344" s="2446"/>
      <c r="AC344" s="2446"/>
      <c r="AD344" s="2446"/>
      <c r="AE344" s="2446"/>
      <c r="AF344" s="2446"/>
      <c r="AG344" s="2446"/>
      <c r="AH344" s="2446"/>
      <c r="AI344" s="2446"/>
      <c r="AJ344" s="2446"/>
      <c r="AK344" s="604"/>
      <c r="AL344" s="604"/>
      <c r="AM344" s="604"/>
      <c r="AN344" s="598"/>
    </row>
    <row r="345" spans="1:44" s="551" customFormat="1" ht="12.75" customHeight="1">
      <c r="A345" s="604"/>
      <c r="B345" s="612"/>
      <c r="C345" s="2446"/>
      <c r="D345" s="2446"/>
      <c r="E345" s="2446"/>
      <c r="F345" s="2446"/>
      <c r="G345" s="2446"/>
      <c r="H345" s="2446"/>
      <c r="I345" s="2446"/>
      <c r="J345" s="2446"/>
      <c r="K345" s="2446"/>
      <c r="L345" s="2446"/>
      <c r="M345" s="2446"/>
      <c r="N345" s="2446"/>
      <c r="O345" s="2446"/>
      <c r="P345" s="2446"/>
      <c r="Q345" s="2446"/>
      <c r="R345" s="2446"/>
      <c r="S345" s="2446"/>
      <c r="T345" s="2446"/>
      <c r="U345" s="2446"/>
      <c r="V345" s="2446"/>
      <c r="W345" s="2446"/>
      <c r="X345" s="2446"/>
      <c r="Y345" s="2446"/>
      <c r="Z345" s="2446"/>
      <c r="AA345" s="2446"/>
      <c r="AB345" s="2446"/>
      <c r="AC345" s="2446"/>
      <c r="AD345" s="2446"/>
      <c r="AE345" s="2446"/>
      <c r="AF345" s="2446"/>
      <c r="AG345" s="2446"/>
      <c r="AH345" s="2446"/>
      <c r="AI345" s="2446"/>
      <c r="AJ345" s="2446"/>
      <c r="AK345" s="604"/>
      <c r="AL345" s="604"/>
      <c r="AM345" s="604"/>
      <c r="AN345" s="598"/>
      <c r="AQ345" s="571"/>
    </row>
    <row r="346" spans="1:44" s="551" customFormat="1" ht="12.75" customHeight="1">
      <c r="A346" s="604"/>
      <c r="B346" s="612"/>
      <c r="C346" s="2446"/>
      <c r="D346" s="2446"/>
      <c r="E346" s="2446"/>
      <c r="F346" s="2446"/>
      <c r="G346" s="2446"/>
      <c r="H346" s="2446"/>
      <c r="I346" s="2446"/>
      <c r="J346" s="2446"/>
      <c r="K346" s="2446"/>
      <c r="L346" s="2446"/>
      <c r="M346" s="2446"/>
      <c r="N346" s="2446"/>
      <c r="O346" s="2446"/>
      <c r="P346" s="2446"/>
      <c r="Q346" s="2446"/>
      <c r="R346" s="2446"/>
      <c r="S346" s="2446"/>
      <c r="T346" s="2446"/>
      <c r="U346" s="2446"/>
      <c r="V346" s="2446"/>
      <c r="W346" s="2446"/>
      <c r="X346" s="2446"/>
      <c r="Y346" s="2446"/>
      <c r="Z346" s="2446"/>
      <c r="AA346" s="2446"/>
      <c r="AB346" s="2446"/>
      <c r="AC346" s="2446"/>
      <c r="AD346" s="2446"/>
      <c r="AE346" s="2446"/>
      <c r="AF346" s="2446"/>
      <c r="AG346" s="2446"/>
      <c r="AH346" s="2446"/>
      <c r="AI346" s="2446"/>
      <c r="AJ346" s="2446"/>
      <c r="AK346" s="604"/>
      <c r="AL346" s="604"/>
      <c r="AM346" s="604"/>
      <c r="AN346" s="598"/>
      <c r="AQ346" s="571"/>
    </row>
    <row r="347" spans="1:44" s="551" customFormat="1" ht="12.6" customHeight="1">
      <c r="A347" s="604"/>
      <c r="B347" s="612"/>
      <c r="C347" s="2446"/>
      <c r="D347" s="2446"/>
      <c r="E347" s="2446"/>
      <c r="F347" s="2446"/>
      <c r="G347" s="2446"/>
      <c r="H347" s="2446"/>
      <c r="I347" s="2446"/>
      <c r="J347" s="2446"/>
      <c r="K347" s="2446"/>
      <c r="L347" s="2446"/>
      <c r="M347" s="2446"/>
      <c r="N347" s="2446"/>
      <c r="O347" s="2446"/>
      <c r="P347" s="2446"/>
      <c r="Q347" s="2446"/>
      <c r="R347" s="2446"/>
      <c r="S347" s="2446"/>
      <c r="T347" s="2446"/>
      <c r="U347" s="2446"/>
      <c r="V347" s="2446"/>
      <c r="W347" s="2446"/>
      <c r="X347" s="2446"/>
      <c r="Y347" s="2446"/>
      <c r="Z347" s="2446"/>
      <c r="AA347" s="2446"/>
      <c r="AB347" s="2446"/>
      <c r="AC347" s="2446"/>
      <c r="AD347" s="2446"/>
      <c r="AE347" s="2446"/>
      <c r="AF347" s="2446"/>
      <c r="AG347" s="2446"/>
      <c r="AH347" s="2446"/>
      <c r="AI347" s="2446"/>
      <c r="AJ347" s="2446"/>
      <c r="AK347" s="604"/>
      <c r="AL347" s="604"/>
      <c r="AM347" s="604"/>
      <c r="AN347" s="598"/>
      <c r="AQ347" s="571"/>
      <c r="AR347" s="571"/>
    </row>
    <row r="348" spans="1:44" s="551" customFormat="1" ht="45.75" customHeight="1">
      <c r="A348" s="604"/>
      <c r="B348" s="612"/>
      <c r="C348" s="2446" t="s">
        <v>2094</v>
      </c>
      <c r="D348" s="2446"/>
      <c r="E348" s="2446"/>
      <c r="F348" s="2446"/>
      <c r="G348" s="2446"/>
      <c r="H348" s="2446"/>
      <c r="I348" s="2446"/>
      <c r="J348" s="2446"/>
      <c r="K348" s="2446"/>
      <c r="L348" s="2446"/>
      <c r="M348" s="2446"/>
      <c r="N348" s="2446"/>
      <c r="O348" s="2446"/>
      <c r="P348" s="2446"/>
      <c r="Q348" s="2446"/>
      <c r="R348" s="2446"/>
      <c r="S348" s="2446"/>
      <c r="T348" s="2446"/>
      <c r="U348" s="2446"/>
      <c r="V348" s="2446"/>
      <c r="W348" s="2446"/>
      <c r="X348" s="2446"/>
      <c r="Y348" s="2446"/>
      <c r="Z348" s="2446"/>
      <c r="AA348" s="2446"/>
      <c r="AB348" s="2446"/>
      <c r="AC348" s="2446"/>
      <c r="AD348" s="2446"/>
      <c r="AE348" s="2446"/>
      <c r="AF348" s="2446"/>
      <c r="AG348" s="2446"/>
      <c r="AH348" s="2446"/>
      <c r="AI348" s="2446"/>
      <c r="AJ348" s="2446"/>
      <c r="AK348" s="604"/>
      <c r="AL348" s="604"/>
      <c r="AM348" s="604"/>
      <c r="AN348" s="598"/>
      <c r="AQ348" s="571"/>
      <c r="AR348" s="571"/>
    </row>
    <row r="349" spans="1:44" s="551" customFormat="1" ht="12.6" customHeight="1">
      <c r="A349" s="604"/>
      <c r="B349" s="612"/>
      <c r="C349" s="694"/>
      <c r="D349" s="694"/>
      <c r="E349" s="694"/>
      <c r="F349" s="694"/>
      <c r="G349" s="694"/>
      <c r="H349" s="694"/>
      <c r="I349" s="694"/>
      <c r="J349" s="694"/>
      <c r="K349" s="694"/>
      <c r="L349" s="694"/>
      <c r="M349" s="694"/>
      <c r="N349" s="694"/>
      <c r="O349" s="694"/>
      <c r="P349" s="694"/>
      <c r="Q349" s="694"/>
      <c r="R349" s="694"/>
      <c r="S349" s="694"/>
      <c r="T349" s="694"/>
      <c r="U349" s="694"/>
      <c r="V349" s="694"/>
      <c r="W349" s="694"/>
      <c r="X349" s="694"/>
      <c r="Y349" s="694"/>
      <c r="Z349" s="694"/>
      <c r="AA349" s="694"/>
      <c r="AB349" s="694"/>
      <c r="AC349" s="694"/>
      <c r="AD349" s="694"/>
      <c r="AE349" s="694"/>
      <c r="AF349" s="694"/>
      <c r="AG349" s="694"/>
      <c r="AH349" s="694"/>
      <c r="AI349" s="694"/>
      <c r="AJ349" s="694"/>
      <c r="AK349" s="604"/>
      <c r="AL349" s="604"/>
      <c r="AM349" s="604"/>
      <c r="AN349" s="598"/>
      <c r="AQ349" s="571"/>
      <c r="AR349" s="571"/>
    </row>
    <row r="350" spans="1:44" s="551" customFormat="1" ht="12.75" customHeight="1">
      <c r="A350" s="604"/>
      <c r="B350" s="612"/>
      <c r="C350" s="2446" t="s">
        <v>2209</v>
      </c>
      <c r="D350" s="2446"/>
      <c r="E350" s="2446"/>
      <c r="F350" s="2446"/>
      <c r="G350" s="2446"/>
      <c r="H350" s="2446"/>
      <c r="I350" s="2446"/>
      <c r="J350" s="2446"/>
      <c r="K350" s="2446"/>
      <c r="L350" s="2446"/>
      <c r="M350" s="2446"/>
      <c r="N350" s="2446"/>
      <c r="O350" s="2446"/>
      <c r="P350" s="2446"/>
      <c r="Q350" s="2446"/>
      <c r="R350" s="2446"/>
      <c r="S350" s="2446"/>
      <c r="T350" s="2446"/>
      <c r="U350" s="2446"/>
      <c r="V350" s="2446"/>
      <c r="W350" s="2446"/>
      <c r="X350" s="2446"/>
      <c r="Y350" s="2446"/>
      <c r="Z350" s="2446"/>
      <c r="AA350" s="2446"/>
      <c r="AB350" s="2446"/>
      <c r="AC350" s="2446"/>
      <c r="AD350" s="2446"/>
      <c r="AE350" s="2446"/>
      <c r="AF350" s="2446"/>
      <c r="AG350" s="2446"/>
      <c r="AH350" s="2446"/>
      <c r="AI350" s="2446"/>
      <c r="AJ350" s="2446"/>
      <c r="AK350" s="604"/>
      <c r="AL350" s="604"/>
      <c r="AM350" s="604"/>
      <c r="AN350" s="598"/>
      <c r="AQ350" s="571"/>
      <c r="AR350" s="571"/>
    </row>
    <row r="351" spans="1:44" s="551" customFormat="1" ht="30" customHeight="1">
      <c r="A351" s="604"/>
      <c r="B351" s="612"/>
      <c r="C351" s="2446"/>
      <c r="D351" s="2446"/>
      <c r="E351" s="2446"/>
      <c r="F351" s="2446"/>
      <c r="G351" s="2446"/>
      <c r="H351" s="2446"/>
      <c r="I351" s="2446"/>
      <c r="J351" s="2446"/>
      <c r="K351" s="2446"/>
      <c r="L351" s="2446"/>
      <c r="M351" s="2446"/>
      <c r="N351" s="2446"/>
      <c r="O351" s="2446"/>
      <c r="P351" s="2446"/>
      <c r="Q351" s="2446"/>
      <c r="R351" s="2446"/>
      <c r="S351" s="2446"/>
      <c r="T351" s="2446"/>
      <c r="U351" s="2446"/>
      <c r="V351" s="2446"/>
      <c r="W351" s="2446"/>
      <c r="X351" s="2446"/>
      <c r="Y351" s="2446"/>
      <c r="Z351" s="2446"/>
      <c r="AA351" s="2446"/>
      <c r="AB351" s="2446"/>
      <c r="AC351" s="2446"/>
      <c r="AD351" s="2446"/>
      <c r="AE351" s="2446"/>
      <c r="AF351" s="2446"/>
      <c r="AG351" s="2446"/>
      <c r="AH351" s="2446"/>
      <c r="AI351" s="2446"/>
      <c r="AJ351" s="2446"/>
      <c r="AK351" s="604"/>
      <c r="AL351" s="604"/>
      <c r="AM351" s="604"/>
      <c r="AN351" s="598"/>
      <c r="AR351" s="571"/>
    </row>
    <row r="352" spans="1:44" s="551" customFormat="1" ht="12.75" customHeight="1">
      <c r="A352" s="604"/>
      <c r="B352" s="612"/>
      <c r="C352" s="2446"/>
      <c r="D352" s="2446"/>
      <c r="E352" s="2446"/>
      <c r="F352" s="2446"/>
      <c r="G352" s="2446"/>
      <c r="H352" s="2446"/>
      <c r="I352" s="2446"/>
      <c r="J352" s="2446"/>
      <c r="K352" s="2446"/>
      <c r="L352" s="2446"/>
      <c r="M352" s="2446"/>
      <c r="N352" s="2446"/>
      <c r="O352" s="2446"/>
      <c r="P352" s="2446"/>
      <c r="Q352" s="2446"/>
      <c r="R352" s="2446"/>
      <c r="S352" s="2446"/>
      <c r="T352" s="2446"/>
      <c r="U352" s="2446"/>
      <c r="V352" s="2446"/>
      <c r="W352" s="2446"/>
      <c r="X352" s="2446"/>
      <c r="Y352" s="2446"/>
      <c r="Z352" s="2446"/>
      <c r="AA352" s="2446"/>
      <c r="AB352" s="2446"/>
      <c r="AC352" s="2446"/>
      <c r="AD352" s="2446"/>
      <c r="AE352" s="2446"/>
      <c r="AF352" s="2446"/>
      <c r="AG352" s="2446"/>
      <c r="AH352" s="2446"/>
      <c r="AI352" s="2446"/>
      <c r="AJ352" s="2446"/>
      <c r="AK352" s="604"/>
      <c r="AL352" s="604"/>
      <c r="AM352" s="604"/>
      <c r="AN352" s="598"/>
      <c r="AR352" s="571"/>
    </row>
    <row r="353" spans="1:46" s="551" customFormat="1" ht="12.75" customHeight="1">
      <c r="A353" s="604"/>
      <c r="B353" s="612"/>
      <c r="C353" s="2446" t="s">
        <v>1455</v>
      </c>
      <c r="D353" s="2446"/>
      <c r="E353" s="2446"/>
      <c r="F353" s="2446"/>
      <c r="G353" s="2446"/>
      <c r="H353" s="2446"/>
      <c r="I353" s="2446"/>
      <c r="J353" s="2446"/>
      <c r="K353" s="2446"/>
      <c r="L353" s="2446"/>
      <c r="M353" s="2446"/>
      <c r="N353" s="2446"/>
      <c r="O353" s="2446"/>
      <c r="P353" s="2446"/>
      <c r="Q353" s="2446"/>
      <c r="R353" s="2446"/>
      <c r="S353" s="2446"/>
      <c r="T353" s="2446"/>
      <c r="U353" s="2446"/>
      <c r="V353" s="2446"/>
      <c r="W353" s="2446"/>
      <c r="X353" s="2446"/>
      <c r="Y353" s="2446"/>
      <c r="Z353" s="2446"/>
      <c r="AA353" s="2446"/>
      <c r="AB353" s="2446"/>
      <c r="AC353" s="2446"/>
      <c r="AD353" s="2446"/>
      <c r="AE353" s="2446"/>
      <c r="AF353" s="2446"/>
      <c r="AG353" s="2446"/>
      <c r="AH353" s="2446"/>
      <c r="AI353" s="2446"/>
      <c r="AJ353" s="2446"/>
      <c r="AK353" s="604"/>
      <c r="AL353" s="604"/>
      <c r="AM353" s="604"/>
      <c r="AN353" s="598"/>
      <c r="AQ353" s="571"/>
      <c r="AR353" s="571"/>
    </row>
    <row r="354" spans="1:46" s="551" customFormat="1" ht="12.75" customHeight="1">
      <c r="A354" s="604"/>
      <c r="B354" s="612"/>
      <c r="C354" s="2446"/>
      <c r="D354" s="2446"/>
      <c r="E354" s="2446"/>
      <c r="F354" s="2446"/>
      <c r="G354" s="2446"/>
      <c r="H354" s="2446"/>
      <c r="I354" s="2446"/>
      <c r="J354" s="2446"/>
      <c r="K354" s="2446"/>
      <c r="L354" s="2446"/>
      <c r="M354" s="2446"/>
      <c r="N354" s="2446"/>
      <c r="O354" s="2446"/>
      <c r="P354" s="2446"/>
      <c r="Q354" s="2446"/>
      <c r="R354" s="2446"/>
      <c r="S354" s="2446"/>
      <c r="T354" s="2446"/>
      <c r="U354" s="2446"/>
      <c r="V354" s="2446"/>
      <c r="W354" s="2446"/>
      <c r="X354" s="2446"/>
      <c r="Y354" s="2446"/>
      <c r="Z354" s="2446"/>
      <c r="AA354" s="2446"/>
      <c r="AB354" s="2446"/>
      <c r="AC354" s="2446"/>
      <c r="AD354" s="2446"/>
      <c r="AE354" s="2446"/>
      <c r="AF354" s="2446"/>
      <c r="AG354" s="2446"/>
      <c r="AH354" s="2446"/>
      <c r="AI354" s="2446"/>
      <c r="AJ354" s="2446"/>
      <c r="AK354" s="604"/>
      <c r="AL354" s="604"/>
      <c r="AM354" s="604"/>
      <c r="AN354" s="598"/>
      <c r="AQ354" s="571"/>
      <c r="AR354" s="571"/>
    </row>
    <row r="355" spans="1:46" s="551" customFormat="1" ht="13.35" customHeight="1">
      <c r="A355" s="604"/>
      <c r="B355" s="612"/>
      <c r="C355" s="2446"/>
      <c r="D355" s="2446"/>
      <c r="E355" s="2446"/>
      <c r="F355" s="2446"/>
      <c r="G355" s="2446"/>
      <c r="H355" s="2446"/>
      <c r="I355" s="2446"/>
      <c r="J355" s="2446"/>
      <c r="K355" s="2446"/>
      <c r="L355" s="2446"/>
      <c r="M355" s="2446"/>
      <c r="N355" s="2446"/>
      <c r="O355" s="2446"/>
      <c r="P355" s="2446"/>
      <c r="Q355" s="2446"/>
      <c r="R355" s="2446"/>
      <c r="S355" s="2446"/>
      <c r="T355" s="2446"/>
      <c r="U355" s="2446"/>
      <c r="V355" s="2446"/>
      <c r="W355" s="2446"/>
      <c r="X355" s="2446"/>
      <c r="Y355" s="2446"/>
      <c r="Z355" s="2446"/>
      <c r="AA355" s="2446"/>
      <c r="AB355" s="2446"/>
      <c r="AC355" s="2446"/>
      <c r="AD355" s="2446"/>
      <c r="AE355" s="2446"/>
      <c r="AF355" s="2446"/>
      <c r="AG355" s="2446"/>
      <c r="AH355" s="2446"/>
      <c r="AI355" s="2446"/>
      <c r="AJ355" s="2446"/>
      <c r="AK355" s="604"/>
      <c r="AL355" s="604"/>
      <c r="AM355" s="604"/>
      <c r="AN355" s="598"/>
      <c r="AQ355" s="571"/>
      <c r="AR355" s="571"/>
    </row>
    <row r="356" spans="1:46" s="551" customFormat="1" ht="12.75" customHeight="1">
      <c r="A356" s="604"/>
      <c r="B356" s="612"/>
      <c r="C356" s="2446"/>
      <c r="D356" s="2446"/>
      <c r="E356" s="2446"/>
      <c r="F356" s="2446"/>
      <c r="G356" s="2446"/>
      <c r="H356" s="2446"/>
      <c r="I356" s="2446"/>
      <c r="J356" s="2446"/>
      <c r="K356" s="2446"/>
      <c r="L356" s="2446"/>
      <c r="M356" s="2446"/>
      <c r="N356" s="2446"/>
      <c r="O356" s="2446"/>
      <c r="P356" s="2446"/>
      <c r="Q356" s="2446"/>
      <c r="R356" s="2446"/>
      <c r="S356" s="2446"/>
      <c r="T356" s="2446"/>
      <c r="U356" s="2446"/>
      <c r="V356" s="2446"/>
      <c r="W356" s="2446"/>
      <c r="X356" s="2446"/>
      <c r="Y356" s="2446"/>
      <c r="Z356" s="2446"/>
      <c r="AA356" s="2446"/>
      <c r="AB356" s="2446"/>
      <c r="AC356" s="2446"/>
      <c r="AD356" s="2446"/>
      <c r="AE356" s="2446"/>
      <c r="AF356" s="2446"/>
      <c r="AG356" s="2446"/>
      <c r="AH356" s="2446"/>
      <c r="AI356" s="2446"/>
      <c r="AJ356" s="2446"/>
      <c r="AK356" s="604"/>
      <c r="AL356" s="604"/>
      <c r="AM356" s="604"/>
      <c r="AN356" s="598"/>
      <c r="AO356" s="695"/>
      <c r="AP356" s="695"/>
      <c r="AQ356" s="571"/>
    </row>
    <row r="357" spans="1:46" s="551" customFormat="1" ht="11.85" customHeight="1">
      <c r="A357" s="604"/>
      <c r="B357" s="612"/>
      <c r="C357" s="2446"/>
      <c r="D357" s="2446"/>
      <c r="E357" s="2446"/>
      <c r="F357" s="2446"/>
      <c r="G357" s="2446"/>
      <c r="H357" s="2446"/>
      <c r="I357" s="2446"/>
      <c r="J357" s="2446"/>
      <c r="K357" s="2446"/>
      <c r="L357" s="2446"/>
      <c r="M357" s="2446"/>
      <c r="N357" s="2446"/>
      <c r="O357" s="2446"/>
      <c r="P357" s="2446"/>
      <c r="Q357" s="2446"/>
      <c r="R357" s="2446"/>
      <c r="S357" s="2446"/>
      <c r="T357" s="2446"/>
      <c r="U357" s="2446"/>
      <c r="V357" s="2446"/>
      <c r="W357" s="2446"/>
      <c r="X357" s="2446"/>
      <c r="Y357" s="2446"/>
      <c r="Z357" s="2446"/>
      <c r="AA357" s="2446"/>
      <c r="AB357" s="2446"/>
      <c r="AC357" s="2446"/>
      <c r="AD357" s="2446"/>
      <c r="AE357" s="2446"/>
      <c r="AF357" s="2446"/>
      <c r="AG357" s="2446"/>
      <c r="AH357" s="2446"/>
      <c r="AI357" s="2446"/>
      <c r="AJ357" s="2446"/>
      <c r="AK357" s="604"/>
      <c r="AL357" s="604"/>
      <c r="AM357" s="604"/>
      <c r="AN357" s="598"/>
      <c r="AO357" s="696" t="s">
        <v>112</v>
      </c>
      <c r="AP357" s="697">
        <f>IF(C381="Yes",5,0)</f>
        <v>0</v>
      </c>
      <c r="AS357" s="540" t="s">
        <v>1456</v>
      </c>
    </row>
    <row r="358" spans="1:46" s="551" customFormat="1" ht="12.75" customHeight="1">
      <c r="A358" s="604"/>
      <c r="B358" s="612"/>
      <c r="C358" s="2446"/>
      <c r="D358" s="2446"/>
      <c r="E358" s="2446"/>
      <c r="F358" s="2446"/>
      <c r="G358" s="2446"/>
      <c r="H358" s="2446"/>
      <c r="I358" s="2446"/>
      <c r="J358" s="2446"/>
      <c r="K358" s="2446"/>
      <c r="L358" s="2446"/>
      <c r="M358" s="2446"/>
      <c r="N358" s="2446"/>
      <c r="O358" s="2446"/>
      <c r="P358" s="2446"/>
      <c r="Q358" s="2446"/>
      <c r="R358" s="2446"/>
      <c r="S358" s="2446"/>
      <c r="T358" s="2446"/>
      <c r="U358" s="2446"/>
      <c r="V358" s="2446"/>
      <c r="W358" s="2446"/>
      <c r="X358" s="2446"/>
      <c r="Y358" s="2446"/>
      <c r="Z358" s="2446"/>
      <c r="AA358" s="2446"/>
      <c r="AB358" s="2446"/>
      <c r="AC358" s="2446"/>
      <c r="AD358" s="2446"/>
      <c r="AE358" s="2446"/>
      <c r="AF358" s="2446"/>
      <c r="AG358" s="2446"/>
      <c r="AH358" s="2446"/>
      <c r="AI358" s="2446"/>
      <c r="AJ358" s="2446"/>
      <c r="AK358" s="604"/>
      <c r="AL358" s="604"/>
      <c r="AM358" s="604"/>
      <c r="AN358" s="598"/>
      <c r="AO358" s="696" t="s">
        <v>113</v>
      </c>
      <c r="AP358" s="697">
        <f>IF(C389="Yes",5,0)</f>
        <v>0</v>
      </c>
      <c r="AS358" s="2412">
        <f>IF(Application!D211="Non-Targeted",(SUM(AQ366+AQ375)),AS362)</f>
        <v>10</v>
      </c>
      <c r="AT358" s="2412"/>
    </row>
    <row r="359" spans="1:46" s="551" customFormat="1" ht="12.75" customHeight="1">
      <c r="A359" s="604"/>
      <c r="B359" s="612"/>
      <c r="C359" s="2446"/>
      <c r="D359" s="2446"/>
      <c r="E359" s="2446"/>
      <c r="F359" s="2446"/>
      <c r="G359" s="2446"/>
      <c r="H359" s="2446"/>
      <c r="I359" s="2446"/>
      <c r="J359" s="2446"/>
      <c r="K359" s="2446"/>
      <c r="L359" s="2446"/>
      <c r="M359" s="2446"/>
      <c r="N359" s="2446"/>
      <c r="O359" s="2446"/>
      <c r="P359" s="2446"/>
      <c r="Q359" s="2446"/>
      <c r="R359" s="2446"/>
      <c r="S359" s="2446"/>
      <c r="T359" s="2446"/>
      <c r="U359" s="2446"/>
      <c r="V359" s="2446"/>
      <c r="W359" s="2446"/>
      <c r="X359" s="2446"/>
      <c r="Y359" s="2446"/>
      <c r="Z359" s="2446"/>
      <c r="AA359" s="2446"/>
      <c r="AB359" s="2446"/>
      <c r="AC359" s="2446"/>
      <c r="AD359" s="2446"/>
      <c r="AE359" s="2446"/>
      <c r="AF359" s="2446"/>
      <c r="AG359" s="2446"/>
      <c r="AH359" s="2446"/>
      <c r="AI359" s="2446"/>
      <c r="AJ359" s="2446"/>
      <c r="AK359" s="604"/>
      <c r="AL359" s="604"/>
      <c r="AM359" s="604"/>
      <c r="AN359" s="598"/>
      <c r="AO359" s="696" t="s">
        <v>119</v>
      </c>
      <c r="AP359" s="697">
        <f>IF(C397="Yes",7,0)</f>
        <v>7</v>
      </c>
      <c r="AS359" s="540" t="s">
        <v>1457</v>
      </c>
    </row>
    <row r="360" spans="1:46" s="551" customFormat="1" ht="12.75" customHeight="1">
      <c r="A360" s="604"/>
      <c r="B360" s="612"/>
      <c r="C360" s="2446"/>
      <c r="D360" s="2446"/>
      <c r="E360" s="2446"/>
      <c r="F360" s="2446"/>
      <c r="G360" s="2446"/>
      <c r="H360" s="2446"/>
      <c r="I360" s="2446"/>
      <c r="J360" s="2446"/>
      <c r="K360" s="2446"/>
      <c r="L360" s="2446"/>
      <c r="M360" s="2446"/>
      <c r="N360" s="2446"/>
      <c r="O360" s="2446"/>
      <c r="P360" s="2446"/>
      <c r="Q360" s="2446"/>
      <c r="R360" s="2446"/>
      <c r="S360" s="2446"/>
      <c r="T360" s="2446"/>
      <c r="U360" s="2446"/>
      <c r="V360" s="2446"/>
      <c r="W360" s="2446"/>
      <c r="X360" s="2446"/>
      <c r="Y360" s="2446"/>
      <c r="Z360" s="2446"/>
      <c r="AA360" s="2446"/>
      <c r="AB360" s="2446"/>
      <c r="AC360" s="2446"/>
      <c r="AD360" s="2446"/>
      <c r="AE360" s="2446"/>
      <c r="AF360" s="2446"/>
      <c r="AG360" s="2446"/>
      <c r="AH360" s="2446"/>
      <c r="AI360" s="2446"/>
      <c r="AJ360" s="2446"/>
      <c r="AK360" s="604"/>
      <c r="AL360" s="604"/>
      <c r="AM360" s="604"/>
      <c r="AN360" s="598"/>
      <c r="AO360" s="598"/>
      <c r="AP360" s="697">
        <f>IF(C399="Yes",5,0)</f>
        <v>0</v>
      </c>
      <c r="AS360" s="2412">
        <f>IF(AND(AQ366&gt;0,AQ375&gt;0),(AQ366+AQ375)/2,0)</f>
        <v>0</v>
      </c>
      <c r="AT360" s="2412"/>
    </row>
    <row r="361" spans="1:46" s="551" customFormat="1" ht="12.75" customHeight="1">
      <c r="A361" s="604"/>
      <c r="B361" s="612"/>
      <c r="C361" s="2446"/>
      <c r="D361" s="2446"/>
      <c r="E361" s="2446"/>
      <c r="F361" s="2446"/>
      <c r="G361" s="2446"/>
      <c r="H361" s="2446"/>
      <c r="I361" s="2446"/>
      <c r="J361" s="2446"/>
      <c r="K361" s="2446"/>
      <c r="L361" s="2446"/>
      <c r="M361" s="2446"/>
      <c r="N361" s="2446"/>
      <c r="O361" s="2446"/>
      <c r="P361" s="2446"/>
      <c r="Q361" s="2446"/>
      <c r="R361" s="2446"/>
      <c r="S361" s="2446"/>
      <c r="T361" s="2446"/>
      <c r="U361" s="2446"/>
      <c r="V361" s="2446"/>
      <c r="W361" s="2446"/>
      <c r="X361" s="2446"/>
      <c r="Y361" s="2446"/>
      <c r="Z361" s="2446"/>
      <c r="AA361" s="2446"/>
      <c r="AB361" s="2446"/>
      <c r="AC361" s="2446"/>
      <c r="AD361" s="2446"/>
      <c r="AE361" s="2446"/>
      <c r="AF361" s="2446"/>
      <c r="AG361" s="2446"/>
      <c r="AH361" s="2446"/>
      <c r="AI361" s="2446"/>
      <c r="AJ361" s="2446"/>
      <c r="AK361" s="604"/>
      <c r="AL361" s="604"/>
      <c r="AM361" s="604"/>
      <c r="AN361" s="598"/>
      <c r="AO361" s="696" t="s">
        <v>581</v>
      </c>
      <c r="AP361" s="697">
        <f>IF(C407="Yes",5,0)</f>
        <v>0</v>
      </c>
      <c r="AS361" s="540" t="s">
        <v>1879</v>
      </c>
    </row>
    <row r="362" spans="1:46" s="551" customFormat="1" ht="12.75" customHeight="1">
      <c r="A362" s="604"/>
      <c r="B362" s="612"/>
      <c r="C362" s="2540" t="s">
        <v>2235</v>
      </c>
      <c r="D362" s="2540"/>
      <c r="E362" s="2540"/>
      <c r="F362" s="2540"/>
      <c r="G362" s="2540"/>
      <c r="H362" s="2540"/>
      <c r="I362" s="2540"/>
      <c r="J362" s="2540"/>
      <c r="K362" s="2540"/>
      <c r="L362" s="2540"/>
      <c r="M362" s="2540"/>
      <c r="N362" s="2540"/>
      <c r="O362" s="2540"/>
      <c r="P362" s="2540"/>
      <c r="Q362" s="2540"/>
      <c r="R362" s="2540"/>
      <c r="S362" s="2540"/>
      <c r="T362" s="2540"/>
      <c r="U362" s="2540"/>
      <c r="V362" s="2540"/>
      <c r="W362" s="2540"/>
      <c r="X362" s="2540"/>
      <c r="Y362" s="2540"/>
      <c r="Z362" s="2540"/>
      <c r="AA362" s="2540"/>
      <c r="AB362" s="2540"/>
      <c r="AC362" s="2540"/>
      <c r="AD362" s="2540"/>
      <c r="AE362" s="2540"/>
      <c r="AF362" s="2540"/>
      <c r="AG362" s="2540"/>
      <c r="AH362" s="2540"/>
      <c r="AI362" s="2540"/>
      <c r="AJ362" s="2540"/>
      <c r="AK362" s="604"/>
      <c r="AL362" s="604"/>
      <c r="AM362" s="604"/>
      <c r="AN362" s="598"/>
      <c r="AO362" s="598"/>
      <c r="AP362" s="697">
        <f>IF(C409="Yes",3,0)</f>
        <v>3</v>
      </c>
      <c r="AS362" s="2412">
        <f>IF(AQ366=0,AQ375,AQ366)</f>
        <v>10</v>
      </c>
      <c r="AT362" s="2412"/>
    </row>
    <row r="363" spans="1:46" s="551" customFormat="1" ht="12.75" customHeight="1">
      <c r="A363" s="604"/>
      <c r="B363" s="612"/>
      <c r="C363" s="2540"/>
      <c r="D363" s="2540"/>
      <c r="E363" s="2540"/>
      <c r="F363" s="2540"/>
      <c r="G363" s="2540"/>
      <c r="H363" s="2540"/>
      <c r="I363" s="2540"/>
      <c r="J363" s="2540"/>
      <c r="K363" s="2540"/>
      <c r="L363" s="2540"/>
      <c r="M363" s="2540"/>
      <c r="N363" s="2540"/>
      <c r="O363" s="2540"/>
      <c r="P363" s="2540"/>
      <c r="Q363" s="2540"/>
      <c r="R363" s="2540"/>
      <c r="S363" s="2540"/>
      <c r="T363" s="2540"/>
      <c r="U363" s="2540"/>
      <c r="V363" s="2540"/>
      <c r="W363" s="2540"/>
      <c r="X363" s="2540"/>
      <c r="Y363" s="2540"/>
      <c r="Z363" s="2540"/>
      <c r="AA363" s="2540"/>
      <c r="AB363" s="2540"/>
      <c r="AC363" s="2540"/>
      <c r="AD363" s="2540"/>
      <c r="AE363" s="2540"/>
      <c r="AF363" s="2540"/>
      <c r="AG363" s="2540"/>
      <c r="AH363" s="2540"/>
      <c r="AI363" s="2540"/>
      <c r="AJ363" s="2540"/>
      <c r="AK363" s="604"/>
      <c r="AL363" s="604"/>
      <c r="AM363" s="604"/>
      <c r="AN363" s="598"/>
      <c r="AO363" s="696" t="s">
        <v>763</v>
      </c>
      <c r="AP363" s="697">
        <f>IF(C412="Yes",5,0)</f>
        <v>0</v>
      </c>
    </row>
    <row r="364" spans="1:46" s="551" customFormat="1" ht="12.75" customHeight="1">
      <c r="A364" s="604"/>
      <c r="B364" s="612"/>
      <c r="C364" s="2540"/>
      <c r="D364" s="2540"/>
      <c r="E364" s="2540"/>
      <c r="F364" s="2540"/>
      <c r="G364" s="2540"/>
      <c r="H364" s="2540"/>
      <c r="I364" s="2540"/>
      <c r="J364" s="2540"/>
      <c r="K364" s="2540"/>
      <c r="L364" s="2540"/>
      <c r="M364" s="2540"/>
      <c r="N364" s="2540"/>
      <c r="O364" s="2540"/>
      <c r="P364" s="2540"/>
      <c r="Q364" s="2540"/>
      <c r="R364" s="2540"/>
      <c r="S364" s="2540"/>
      <c r="T364" s="2540"/>
      <c r="U364" s="2540"/>
      <c r="V364" s="2540"/>
      <c r="W364" s="2540"/>
      <c r="X364" s="2540"/>
      <c r="Y364" s="2540"/>
      <c r="Z364" s="2540"/>
      <c r="AA364" s="2540"/>
      <c r="AB364" s="2540"/>
      <c r="AC364" s="2540"/>
      <c r="AD364" s="2540"/>
      <c r="AE364" s="2540"/>
      <c r="AF364" s="2540"/>
      <c r="AG364" s="2540"/>
      <c r="AH364" s="2540"/>
      <c r="AI364" s="2540"/>
      <c r="AJ364" s="2540"/>
      <c r="AK364" s="604"/>
      <c r="AL364" s="604"/>
      <c r="AM364" s="604"/>
      <c r="AN364" s="598"/>
      <c r="AO364" s="696" t="s">
        <v>584</v>
      </c>
      <c r="AP364" s="697">
        <f>IF(C421="Yes",5,0)</f>
        <v>0</v>
      </c>
    </row>
    <row r="365" spans="1:46" s="551" customFormat="1" ht="11.85" customHeight="1">
      <c r="A365" s="604"/>
      <c r="B365" s="612"/>
      <c r="C365" s="2540"/>
      <c r="D365" s="2540"/>
      <c r="E365" s="2540"/>
      <c r="F365" s="2540"/>
      <c r="G365" s="2540"/>
      <c r="H365" s="2540"/>
      <c r="I365" s="2540"/>
      <c r="J365" s="2540"/>
      <c r="K365" s="2540"/>
      <c r="L365" s="2540"/>
      <c r="M365" s="2540"/>
      <c r="N365" s="2540"/>
      <c r="O365" s="2540"/>
      <c r="P365" s="2540"/>
      <c r="Q365" s="2540"/>
      <c r="R365" s="2540"/>
      <c r="S365" s="2540"/>
      <c r="T365" s="2540"/>
      <c r="U365" s="2540"/>
      <c r="V365" s="2540"/>
      <c r="W365" s="2540"/>
      <c r="X365" s="2540"/>
      <c r="Y365" s="2540"/>
      <c r="Z365" s="2540"/>
      <c r="AA365" s="2540"/>
      <c r="AB365" s="2540"/>
      <c r="AC365" s="2540"/>
      <c r="AD365" s="2540"/>
      <c r="AE365" s="2540"/>
      <c r="AF365" s="2540"/>
      <c r="AG365" s="2540"/>
      <c r="AH365" s="2540"/>
      <c r="AI365" s="2540"/>
      <c r="AJ365" s="2540"/>
      <c r="AK365" s="604"/>
      <c r="AL365" s="604"/>
      <c r="AM365" s="604"/>
      <c r="AN365" s="598"/>
      <c r="AO365" s="698"/>
      <c r="AP365" s="699">
        <f>IF(C423="Yes",3,0)</f>
        <v>0</v>
      </c>
    </row>
    <row r="366" spans="1:46" s="551" customFormat="1" ht="12.6" customHeight="1">
      <c r="A366" s="604"/>
      <c r="B366" s="612"/>
      <c r="C366" s="2540"/>
      <c r="D366" s="2540"/>
      <c r="E366" s="2540"/>
      <c r="F366" s="2540"/>
      <c r="G366" s="2540"/>
      <c r="H366" s="2540"/>
      <c r="I366" s="2540"/>
      <c r="J366" s="2540"/>
      <c r="K366" s="2540"/>
      <c r="L366" s="2540"/>
      <c r="M366" s="2540"/>
      <c r="N366" s="2540"/>
      <c r="O366" s="2540"/>
      <c r="P366" s="2540"/>
      <c r="Q366" s="2540"/>
      <c r="R366" s="2540"/>
      <c r="S366" s="2540"/>
      <c r="T366" s="2540"/>
      <c r="U366" s="2540"/>
      <c r="V366" s="2540"/>
      <c r="W366" s="2540"/>
      <c r="X366" s="2540"/>
      <c r="Y366" s="2540"/>
      <c r="Z366" s="2540"/>
      <c r="AA366" s="2540"/>
      <c r="AB366" s="2540"/>
      <c r="AC366" s="2540"/>
      <c r="AD366" s="2540"/>
      <c r="AE366" s="2540"/>
      <c r="AF366" s="2540"/>
      <c r="AG366" s="2540"/>
      <c r="AH366" s="2540"/>
      <c r="AI366" s="2540"/>
      <c r="AJ366" s="2540"/>
      <c r="AK366" s="604"/>
      <c r="AL366" s="604"/>
      <c r="AM366" s="604"/>
      <c r="AN366" s="598"/>
      <c r="AO366" s="700" t="s">
        <v>227</v>
      </c>
      <c r="AP366" s="701">
        <f>SUM(AP357:AP365)</f>
        <v>10</v>
      </c>
      <c r="AQ366" s="2449">
        <f>IF(AP366&gt;0,AP366,0)</f>
        <v>10</v>
      </c>
      <c r="AR366" s="2449"/>
    </row>
    <row r="367" spans="1:46" s="551" customFormat="1" ht="12.75" customHeight="1">
      <c r="A367" s="604"/>
      <c r="B367" s="612"/>
      <c r="C367" s="2540"/>
      <c r="D367" s="2540"/>
      <c r="E367" s="2540"/>
      <c r="F367" s="2540"/>
      <c r="G367" s="2540"/>
      <c r="H367" s="2540"/>
      <c r="I367" s="2540"/>
      <c r="J367" s="2540"/>
      <c r="K367" s="2540"/>
      <c r="L367" s="2540"/>
      <c r="M367" s="2540"/>
      <c r="N367" s="2540"/>
      <c r="O367" s="2540"/>
      <c r="P367" s="2540"/>
      <c r="Q367" s="2540"/>
      <c r="R367" s="2540"/>
      <c r="S367" s="2540"/>
      <c r="T367" s="2540"/>
      <c r="U367" s="2540"/>
      <c r="V367" s="2540"/>
      <c r="W367" s="2540"/>
      <c r="X367" s="2540"/>
      <c r="Y367" s="2540"/>
      <c r="Z367" s="2540"/>
      <c r="AA367" s="2540"/>
      <c r="AB367" s="2540"/>
      <c r="AC367" s="2540"/>
      <c r="AD367" s="2540"/>
      <c r="AE367" s="2540"/>
      <c r="AF367" s="2540"/>
      <c r="AG367" s="2540"/>
      <c r="AH367" s="2540"/>
      <c r="AI367" s="2540"/>
      <c r="AJ367" s="2540"/>
      <c r="AK367" s="604"/>
      <c r="AL367" s="604"/>
      <c r="AM367" s="604"/>
      <c r="AN367" s="598"/>
      <c r="AP367" s="571"/>
    </row>
    <row r="368" spans="1:46" s="551" customFormat="1" ht="12.75" customHeight="1">
      <c r="A368" s="604"/>
      <c r="B368" s="612"/>
      <c r="C368" s="693"/>
      <c r="D368" s="693"/>
      <c r="E368" s="693"/>
      <c r="F368" s="693"/>
      <c r="G368" s="693"/>
      <c r="H368" s="693"/>
      <c r="I368" s="693"/>
      <c r="J368" s="693"/>
      <c r="K368" s="693"/>
      <c r="L368" s="693"/>
      <c r="M368" s="693"/>
      <c r="N368" s="693"/>
      <c r="O368" s="693"/>
      <c r="P368" s="693"/>
      <c r="Q368" s="693"/>
      <c r="R368" s="693"/>
      <c r="S368" s="693"/>
      <c r="T368" s="693"/>
      <c r="U368" s="693"/>
      <c r="V368" s="693"/>
      <c r="W368" s="693"/>
      <c r="X368" s="693"/>
      <c r="Y368" s="693"/>
      <c r="Z368" s="693"/>
      <c r="AA368" s="693"/>
      <c r="AB368" s="693"/>
      <c r="AC368" s="693"/>
      <c r="AD368" s="693"/>
      <c r="AE368" s="693"/>
      <c r="AF368" s="693"/>
      <c r="AG368" s="693"/>
      <c r="AH368" s="693"/>
      <c r="AI368" s="693"/>
      <c r="AJ368" s="693"/>
      <c r="AK368" s="604"/>
      <c r="AL368" s="604"/>
      <c r="AM368" s="604"/>
      <c r="AN368" s="598"/>
      <c r="AO368" s="696" t="s">
        <v>455</v>
      </c>
      <c r="AP368" s="697">
        <f>IF(C430="Yes",5,0)</f>
        <v>0</v>
      </c>
    </row>
    <row r="369" spans="1:81" s="551" customFormat="1" ht="12.75" customHeight="1">
      <c r="A369" s="604"/>
      <c r="B369" s="612"/>
      <c r="C369" s="2446" t="s">
        <v>1458</v>
      </c>
      <c r="D369" s="2446"/>
      <c r="E369" s="2446"/>
      <c r="F369" s="2446"/>
      <c r="G369" s="2446"/>
      <c r="H369" s="2446"/>
      <c r="I369" s="2446"/>
      <c r="J369" s="2446"/>
      <c r="K369" s="2446"/>
      <c r="L369" s="2446"/>
      <c r="M369" s="2446"/>
      <c r="N369" s="2446"/>
      <c r="O369" s="2446"/>
      <c r="P369" s="2446"/>
      <c r="Q369" s="2446"/>
      <c r="R369" s="2446"/>
      <c r="S369" s="2446"/>
      <c r="T369" s="2446"/>
      <c r="U369" s="2446"/>
      <c r="V369" s="2446"/>
      <c r="W369" s="2446"/>
      <c r="X369" s="2446"/>
      <c r="Y369" s="2446"/>
      <c r="Z369" s="2446"/>
      <c r="AA369" s="2446"/>
      <c r="AB369" s="2446"/>
      <c r="AC369" s="2446"/>
      <c r="AD369" s="2446"/>
      <c r="AE369" s="2446"/>
      <c r="AF369" s="2446"/>
      <c r="AG369" s="2446"/>
      <c r="AH369" s="2446"/>
      <c r="AI369" s="2446"/>
      <c r="AJ369" s="2446"/>
      <c r="AK369" s="604"/>
      <c r="AL369" s="604"/>
      <c r="AM369" s="604"/>
      <c r="AN369" s="598"/>
      <c r="AO369" s="696" t="s">
        <v>456</v>
      </c>
      <c r="AP369" s="697">
        <f>IF(C442="Yes",5,0)</f>
        <v>0</v>
      </c>
    </row>
    <row r="370" spans="1:81" s="551" customFormat="1" ht="12.75" customHeight="1">
      <c r="A370" s="604"/>
      <c r="B370" s="612"/>
      <c r="C370" s="2446"/>
      <c r="D370" s="2446"/>
      <c r="E370" s="2446"/>
      <c r="F370" s="2446"/>
      <c r="G370" s="2446"/>
      <c r="H370" s="2446"/>
      <c r="I370" s="2446"/>
      <c r="J370" s="2446"/>
      <c r="K370" s="2446"/>
      <c r="L370" s="2446"/>
      <c r="M370" s="2446"/>
      <c r="N370" s="2446"/>
      <c r="O370" s="2446"/>
      <c r="P370" s="2446"/>
      <c r="Q370" s="2446"/>
      <c r="R370" s="2446"/>
      <c r="S370" s="2446"/>
      <c r="T370" s="2446"/>
      <c r="U370" s="2446"/>
      <c r="V370" s="2446"/>
      <c r="W370" s="2446"/>
      <c r="X370" s="2446"/>
      <c r="Y370" s="2446"/>
      <c r="Z370" s="2446"/>
      <c r="AA370" s="2446"/>
      <c r="AB370" s="2446"/>
      <c r="AC370" s="2446"/>
      <c r="AD370" s="2446"/>
      <c r="AE370" s="2446"/>
      <c r="AF370" s="2446"/>
      <c r="AG370" s="2446"/>
      <c r="AH370" s="2446"/>
      <c r="AI370" s="2446"/>
      <c r="AJ370" s="2446"/>
      <c r="AK370" s="604"/>
      <c r="AL370" s="604"/>
      <c r="AM370" s="604"/>
      <c r="AN370" s="598"/>
      <c r="AO370" s="696" t="s">
        <v>461</v>
      </c>
      <c r="AP370" s="697">
        <f>IF(C449="Yes",5,0)</f>
        <v>0</v>
      </c>
    </row>
    <row r="371" spans="1:81" s="551" customFormat="1" ht="68.099999999999994" customHeight="1">
      <c r="A371" s="604"/>
      <c r="B371" s="612"/>
      <c r="C371" s="2446"/>
      <c r="D371" s="2446"/>
      <c r="E371" s="2446"/>
      <c r="F371" s="2446"/>
      <c r="G371" s="2446"/>
      <c r="H371" s="2446"/>
      <c r="I371" s="2446"/>
      <c r="J371" s="2446"/>
      <c r="K371" s="2446"/>
      <c r="L371" s="2446"/>
      <c r="M371" s="2446"/>
      <c r="N371" s="2446"/>
      <c r="O371" s="2446"/>
      <c r="P371" s="2446"/>
      <c r="Q371" s="2446"/>
      <c r="R371" s="2446"/>
      <c r="S371" s="2446"/>
      <c r="T371" s="2446"/>
      <c r="U371" s="2446"/>
      <c r="V371" s="2446"/>
      <c r="W371" s="2446"/>
      <c r="X371" s="2446"/>
      <c r="Y371" s="2446"/>
      <c r="Z371" s="2446"/>
      <c r="AA371" s="2446"/>
      <c r="AB371" s="2446"/>
      <c r="AC371" s="2446"/>
      <c r="AD371" s="2446"/>
      <c r="AE371" s="2446"/>
      <c r="AF371" s="2446"/>
      <c r="AG371" s="2446"/>
      <c r="AH371" s="2446"/>
      <c r="AI371" s="2446"/>
      <c r="AJ371" s="2446"/>
      <c r="AK371" s="604"/>
      <c r="AL371" s="604"/>
      <c r="AM371" s="604"/>
      <c r="AN371" s="598"/>
      <c r="AO371" s="696" t="s">
        <v>646</v>
      </c>
      <c r="AP371" s="702">
        <f>IF(C453="Yes",5,0)</f>
        <v>0</v>
      </c>
    </row>
    <row r="372" spans="1:81" s="551" customFormat="1" ht="12.6" customHeight="1">
      <c r="A372" s="604"/>
      <c r="B372" s="612"/>
      <c r="C372" s="551" t="s">
        <v>1459</v>
      </c>
      <c r="AF372" s="604"/>
      <c r="AG372" s="604"/>
      <c r="AH372" s="604"/>
      <c r="AI372" s="604"/>
      <c r="AJ372" s="604"/>
      <c r="AK372" s="604"/>
      <c r="AL372" s="604"/>
      <c r="AM372" s="604"/>
      <c r="AN372" s="598"/>
      <c r="AO372" s="696" t="s">
        <v>362</v>
      </c>
      <c r="AP372" s="697">
        <f>IF(C457="Yes",5,0)</f>
        <v>0</v>
      </c>
    </row>
    <row r="373" spans="1:81" s="551" customFormat="1" ht="12.75" customHeight="1">
      <c r="A373" s="604"/>
      <c r="B373" s="612"/>
      <c r="C373" s="703" t="s">
        <v>2212</v>
      </c>
      <c r="D373" s="704"/>
      <c r="E373" s="704"/>
      <c r="F373" s="704"/>
      <c r="G373" s="704"/>
      <c r="H373" s="704"/>
      <c r="I373" s="704"/>
      <c r="J373" s="704"/>
      <c r="K373" s="704"/>
      <c r="L373" s="704"/>
      <c r="M373" s="668"/>
      <c r="N373" s="668"/>
      <c r="O373" s="705"/>
      <c r="P373" s="704"/>
      <c r="Q373" s="704"/>
      <c r="R373" s="668"/>
      <c r="S373" s="668"/>
      <c r="T373" s="704"/>
      <c r="U373" s="2447">
        <f>Application!DU802-U374</f>
        <v>157</v>
      </c>
      <c r="V373" s="2447"/>
      <c r="W373" s="2447"/>
      <c r="X373" s="704"/>
      <c r="Y373" s="704"/>
      <c r="Z373" s="704"/>
      <c r="AA373" s="706"/>
      <c r="AB373" s="707"/>
      <c r="AC373" s="707"/>
      <c r="AD373" s="707"/>
      <c r="AE373" s="604"/>
      <c r="AF373" s="604"/>
      <c r="AG373" s="604"/>
      <c r="AH373" s="604"/>
      <c r="AI373" s="604"/>
      <c r="AJ373" s="604"/>
      <c r="AK373" s="604"/>
      <c r="AL373" s="604"/>
      <c r="AM373" s="604"/>
      <c r="AN373" s="598"/>
      <c r="AO373" s="696" t="s">
        <v>363</v>
      </c>
      <c r="AP373" s="697">
        <f>IF(C466="Yes",5,0)</f>
        <v>0</v>
      </c>
    </row>
    <row r="374" spans="1:81" s="551" customFormat="1" ht="12.75" customHeight="1">
      <c r="A374" s="604"/>
      <c r="B374" s="612"/>
      <c r="C374" s="708" t="s">
        <v>2213</v>
      </c>
      <c r="D374" s="695"/>
      <c r="E374" s="695"/>
      <c r="F374" s="695"/>
      <c r="G374" s="695"/>
      <c r="H374" s="695"/>
      <c r="I374" s="695"/>
      <c r="J374" s="695"/>
      <c r="K374" s="695"/>
      <c r="L374" s="695"/>
      <c r="M374" s="695"/>
      <c r="N374" s="695"/>
      <c r="O374" s="695"/>
      <c r="P374" s="695"/>
      <c r="Q374" s="695"/>
      <c r="R374" s="695"/>
      <c r="S374" s="695"/>
      <c r="T374" s="695"/>
      <c r="U374" s="2448">
        <f>IF(Application!D211="SRO",Application!DU755,Application!AG756)</f>
        <v>0</v>
      </c>
      <c r="V374" s="2448"/>
      <c r="W374" s="2448"/>
      <c r="X374" s="695"/>
      <c r="Y374" s="695"/>
      <c r="Z374" s="695"/>
      <c r="AA374" s="709"/>
      <c r="AC374" s="710"/>
      <c r="AD374" s="710"/>
      <c r="AE374" s="604"/>
      <c r="AF374" s="604"/>
      <c r="AG374" s="604"/>
      <c r="AH374" s="604"/>
      <c r="AI374" s="604"/>
      <c r="AJ374" s="604"/>
      <c r="AK374" s="604"/>
      <c r="AL374" s="604"/>
      <c r="AM374" s="604"/>
      <c r="AN374" s="598"/>
      <c r="AO374" s="698"/>
      <c r="AP374" s="699"/>
    </row>
    <row r="375" spans="1:81" s="551" customFormat="1" ht="12.75" customHeight="1">
      <c r="A375" s="604"/>
      <c r="B375" s="612"/>
      <c r="C375" s="597"/>
      <c r="U375" s="788"/>
      <c r="V375" s="788"/>
      <c r="W375" s="788"/>
      <c r="AC375" s="710"/>
      <c r="AD375" s="710"/>
      <c r="AE375" s="604"/>
      <c r="AF375" s="604"/>
      <c r="AG375" s="604"/>
      <c r="AH375" s="604"/>
      <c r="AI375" s="604"/>
      <c r="AJ375" s="604"/>
      <c r="AK375" s="604"/>
      <c r="AL375" s="604"/>
      <c r="AM375" s="604"/>
      <c r="AN375" s="598"/>
      <c r="AO375" s="711" t="s">
        <v>227</v>
      </c>
      <c r="AP375" s="712">
        <f>SUM(AP368:AP373)</f>
        <v>0</v>
      </c>
      <c r="AQ375" s="2449">
        <f>IF(AP375&gt;0,AP375,0)</f>
        <v>0</v>
      </c>
      <c r="AR375" s="2449"/>
    </row>
    <row r="376" spans="1:81" s="551" customFormat="1" ht="12.75" customHeight="1">
      <c r="A376" s="604"/>
      <c r="B376" s="14"/>
      <c r="C376" s="713" t="s">
        <v>2210</v>
      </c>
      <c r="D376" s="604"/>
      <c r="E376" s="604"/>
      <c r="F376" s="604"/>
      <c r="G376" s="604"/>
      <c r="H376" s="604"/>
      <c r="I376" s="604"/>
      <c r="J376" s="604"/>
      <c r="K376" s="604"/>
      <c r="L376" s="604"/>
      <c r="M376" s="604"/>
      <c r="N376" s="604"/>
      <c r="O376" s="604"/>
      <c r="P376" s="604"/>
      <c r="Q376" s="604"/>
      <c r="R376" s="604"/>
      <c r="S376" s="604"/>
      <c r="T376" s="604"/>
      <c r="U376" s="604"/>
      <c r="V376" s="604"/>
      <c r="W376" s="604"/>
      <c r="X376" s="604"/>
      <c r="Y376" s="604"/>
      <c r="Z376" s="604"/>
      <c r="AA376" s="604"/>
      <c r="AB376" s="604"/>
      <c r="AC376" s="604"/>
      <c r="AD376" s="604"/>
      <c r="AE376" s="604"/>
      <c r="AF376" s="604"/>
      <c r="AG376" s="604"/>
      <c r="AH376" s="604"/>
      <c r="AI376" s="604"/>
      <c r="AJ376" s="604"/>
      <c r="AK376" s="604"/>
      <c r="AL376" s="604"/>
      <c r="AM376" s="604"/>
      <c r="AN376" s="598"/>
      <c r="BS376" s="30"/>
      <c r="BT376" s="30"/>
      <c r="BU376" s="14"/>
      <c r="BV376" s="14"/>
      <c r="BW376" s="14"/>
    </row>
    <row r="377" spans="1:81" s="551" customFormat="1" ht="12.75" customHeight="1">
      <c r="A377" s="537"/>
      <c r="B377" s="14"/>
      <c r="C377" s="714"/>
      <c r="D377" s="715"/>
      <c r="E377" s="716" t="s">
        <v>1315</v>
      </c>
      <c r="F377" s="2440" t="s">
        <v>1460</v>
      </c>
      <c r="G377" s="2440"/>
      <c r="H377" s="2440"/>
      <c r="I377" s="2440"/>
      <c r="J377" s="2440"/>
      <c r="K377" s="2440"/>
      <c r="L377" s="2440"/>
      <c r="M377" s="2440"/>
      <c r="N377" s="2440"/>
      <c r="O377" s="2440"/>
      <c r="P377" s="2440"/>
      <c r="Q377" s="2440"/>
      <c r="R377" s="2440"/>
      <c r="S377" s="2440"/>
      <c r="T377" s="2440"/>
      <c r="U377" s="2440"/>
      <c r="V377" s="2440"/>
      <c r="W377" s="2440"/>
      <c r="X377" s="2440"/>
      <c r="Y377" s="2440"/>
      <c r="Z377" s="2440"/>
      <c r="AA377" s="2440"/>
      <c r="AB377" s="2440"/>
      <c r="AC377" s="2440"/>
      <c r="AD377" s="2440"/>
      <c r="AE377" s="2440"/>
      <c r="AF377" s="2440"/>
      <c r="AG377" s="717"/>
      <c r="AH377" s="717"/>
      <c r="AI377" s="717"/>
      <c r="AJ377" s="717"/>
      <c r="AK377" s="717"/>
      <c r="AL377" s="718"/>
      <c r="AM377" s="571"/>
      <c r="AN377" s="598"/>
      <c r="AP377" s="571"/>
      <c r="BS377" s="30"/>
      <c r="BT377" s="30"/>
      <c r="BU377" s="14"/>
      <c r="BV377" s="14"/>
      <c r="BW377" s="14"/>
      <c r="BX377" s="14"/>
      <c r="BY377" s="14"/>
      <c r="BZ377" s="14"/>
      <c r="CA377" s="14"/>
      <c r="CB377" s="14"/>
      <c r="CC377" s="14"/>
    </row>
    <row r="378" spans="1:81" s="551" customFormat="1" ht="12.75" customHeight="1">
      <c r="A378" s="537"/>
      <c r="B378" s="14"/>
      <c r="C378" s="719"/>
      <c r="D378" s="537"/>
      <c r="E378" s="720"/>
      <c r="F378" s="2441"/>
      <c r="G378" s="2441"/>
      <c r="H378" s="2441"/>
      <c r="I378" s="2441"/>
      <c r="J378" s="2441"/>
      <c r="K378" s="2441"/>
      <c r="L378" s="2441"/>
      <c r="M378" s="2441"/>
      <c r="N378" s="2441"/>
      <c r="O378" s="2441"/>
      <c r="P378" s="2441"/>
      <c r="Q378" s="2441"/>
      <c r="R378" s="2441"/>
      <c r="S378" s="2441"/>
      <c r="T378" s="2441"/>
      <c r="U378" s="2441"/>
      <c r="V378" s="2441"/>
      <c r="W378" s="2441"/>
      <c r="X378" s="2441"/>
      <c r="Y378" s="2441"/>
      <c r="Z378" s="2441"/>
      <c r="AA378" s="2441"/>
      <c r="AB378" s="2441"/>
      <c r="AC378" s="2441"/>
      <c r="AD378" s="2441"/>
      <c r="AE378" s="2441"/>
      <c r="AF378" s="2441"/>
      <c r="AG378" s="540"/>
      <c r="AH378" s="540"/>
      <c r="AI378" s="540"/>
      <c r="AJ378" s="540"/>
      <c r="AK378" s="540"/>
      <c r="AL378" s="721"/>
      <c r="AM378" s="571"/>
      <c r="AN378" s="598"/>
      <c r="AP378" s="571"/>
      <c r="BS378" s="30"/>
      <c r="BT378" s="30"/>
      <c r="BU378" s="14"/>
      <c r="BV378" s="14"/>
      <c r="BW378" s="14"/>
      <c r="BX378" s="14"/>
      <c r="BY378" s="14"/>
      <c r="BZ378" s="14"/>
      <c r="CA378" s="14"/>
      <c r="CB378" s="14"/>
      <c r="CC378" s="14"/>
    </row>
    <row r="379" spans="1:81" s="551" customFormat="1" ht="12.75" customHeight="1">
      <c r="A379" s="537"/>
      <c r="B379" s="14"/>
      <c r="C379" s="719"/>
      <c r="D379" s="537"/>
      <c r="E379" s="720"/>
      <c r="F379" s="2441"/>
      <c r="G379" s="2441"/>
      <c r="H379" s="2441"/>
      <c r="I379" s="2441"/>
      <c r="J379" s="2441"/>
      <c r="K379" s="2441"/>
      <c r="L379" s="2441"/>
      <c r="M379" s="2441"/>
      <c r="N379" s="2441"/>
      <c r="O379" s="2441"/>
      <c r="P379" s="2441"/>
      <c r="Q379" s="2441"/>
      <c r="R379" s="2441"/>
      <c r="S379" s="2441"/>
      <c r="T379" s="2441"/>
      <c r="U379" s="2441"/>
      <c r="V379" s="2441"/>
      <c r="W379" s="2441"/>
      <c r="X379" s="2441"/>
      <c r="Y379" s="2441"/>
      <c r="Z379" s="2441"/>
      <c r="AA379" s="2441"/>
      <c r="AB379" s="2441"/>
      <c r="AC379" s="2441"/>
      <c r="AD379" s="2441"/>
      <c r="AE379" s="2441"/>
      <c r="AF379" s="2441"/>
      <c r="AG379" s="540"/>
      <c r="AH379" s="540"/>
      <c r="AI379" s="540"/>
      <c r="AJ379" s="540"/>
      <c r="AK379" s="540"/>
      <c r="AL379" s="721"/>
      <c r="AM379" s="571"/>
      <c r="AN379" s="598"/>
      <c r="BS379" s="30"/>
      <c r="BT379" s="30"/>
      <c r="BU379" s="14"/>
      <c r="BV379" s="14"/>
      <c r="BW379" s="14"/>
      <c r="BX379" s="14"/>
      <c r="BY379" s="14"/>
      <c r="BZ379" s="14"/>
      <c r="CA379" s="14"/>
      <c r="CB379" s="14"/>
      <c r="CC379" s="14"/>
    </row>
    <row r="380" spans="1:81" s="551" customFormat="1" ht="12.75" customHeight="1">
      <c r="A380" s="537"/>
      <c r="B380" s="14"/>
      <c r="C380" s="719"/>
      <c r="D380" s="537"/>
      <c r="E380" s="720"/>
      <c r="F380" s="2441"/>
      <c r="G380" s="2441"/>
      <c r="H380" s="2441"/>
      <c r="I380" s="2441"/>
      <c r="J380" s="2441"/>
      <c r="K380" s="2441"/>
      <c r="L380" s="2441"/>
      <c r="M380" s="2441"/>
      <c r="N380" s="2441"/>
      <c r="O380" s="2441"/>
      <c r="P380" s="2441"/>
      <c r="Q380" s="2441"/>
      <c r="R380" s="2441"/>
      <c r="S380" s="2441"/>
      <c r="T380" s="2441"/>
      <c r="U380" s="2441"/>
      <c r="V380" s="2441"/>
      <c r="W380" s="2441"/>
      <c r="X380" s="2441"/>
      <c r="Y380" s="2441"/>
      <c r="Z380" s="2441"/>
      <c r="AA380" s="2441"/>
      <c r="AB380" s="2441"/>
      <c r="AC380" s="2441"/>
      <c r="AD380" s="2441"/>
      <c r="AE380" s="2441"/>
      <c r="AF380" s="2441"/>
      <c r="AG380" s="540"/>
      <c r="AH380" s="540"/>
      <c r="AI380" s="540"/>
      <c r="AJ380" s="540"/>
      <c r="AK380" s="540"/>
      <c r="AL380" s="721"/>
      <c r="AM380" s="571"/>
      <c r="AN380" s="598"/>
      <c r="BS380" s="30"/>
      <c r="BT380" s="30"/>
      <c r="BU380" s="14"/>
      <c r="BV380" s="14"/>
      <c r="BW380" s="14"/>
      <c r="BX380" s="14"/>
      <c r="BY380" s="14"/>
      <c r="BZ380" s="14"/>
      <c r="CA380" s="14"/>
      <c r="CB380" s="14"/>
      <c r="CC380" s="14"/>
    </row>
    <row r="381" spans="1:81" s="551" customFormat="1" ht="12.75" customHeight="1">
      <c r="A381" s="537"/>
      <c r="B381" s="14"/>
      <c r="C381" s="2450" t="s">
        <v>591</v>
      </c>
      <c r="D381" s="2451"/>
      <c r="E381" s="720"/>
      <c r="F381" s="722" t="s">
        <v>1461</v>
      </c>
      <c r="G381" s="604"/>
      <c r="H381" s="604"/>
      <c r="I381" s="604"/>
      <c r="J381" s="604"/>
      <c r="K381" s="604"/>
      <c r="L381" s="604"/>
      <c r="M381" s="604"/>
      <c r="N381" s="604"/>
      <c r="O381" s="604"/>
      <c r="P381" s="604"/>
      <c r="Q381" s="604"/>
      <c r="R381" s="604"/>
      <c r="S381" s="604"/>
      <c r="T381" s="604"/>
      <c r="U381" s="604"/>
      <c r="V381" s="604"/>
      <c r="W381" s="604"/>
      <c r="X381" s="604"/>
      <c r="Y381" s="604"/>
      <c r="Z381" s="604"/>
      <c r="AA381" s="604"/>
      <c r="AB381" s="604"/>
      <c r="AC381" s="604"/>
      <c r="AD381" s="604"/>
      <c r="AF381" s="2452" t="s">
        <v>1462</v>
      </c>
      <c r="AG381" s="2452"/>
      <c r="AH381" s="2452"/>
      <c r="AI381" s="2452"/>
      <c r="AJ381" s="2452"/>
      <c r="AK381" s="2452"/>
      <c r="AL381" s="2453"/>
      <c r="AM381" s="723"/>
      <c r="BS381" s="30"/>
      <c r="BT381" s="30"/>
      <c r="BU381" s="14"/>
      <c r="BV381" s="14"/>
      <c r="BW381" s="14"/>
      <c r="BX381" s="14"/>
      <c r="BY381" s="14"/>
      <c r="BZ381" s="14"/>
      <c r="CA381" s="14"/>
      <c r="CB381" s="14"/>
      <c r="CC381" s="14"/>
    </row>
    <row r="382" spans="1:81" s="551" customFormat="1" ht="12.75" customHeight="1">
      <c r="A382" s="537"/>
      <c r="B382" s="14"/>
      <c r="C382" s="757"/>
      <c r="D382" s="724"/>
      <c r="E382" s="725"/>
      <c r="F382" s="726"/>
      <c r="G382" s="727"/>
      <c r="H382" s="727"/>
      <c r="I382" s="727"/>
      <c r="J382" s="727"/>
      <c r="K382" s="727"/>
      <c r="L382" s="727"/>
      <c r="M382" s="727"/>
      <c r="N382" s="727"/>
      <c r="O382" s="727"/>
      <c r="P382" s="727"/>
      <c r="Q382" s="727"/>
      <c r="R382" s="727"/>
      <c r="S382" s="727"/>
      <c r="T382" s="727"/>
      <c r="U382" s="727"/>
      <c r="V382" s="727"/>
      <c r="W382" s="727"/>
      <c r="X382" s="727"/>
      <c r="Y382" s="727"/>
      <c r="Z382" s="727"/>
      <c r="AA382" s="727"/>
      <c r="AB382" s="727"/>
      <c r="AC382" s="727"/>
      <c r="AD382" s="727"/>
      <c r="AE382" s="728"/>
      <c r="AF382" s="728"/>
      <c r="AG382" s="728"/>
      <c r="AH382" s="728"/>
      <c r="AI382" s="728"/>
      <c r="AJ382" s="728"/>
      <c r="AK382" s="728"/>
      <c r="AL382" s="758"/>
      <c r="AM382" s="730"/>
      <c r="AN382" s="598"/>
      <c r="CC382" s="14"/>
    </row>
    <row r="383" spans="1:81" s="551" customFormat="1" ht="12.75" customHeight="1">
      <c r="A383" s="537"/>
      <c r="B383" s="14"/>
      <c r="C383" s="731"/>
      <c r="D383" s="731"/>
      <c r="E383" s="720"/>
      <c r="F383" s="677"/>
      <c r="G383" s="677"/>
      <c r="H383" s="677"/>
      <c r="I383" s="677"/>
      <c r="J383" s="677"/>
      <c r="K383" s="677"/>
      <c r="L383" s="677"/>
      <c r="M383" s="677"/>
      <c r="N383" s="677"/>
      <c r="O383" s="677"/>
      <c r="P383" s="677"/>
      <c r="Q383" s="677"/>
      <c r="R383" s="677"/>
      <c r="S383" s="677"/>
      <c r="T383" s="677"/>
      <c r="U383" s="677"/>
      <c r="V383" s="677"/>
      <c r="W383" s="677"/>
      <c r="X383" s="677"/>
      <c r="Y383" s="677"/>
      <c r="Z383" s="677"/>
      <c r="AA383" s="677"/>
      <c r="AB383" s="677"/>
      <c r="AC383" s="677"/>
      <c r="AD383" s="677"/>
      <c r="AE383" s="592"/>
      <c r="AF383" s="592"/>
      <c r="AG383" s="592"/>
      <c r="AH383" s="592"/>
      <c r="AI383" s="592"/>
      <c r="AJ383" s="592"/>
      <c r="AK383" s="592"/>
      <c r="AL383" s="592"/>
      <c r="AM383" s="571"/>
      <c r="AN383" s="598"/>
      <c r="BS383" s="30"/>
      <c r="BT383" s="30"/>
      <c r="BU383" s="14"/>
      <c r="BV383" s="14"/>
      <c r="BW383" s="14"/>
      <c r="BX383" s="14"/>
      <c r="BY383" s="14"/>
      <c r="BZ383" s="14"/>
      <c r="CA383" s="14"/>
      <c r="CB383" s="14"/>
      <c r="CC383" s="14"/>
    </row>
    <row r="384" spans="1:81" s="551" customFormat="1" ht="12.75" customHeight="1">
      <c r="A384" s="537"/>
      <c r="B384" s="14"/>
      <c r="C384" s="714"/>
      <c r="D384" s="715"/>
      <c r="E384" s="716" t="s">
        <v>1317</v>
      </c>
      <c r="F384" s="2440" t="s">
        <v>1463</v>
      </c>
      <c r="G384" s="2440"/>
      <c r="H384" s="2440"/>
      <c r="I384" s="2440"/>
      <c r="J384" s="2440"/>
      <c r="K384" s="2440"/>
      <c r="L384" s="2440"/>
      <c r="M384" s="2440"/>
      <c r="N384" s="2440"/>
      <c r="O384" s="2440"/>
      <c r="P384" s="2440"/>
      <c r="Q384" s="2440"/>
      <c r="R384" s="2440"/>
      <c r="S384" s="2440"/>
      <c r="T384" s="2440"/>
      <c r="U384" s="2440"/>
      <c r="V384" s="2440"/>
      <c r="W384" s="2440"/>
      <c r="X384" s="2440"/>
      <c r="Y384" s="2440"/>
      <c r="Z384" s="2440"/>
      <c r="AA384" s="2440"/>
      <c r="AB384" s="2440"/>
      <c r="AC384" s="2440"/>
      <c r="AD384" s="2440"/>
      <c r="AE384" s="2440"/>
      <c r="AF384" s="2440"/>
      <c r="AG384" s="717"/>
      <c r="AH384" s="717"/>
      <c r="AI384" s="717"/>
      <c r="AJ384" s="717"/>
      <c r="AK384" s="717"/>
      <c r="AL384" s="718"/>
      <c r="AM384" s="571"/>
      <c r="AN384" s="598"/>
      <c r="BS384" s="30"/>
      <c r="BT384" s="30"/>
      <c r="BU384" s="14"/>
      <c r="BV384" s="14"/>
      <c r="BW384" s="14"/>
      <c r="BX384" s="14"/>
      <c r="BY384" s="14"/>
      <c r="BZ384" s="14"/>
      <c r="CA384" s="14"/>
      <c r="CB384" s="14"/>
      <c r="CC384" s="14"/>
    </row>
    <row r="385" spans="1:81" s="551" customFormat="1" ht="12.75" customHeight="1">
      <c r="A385" s="537"/>
      <c r="B385" s="14"/>
      <c r="C385" s="732"/>
      <c r="D385" s="14"/>
      <c r="E385" s="692"/>
      <c r="F385" s="2441"/>
      <c r="G385" s="2441"/>
      <c r="H385" s="2441"/>
      <c r="I385" s="2441"/>
      <c r="J385" s="2441"/>
      <c r="K385" s="2441"/>
      <c r="L385" s="2441"/>
      <c r="M385" s="2441"/>
      <c r="N385" s="2441"/>
      <c r="O385" s="2441"/>
      <c r="P385" s="2441"/>
      <c r="Q385" s="2441"/>
      <c r="R385" s="2441"/>
      <c r="S385" s="2441"/>
      <c r="T385" s="2441"/>
      <c r="U385" s="2441"/>
      <c r="V385" s="2441"/>
      <c r="W385" s="2441"/>
      <c r="X385" s="2441"/>
      <c r="Y385" s="2441"/>
      <c r="Z385" s="2441"/>
      <c r="AA385" s="2441"/>
      <c r="AB385" s="2441"/>
      <c r="AC385" s="2441"/>
      <c r="AD385" s="2441"/>
      <c r="AE385" s="2441"/>
      <c r="AF385" s="2441"/>
      <c r="AG385" s="540"/>
      <c r="AH385" s="540"/>
      <c r="AI385" s="540"/>
      <c r="AJ385" s="540"/>
      <c r="AK385" s="540"/>
      <c r="AL385" s="721"/>
      <c r="AM385" s="571"/>
      <c r="AN385" s="598"/>
      <c r="BS385" s="30"/>
      <c r="BT385" s="30"/>
      <c r="BU385" s="14"/>
      <c r="BV385" s="14"/>
      <c r="BW385" s="14"/>
      <c r="BX385" s="14"/>
      <c r="BY385" s="14"/>
      <c r="BZ385" s="14"/>
      <c r="CA385" s="14"/>
      <c r="CB385" s="14"/>
      <c r="CC385" s="14"/>
    </row>
    <row r="386" spans="1:81" s="551" customFormat="1" ht="12.75" customHeight="1">
      <c r="A386" s="537"/>
      <c r="B386" s="14"/>
      <c r="C386" s="732"/>
      <c r="D386" s="14"/>
      <c r="E386" s="692"/>
      <c r="F386" s="2441"/>
      <c r="G386" s="2441"/>
      <c r="H386" s="2441"/>
      <c r="I386" s="2441"/>
      <c r="J386" s="2441"/>
      <c r="K386" s="2441"/>
      <c r="L386" s="2441"/>
      <c r="M386" s="2441"/>
      <c r="N386" s="2441"/>
      <c r="O386" s="2441"/>
      <c r="P386" s="2441"/>
      <c r="Q386" s="2441"/>
      <c r="R386" s="2441"/>
      <c r="S386" s="2441"/>
      <c r="T386" s="2441"/>
      <c r="U386" s="2441"/>
      <c r="V386" s="2441"/>
      <c r="W386" s="2441"/>
      <c r="X386" s="2441"/>
      <c r="Y386" s="2441"/>
      <c r="Z386" s="2441"/>
      <c r="AA386" s="2441"/>
      <c r="AB386" s="2441"/>
      <c r="AC386" s="2441"/>
      <c r="AD386" s="2441"/>
      <c r="AE386" s="2441"/>
      <c r="AF386" s="2441"/>
      <c r="AG386" s="540"/>
      <c r="AH386" s="540"/>
      <c r="AI386" s="540"/>
      <c r="AJ386" s="540"/>
      <c r="AK386" s="540"/>
      <c r="AL386" s="721"/>
      <c r="AM386" s="571"/>
      <c r="AN386" s="598"/>
      <c r="BS386" s="30"/>
      <c r="BT386" s="30"/>
      <c r="BU386" s="14"/>
      <c r="BV386" s="14"/>
      <c r="BW386" s="14"/>
      <c r="BX386" s="14"/>
      <c r="BY386" s="14"/>
      <c r="BZ386" s="14"/>
      <c r="CA386" s="14"/>
      <c r="CB386" s="14"/>
      <c r="CC386" s="14"/>
    </row>
    <row r="387" spans="1:81" s="551" customFormat="1" ht="12.75" customHeight="1">
      <c r="A387" s="537"/>
      <c r="B387" s="14"/>
      <c r="C387" s="732"/>
      <c r="D387" s="14"/>
      <c r="E387" s="692"/>
      <c r="F387" s="2441"/>
      <c r="G387" s="2441"/>
      <c r="H387" s="2441"/>
      <c r="I387" s="2441"/>
      <c r="J387" s="2441"/>
      <c r="K387" s="2441"/>
      <c r="L387" s="2441"/>
      <c r="M387" s="2441"/>
      <c r="N387" s="2441"/>
      <c r="O387" s="2441"/>
      <c r="P387" s="2441"/>
      <c r="Q387" s="2441"/>
      <c r="R387" s="2441"/>
      <c r="S387" s="2441"/>
      <c r="T387" s="2441"/>
      <c r="U387" s="2441"/>
      <c r="V387" s="2441"/>
      <c r="W387" s="2441"/>
      <c r="X387" s="2441"/>
      <c r="Y387" s="2441"/>
      <c r="Z387" s="2441"/>
      <c r="AA387" s="2441"/>
      <c r="AB387" s="2441"/>
      <c r="AC387" s="2441"/>
      <c r="AD387" s="2441"/>
      <c r="AE387" s="2441"/>
      <c r="AF387" s="2441"/>
      <c r="AG387" s="540"/>
      <c r="AH387" s="540"/>
      <c r="AI387" s="540"/>
      <c r="AJ387" s="540"/>
      <c r="AK387" s="540"/>
      <c r="AL387" s="721"/>
      <c r="AM387" s="571"/>
      <c r="AN387" s="598"/>
      <c r="BS387" s="30"/>
      <c r="BT387" s="30"/>
      <c r="BU387" s="14"/>
      <c r="BV387" s="14"/>
      <c r="BW387" s="14"/>
      <c r="BX387" s="14"/>
      <c r="BY387" s="14"/>
      <c r="BZ387" s="14"/>
      <c r="CA387" s="14"/>
      <c r="CB387" s="14"/>
      <c r="CC387" s="14"/>
    </row>
    <row r="388" spans="1:81" s="551" customFormat="1" ht="12.75" customHeight="1">
      <c r="A388" s="537"/>
      <c r="B388" s="14"/>
      <c r="C388" s="732"/>
      <c r="D388" s="14"/>
      <c r="E388" s="692"/>
      <c r="F388" s="2441"/>
      <c r="G388" s="2441"/>
      <c r="H388" s="2441"/>
      <c r="I388" s="2441"/>
      <c r="J388" s="2441"/>
      <c r="K388" s="2441"/>
      <c r="L388" s="2441"/>
      <c r="M388" s="2441"/>
      <c r="N388" s="2441"/>
      <c r="O388" s="2441"/>
      <c r="P388" s="2441"/>
      <c r="Q388" s="2441"/>
      <c r="R388" s="2441"/>
      <c r="S388" s="2441"/>
      <c r="T388" s="2441"/>
      <c r="U388" s="2441"/>
      <c r="V388" s="2441"/>
      <c r="W388" s="2441"/>
      <c r="X388" s="2441"/>
      <c r="Y388" s="2441"/>
      <c r="Z388" s="2441"/>
      <c r="AA388" s="2441"/>
      <c r="AB388" s="2441"/>
      <c r="AC388" s="2441"/>
      <c r="AD388" s="2441"/>
      <c r="AE388" s="2441"/>
      <c r="AF388" s="2441"/>
      <c r="AL388" s="733"/>
      <c r="AN388" s="598"/>
      <c r="BS388" s="30"/>
      <c r="BT388" s="30"/>
      <c r="BU388" s="14"/>
      <c r="BV388" s="14"/>
      <c r="BW388" s="14"/>
      <c r="BX388" s="14"/>
      <c r="BY388" s="14"/>
      <c r="BZ388" s="14"/>
      <c r="CA388" s="14"/>
      <c r="CB388" s="14"/>
      <c r="CC388" s="14"/>
    </row>
    <row r="389" spans="1:81" s="551" customFormat="1" ht="12.75" customHeight="1">
      <c r="A389" s="537"/>
      <c r="B389" s="14"/>
      <c r="C389" s="2450" t="s">
        <v>591</v>
      </c>
      <c r="D389" s="2451"/>
      <c r="E389" s="692"/>
      <c r="F389" s="722" t="s">
        <v>1464</v>
      </c>
      <c r="G389" s="604"/>
      <c r="H389" s="604"/>
      <c r="I389" s="604"/>
      <c r="J389" s="604"/>
      <c r="K389" s="604"/>
      <c r="L389" s="604"/>
      <c r="M389" s="604"/>
      <c r="N389" s="604"/>
      <c r="O389" s="604"/>
      <c r="P389" s="604"/>
      <c r="Q389" s="604"/>
      <c r="R389" s="604"/>
      <c r="S389" s="604"/>
      <c r="T389" s="604"/>
      <c r="U389" s="604"/>
      <c r="V389" s="604"/>
      <c r="W389" s="604"/>
      <c r="X389" s="604"/>
      <c r="Y389" s="604"/>
      <c r="Z389" s="604"/>
      <c r="AA389" s="604"/>
      <c r="AB389" s="604"/>
      <c r="AC389" s="604"/>
      <c r="AD389" s="604"/>
      <c r="AF389" s="2452" t="s">
        <v>1462</v>
      </c>
      <c r="AG389" s="2452"/>
      <c r="AH389" s="2452"/>
      <c r="AI389" s="2452"/>
      <c r="AJ389" s="2452"/>
      <c r="AK389" s="2452"/>
      <c r="AL389" s="2453"/>
      <c r="AM389" s="730"/>
      <c r="AN389" s="598"/>
      <c r="BS389" s="30"/>
      <c r="BT389" s="30"/>
      <c r="BU389" s="14"/>
      <c r="BV389" s="14"/>
      <c r="BW389" s="14"/>
      <c r="BX389" s="14"/>
      <c r="BY389" s="14"/>
      <c r="BZ389" s="14"/>
      <c r="CA389" s="14"/>
      <c r="CB389" s="14"/>
      <c r="CC389" s="14"/>
    </row>
    <row r="390" spans="1:81" s="551" customFormat="1" ht="12.75" customHeight="1">
      <c r="A390" s="537"/>
      <c r="B390" s="14"/>
      <c r="C390" s="741"/>
      <c r="D390" s="734"/>
      <c r="E390" s="735"/>
      <c r="F390" s="736"/>
      <c r="G390" s="737"/>
      <c r="H390" s="737"/>
      <c r="I390" s="737"/>
      <c r="J390" s="737"/>
      <c r="K390" s="737"/>
      <c r="L390" s="737"/>
      <c r="M390" s="737"/>
      <c r="N390" s="737"/>
      <c r="O390" s="737"/>
      <c r="P390" s="737"/>
      <c r="Q390" s="737"/>
      <c r="R390" s="737"/>
      <c r="S390" s="737"/>
      <c r="T390" s="737"/>
      <c r="U390" s="737"/>
      <c r="V390" s="737"/>
      <c r="W390" s="737"/>
      <c r="X390" s="737"/>
      <c r="Y390" s="737"/>
      <c r="Z390" s="737"/>
      <c r="AA390" s="737"/>
      <c r="AB390" s="737"/>
      <c r="AC390" s="737"/>
      <c r="AD390" s="737"/>
      <c r="AE390" s="738"/>
      <c r="AF390" s="584"/>
      <c r="AG390" s="738"/>
      <c r="AH390" s="728"/>
      <c r="AI390" s="728"/>
      <c r="AJ390" s="728"/>
      <c r="AK390" s="728"/>
      <c r="AL390" s="743"/>
      <c r="AM390" s="730"/>
      <c r="AN390" s="598"/>
      <c r="BS390" s="30"/>
      <c r="BT390" s="30"/>
      <c r="BU390" s="14"/>
      <c r="BV390" s="14"/>
      <c r="BW390" s="14"/>
      <c r="BX390" s="14"/>
      <c r="BY390" s="14"/>
      <c r="BZ390" s="14"/>
      <c r="CA390" s="14"/>
      <c r="CB390" s="14"/>
      <c r="CC390" s="14"/>
    </row>
    <row r="391" spans="1:81" s="551" customFormat="1" ht="12.75" customHeight="1">
      <c r="A391" s="537"/>
      <c r="B391" s="14"/>
      <c r="C391" s="14"/>
      <c r="D391" s="14"/>
      <c r="E391" s="692"/>
      <c r="F391" s="677"/>
      <c r="G391" s="677"/>
      <c r="H391" s="677"/>
      <c r="I391" s="677"/>
      <c r="J391" s="677"/>
      <c r="K391" s="677"/>
      <c r="L391" s="677"/>
      <c r="M391" s="677"/>
      <c r="N391" s="677"/>
      <c r="O391" s="677"/>
      <c r="P391" s="677"/>
      <c r="Q391" s="677"/>
      <c r="R391" s="677"/>
      <c r="S391" s="677"/>
      <c r="T391" s="677"/>
      <c r="U391" s="677"/>
      <c r="V391" s="677"/>
      <c r="W391" s="677"/>
      <c r="X391" s="677"/>
      <c r="Y391" s="677"/>
      <c r="Z391" s="677"/>
      <c r="AA391" s="677"/>
      <c r="AB391" s="677"/>
      <c r="AC391" s="677"/>
      <c r="AD391" s="677"/>
      <c r="AE391" s="537"/>
      <c r="AF391" s="540"/>
      <c r="AG391" s="537"/>
      <c r="AM391" s="571"/>
      <c r="AN391" s="598"/>
      <c r="BS391" s="30"/>
      <c r="BT391" s="30"/>
      <c r="BU391" s="14"/>
      <c r="BV391" s="14"/>
      <c r="BW391" s="14"/>
      <c r="BX391" s="14"/>
      <c r="BY391" s="14"/>
      <c r="BZ391" s="14"/>
      <c r="CA391" s="14"/>
      <c r="CB391" s="14"/>
      <c r="CC391" s="14"/>
    </row>
    <row r="392" spans="1:81" s="551" customFormat="1" ht="12.75" customHeight="1">
      <c r="A392" s="537"/>
      <c r="B392" s="14"/>
      <c r="C392" s="714"/>
      <c r="D392" s="715"/>
      <c r="E392" s="716" t="s">
        <v>1320</v>
      </c>
      <c r="F392" s="2440" t="s">
        <v>1465</v>
      </c>
      <c r="G392" s="2440"/>
      <c r="H392" s="2440"/>
      <c r="I392" s="2440"/>
      <c r="J392" s="2440"/>
      <c r="K392" s="2440"/>
      <c r="L392" s="2440"/>
      <c r="M392" s="2440"/>
      <c r="N392" s="2440"/>
      <c r="O392" s="2440"/>
      <c r="P392" s="2440"/>
      <c r="Q392" s="2440"/>
      <c r="R392" s="2440"/>
      <c r="S392" s="2440"/>
      <c r="T392" s="2440"/>
      <c r="U392" s="2440"/>
      <c r="V392" s="2440"/>
      <c r="W392" s="2440"/>
      <c r="X392" s="2440"/>
      <c r="Y392" s="2440"/>
      <c r="Z392" s="2440"/>
      <c r="AA392" s="2440"/>
      <c r="AB392" s="2440"/>
      <c r="AC392" s="2440"/>
      <c r="AD392" s="2440"/>
      <c r="AE392" s="2440"/>
      <c r="AF392" s="2440"/>
      <c r="AG392" s="717"/>
      <c r="AH392" s="717"/>
      <c r="AI392" s="717"/>
      <c r="AJ392" s="717"/>
      <c r="AK392" s="717"/>
      <c r="AL392" s="718"/>
      <c r="AM392" s="571"/>
      <c r="AN392" s="598"/>
      <c r="BS392" s="571"/>
      <c r="BT392" s="571"/>
      <c r="BU392" s="571"/>
      <c r="BV392" s="571"/>
      <c r="BW392" s="571"/>
      <c r="BX392" s="571"/>
      <c r="BY392" s="571"/>
      <c r="BZ392" s="571"/>
      <c r="CA392" s="571"/>
      <c r="CB392" s="571"/>
      <c r="CC392" s="571"/>
    </row>
    <row r="393" spans="1:81" s="551" customFormat="1" ht="12.75" customHeight="1">
      <c r="A393" s="537"/>
      <c r="B393" s="14"/>
      <c r="C393" s="732"/>
      <c r="D393" s="14"/>
      <c r="E393" s="692"/>
      <c r="F393" s="2441"/>
      <c r="G393" s="2441"/>
      <c r="H393" s="2441"/>
      <c r="I393" s="2441"/>
      <c r="J393" s="2441"/>
      <c r="K393" s="2441"/>
      <c r="L393" s="2441"/>
      <c r="M393" s="2441"/>
      <c r="N393" s="2441"/>
      <c r="O393" s="2441"/>
      <c r="P393" s="2441"/>
      <c r="Q393" s="2441"/>
      <c r="R393" s="2441"/>
      <c r="S393" s="2441"/>
      <c r="T393" s="2441"/>
      <c r="U393" s="2441"/>
      <c r="V393" s="2441"/>
      <c r="W393" s="2441"/>
      <c r="X393" s="2441"/>
      <c r="Y393" s="2441"/>
      <c r="Z393" s="2441"/>
      <c r="AA393" s="2441"/>
      <c r="AB393" s="2441"/>
      <c r="AC393" s="2441"/>
      <c r="AD393" s="2441"/>
      <c r="AE393" s="2441"/>
      <c r="AF393" s="2441"/>
      <c r="AG393" s="540"/>
      <c r="AH393" s="540"/>
      <c r="AI393" s="540"/>
      <c r="AJ393" s="540"/>
      <c r="AK393" s="540"/>
      <c r="AL393" s="721"/>
      <c r="AM393" s="571"/>
      <c r="AN393" s="598"/>
      <c r="BS393" s="571"/>
      <c r="BT393" s="571"/>
      <c r="BU393" s="571"/>
      <c r="BV393" s="571"/>
      <c r="BW393" s="571"/>
      <c r="BX393" s="571"/>
      <c r="BY393" s="571"/>
      <c r="BZ393" s="571"/>
      <c r="CA393" s="571"/>
      <c r="CB393" s="571"/>
      <c r="CC393" s="571"/>
    </row>
    <row r="394" spans="1:81" s="551" customFormat="1" ht="12.75" customHeight="1">
      <c r="A394" s="537"/>
      <c r="B394" s="14"/>
      <c r="C394" s="732"/>
      <c r="D394" s="14"/>
      <c r="E394" s="692"/>
      <c r="F394" s="2441"/>
      <c r="G394" s="2441"/>
      <c r="H394" s="2441"/>
      <c r="I394" s="2441"/>
      <c r="J394" s="2441"/>
      <c r="K394" s="2441"/>
      <c r="L394" s="2441"/>
      <c r="M394" s="2441"/>
      <c r="N394" s="2441"/>
      <c r="O394" s="2441"/>
      <c r="P394" s="2441"/>
      <c r="Q394" s="2441"/>
      <c r="R394" s="2441"/>
      <c r="S394" s="2441"/>
      <c r="T394" s="2441"/>
      <c r="U394" s="2441"/>
      <c r="V394" s="2441"/>
      <c r="W394" s="2441"/>
      <c r="X394" s="2441"/>
      <c r="Y394" s="2441"/>
      <c r="Z394" s="2441"/>
      <c r="AA394" s="2441"/>
      <c r="AB394" s="2441"/>
      <c r="AC394" s="2441"/>
      <c r="AD394" s="2441"/>
      <c r="AE394" s="2441"/>
      <c r="AF394" s="2441"/>
      <c r="AG394" s="540"/>
      <c r="AH394" s="540"/>
      <c r="AI394" s="540"/>
      <c r="AJ394" s="540"/>
      <c r="AK394" s="540"/>
      <c r="AL394" s="721"/>
      <c r="AM394" s="571"/>
      <c r="AN394" s="598"/>
      <c r="BS394" s="571"/>
      <c r="BT394" s="571"/>
      <c r="BU394" s="571"/>
      <c r="BV394" s="571"/>
      <c r="BW394" s="571"/>
      <c r="BX394" s="571"/>
      <c r="BY394" s="571"/>
      <c r="BZ394" s="571"/>
      <c r="CA394" s="571"/>
      <c r="CB394" s="571"/>
      <c r="CC394" s="571"/>
    </row>
    <row r="395" spans="1:81" s="551" customFormat="1" ht="12.75" customHeight="1">
      <c r="A395" s="537"/>
      <c r="B395" s="14"/>
      <c r="C395" s="732"/>
      <c r="D395" s="14"/>
      <c r="E395" s="692"/>
      <c r="F395" s="2441"/>
      <c r="G395" s="2441"/>
      <c r="H395" s="2441"/>
      <c r="I395" s="2441"/>
      <c r="J395" s="2441"/>
      <c r="K395" s="2441"/>
      <c r="L395" s="2441"/>
      <c r="M395" s="2441"/>
      <c r="N395" s="2441"/>
      <c r="O395" s="2441"/>
      <c r="P395" s="2441"/>
      <c r="Q395" s="2441"/>
      <c r="R395" s="2441"/>
      <c r="S395" s="2441"/>
      <c r="T395" s="2441"/>
      <c r="U395" s="2441"/>
      <c r="V395" s="2441"/>
      <c r="W395" s="2441"/>
      <c r="X395" s="2441"/>
      <c r="Y395" s="2441"/>
      <c r="Z395" s="2441"/>
      <c r="AA395" s="2441"/>
      <c r="AB395" s="2441"/>
      <c r="AC395" s="2441"/>
      <c r="AD395" s="2441"/>
      <c r="AE395" s="2441"/>
      <c r="AF395" s="2441"/>
      <c r="AG395" s="540"/>
      <c r="AH395" s="540"/>
      <c r="AI395" s="540"/>
      <c r="AJ395" s="540"/>
      <c r="AK395" s="540"/>
      <c r="AL395" s="721"/>
      <c r="AM395" s="571"/>
      <c r="AN395" s="598"/>
      <c r="BS395" s="571"/>
      <c r="BT395" s="571"/>
      <c r="BU395" s="571"/>
      <c r="BV395" s="571"/>
      <c r="BW395" s="571"/>
      <c r="BX395" s="571"/>
      <c r="BY395" s="571"/>
      <c r="BZ395" s="571"/>
      <c r="CA395" s="571"/>
      <c r="CB395" s="571"/>
      <c r="CC395" s="571"/>
    </row>
    <row r="396" spans="1:81" s="551" customFormat="1" ht="12.75" customHeight="1">
      <c r="A396" s="537"/>
      <c r="B396" s="14"/>
      <c r="C396" s="732"/>
      <c r="D396" s="14"/>
      <c r="E396" s="692"/>
      <c r="F396" s="2441"/>
      <c r="G396" s="2441"/>
      <c r="H396" s="2441"/>
      <c r="I396" s="2441"/>
      <c r="J396" s="2441"/>
      <c r="K396" s="2441"/>
      <c r="L396" s="2441"/>
      <c r="M396" s="2441"/>
      <c r="N396" s="2441"/>
      <c r="O396" s="2441"/>
      <c r="P396" s="2441"/>
      <c r="Q396" s="2441"/>
      <c r="R396" s="2441"/>
      <c r="S396" s="2441"/>
      <c r="T396" s="2441"/>
      <c r="U396" s="2441"/>
      <c r="V396" s="2441"/>
      <c r="W396" s="2441"/>
      <c r="X396" s="2441"/>
      <c r="Y396" s="2441"/>
      <c r="Z396" s="2441"/>
      <c r="AA396" s="2441"/>
      <c r="AB396" s="2441"/>
      <c r="AC396" s="2441"/>
      <c r="AD396" s="2441"/>
      <c r="AE396" s="2441"/>
      <c r="AF396" s="2441"/>
      <c r="AG396" s="540"/>
      <c r="AH396" s="540"/>
      <c r="AI396" s="540"/>
      <c r="AJ396" s="540"/>
      <c r="AK396" s="540"/>
      <c r="AL396" s="721"/>
      <c r="AM396" s="571"/>
      <c r="AN396" s="598"/>
      <c r="BS396" s="571"/>
      <c r="BT396" s="571"/>
      <c r="BU396" s="571"/>
      <c r="BV396" s="571"/>
      <c r="BW396" s="571"/>
      <c r="BX396" s="571"/>
      <c r="BY396" s="571"/>
      <c r="BZ396" s="571"/>
      <c r="CA396" s="571"/>
      <c r="CB396" s="571"/>
      <c r="CC396" s="571"/>
    </row>
    <row r="397" spans="1:81" s="551" customFormat="1" ht="12.75" customHeight="1">
      <c r="A397" s="537"/>
      <c r="B397" s="14"/>
      <c r="C397" s="2450" t="s">
        <v>545</v>
      </c>
      <c r="D397" s="2451"/>
      <c r="E397" s="692"/>
      <c r="F397" s="722" t="s">
        <v>1466</v>
      </c>
      <c r="G397" s="604"/>
      <c r="H397" s="604"/>
      <c r="I397" s="604"/>
      <c r="J397" s="604"/>
      <c r="K397" s="604"/>
      <c r="L397" s="604"/>
      <c r="M397" s="604"/>
      <c r="N397" s="604"/>
      <c r="O397" s="604"/>
      <c r="P397" s="604"/>
      <c r="Q397" s="604"/>
      <c r="R397" s="604"/>
      <c r="S397" s="604"/>
      <c r="T397" s="604"/>
      <c r="U397" s="604"/>
      <c r="V397" s="604"/>
      <c r="W397" s="604"/>
      <c r="X397" s="604"/>
      <c r="Y397" s="604"/>
      <c r="Z397" s="604"/>
      <c r="AA397" s="604"/>
      <c r="AB397" s="604"/>
      <c r="AC397" s="604"/>
      <c r="AD397" s="604"/>
      <c r="AF397" s="2452" t="s">
        <v>1467</v>
      </c>
      <c r="AG397" s="2452"/>
      <c r="AH397" s="2452"/>
      <c r="AI397" s="2452"/>
      <c r="AJ397" s="2452"/>
      <c r="AK397" s="2452"/>
      <c r="AL397" s="2453"/>
      <c r="AM397" s="723"/>
      <c r="BS397" s="571"/>
      <c r="BT397" s="571"/>
      <c r="BU397" s="571"/>
      <c r="BV397" s="571"/>
      <c r="BW397" s="571"/>
      <c r="BX397" s="571"/>
      <c r="BY397" s="571"/>
      <c r="BZ397" s="571"/>
      <c r="CA397" s="571"/>
      <c r="CB397" s="571"/>
      <c r="CC397" s="571"/>
    </row>
    <row r="398" spans="1:81" s="551" customFormat="1" ht="12.75" customHeight="1">
      <c r="A398" s="537"/>
      <c r="B398" s="14"/>
      <c r="C398" s="732"/>
      <c r="D398" s="14"/>
      <c r="E398" s="692"/>
      <c r="F398" s="574"/>
      <c r="G398" s="574"/>
      <c r="H398" s="574"/>
      <c r="I398" s="574"/>
      <c r="J398" s="574"/>
      <c r="K398" s="574"/>
      <c r="L398" s="574"/>
      <c r="M398" s="574"/>
      <c r="N398" s="574"/>
      <c r="O398" s="574"/>
      <c r="P398" s="574"/>
      <c r="Q398" s="574"/>
      <c r="R398" s="574"/>
      <c r="S398" s="574"/>
      <c r="T398" s="574"/>
      <c r="U398" s="574"/>
      <c r="V398" s="574"/>
      <c r="W398" s="574"/>
      <c r="X398" s="574"/>
      <c r="Y398" s="574"/>
      <c r="Z398" s="574"/>
      <c r="AA398" s="574"/>
      <c r="AB398" s="574"/>
      <c r="AC398" s="574"/>
      <c r="AD398" s="574"/>
      <c r="AL398" s="733"/>
      <c r="AM398" s="571"/>
      <c r="AN398" s="598"/>
      <c r="BS398" s="571"/>
      <c r="BT398" s="571"/>
      <c r="BU398" s="571"/>
      <c r="BV398" s="571"/>
      <c r="BW398" s="571"/>
      <c r="BX398" s="571"/>
      <c r="BY398" s="571"/>
      <c r="BZ398" s="571"/>
      <c r="CA398" s="571"/>
      <c r="CB398" s="571"/>
      <c r="CC398" s="571"/>
    </row>
    <row r="399" spans="1:81" s="551" customFormat="1" ht="12.75" customHeight="1">
      <c r="A399" s="537"/>
      <c r="B399" s="14"/>
      <c r="C399" s="2450" t="s">
        <v>591</v>
      </c>
      <c r="D399" s="2451"/>
      <c r="E399" s="692"/>
      <c r="F399" s="739" t="s">
        <v>1468</v>
      </c>
      <c r="G399" s="574"/>
      <c r="H399" s="574"/>
      <c r="I399" s="574"/>
      <c r="J399" s="574"/>
      <c r="K399" s="574"/>
      <c r="L399" s="574"/>
      <c r="M399" s="574"/>
      <c r="N399" s="574"/>
      <c r="O399" s="574"/>
      <c r="P399" s="574"/>
      <c r="Q399" s="574"/>
      <c r="R399" s="574"/>
      <c r="S399" s="574"/>
      <c r="T399" s="574"/>
      <c r="U399" s="574"/>
      <c r="V399" s="574"/>
      <c r="W399" s="574"/>
      <c r="X399" s="574"/>
      <c r="Y399" s="574"/>
      <c r="Z399" s="574"/>
      <c r="AA399" s="574"/>
      <c r="AB399" s="574"/>
      <c r="AC399" s="574"/>
      <c r="AD399" s="574"/>
      <c r="AF399" s="2452" t="s">
        <v>1462</v>
      </c>
      <c r="AG399" s="2452"/>
      <c r="AH399" s="2452"/>
      <c r="AI399" s="2452"/>
      <c r="AJ399" s="2452"/>
      <c r="AK399" s="2452"/>
      <c r="AL399" s="2453"/>
      <c r="AM399" s="571"/>
      <c r="AN399" s="598"/>
      <c r="BS399" s="571"/>
      <c r="BT399" s="571"/>
      <c r="BU399" s="571"/>
    </row>
    <row r="400" spans="1:81" s="551" customFormat="1" ht="12.75" customHeight="1">
      <c r="A400" s="537"/>
      <c r="B400" s="14"/>
      <c r="C400" s="740"/>
      <c r="E400" s="692"/>
      <c r="G400" s="574"/>
      <c r="H400" s="574"/>
      <c r="I400" s="574"/>
      <c r="J400" s="574"/>
      <c r="K400" s="574"/>
      <c r="L400" s="574"/>
      <c r="M400" s="574"/>
      <c r="N400" s="574"/>
      <c r="O400" s="574"/>
      <c r="P400" s="574"/>
      <c r="Q400" s="574"/>
      <c r="R400" s="574"/>
      <c r="S400" s="574"/>
      <c r="T400" s="574"/>
      <c r="U400" s="574"/>
      <c r="V400" s="574"/>
      <c r="W400" s="574"/>
      <c r="X400" s="574"/>
      <c r="Y400" s="574"/>
      <c r="Z400" s="574"/>
      <c r="AA400" s="574"/>
      <c r="AB400" s="574"/>
      <c r="AC400" s="574"/>
      <c r="AD400" s="574"/>
      <c r="AL400" s="733"/>
      <c r="AM400" s="571"/>
      <c r="AN400" s="598"/>
      <c r="BS400" s="571"/>
      <c r="BT400" s="571"/>
      <c r="BU400" s="571"/>
    </row>
    <row r="401" spans="1:81" s="551" customFormat="1" ht="12.75" customHeight="1">
      <c r="A401" s="537"/>
      <c r="B401" s="14"/>
      <c r="C401" s="741"/>
      <c r="D401" s="734"/>
      <c r="E401" s="735"/>
      <c r="F401" s="742" t="s">
        <v>1469</v>
      </c>
      <c r="G401" s="736"/>
      <c r="H401" s="736"/>
      <c r="I401" s="736"/>
      <c r="J401" s="736"/>
      <c r="K401" s="736"/>
      <c r="L401" s="736"/>
      <c r="M401" s="736"/>
      <c r="N401" s="736"/>
      <c r="O401" s="736"/>
      <c r="P401" s="736"/>
      <c r="Q401" s="736"/>
      <c r="R401" s="736"/>
      <c r="S401" s="736"/>
      <c r="T401" s="736"/>
      <c r="U401" s="736"/>
      <c r="V401" s="736"/>
      <c r="W401" s="736"/>
      <c r="X401" s="736"/>
      <c r="Y401" s="736"/>
      <c r="Z401" s="736"/>
      <c r="AA401" s="736"/>
      <c r="AB401" s="736"/>
      <c r="AC401" s="736"/>
      <c r="AD401" s="736"/>
      <c r="AE401" s="738"/>
      <c r="AF401" s="584"/>
      <c r="AG401" s="738"/>
      <c r="AH401" s="728"/>
      <c r="AI401" s="728"/>
      <c r="AJ401" s="728"/>
      <c r="AK401" s="728"/>
      <c r="AL401" s="743"/>
      <c r="AM401" s="571"/>
      <c r="AN401" s="598"/>
      <c r="BS401" s="571"/>
      <c r="BT401" s="571"/>
      <c r="BU401" s="571"/>
    </row>
    <row r="402" spans="1:81" s="551" customFormat="1" ht="12.75" customHeight="1">
      <c r="A402" s="537"/>
      <c r="B402" s="14"/>
      <c r="C402" s="14"/>
      <c r="D402" s="14"/>
      <c r="E402" s="692"/>
      <c r="F402" s="677"/>
      <c r="G402" s="677"/>
      <c r="H402" s="677"/>
      <c r="I402" s="677"/>
      <c r="J402" s="677"/>
      <c r="K402" s="677"/>
      <c r="L402" s="677"/>
      <c r="M402" s="677"/>
      <c r="N402" s="677"/>
      <c r="O402" s="677"/>
      <c r="P402" s="677"/>
      <c r="Q402" s="677"/>
      <c r="R402" s="677"/>
      <c r="S402" s="677"/>
      <c r="T402" s="677"/>
      <c r="U402" s="677"/>
      <c r="V402" s="677"/>
      <c r="W402" s="677"/>
      <c r="X402" s="677"/>
      <c r="Y402" s="677"/>
      <c r="Z402" s="677"/>
      <c r="AA402" s="677"/>
      <c r="AB402" s="677"/>
      <c r="AC402" s="677"/>
      <c r="AD402" s="677"/>
      <c r="AE402" s="537"/>
      <c r="AF402" s="540"/>
      <c r="AG402" s="537"/>
      <c r="AM402" s="571"/>
      <c r="AN402" s="598"/>
      <c r="BS402" s="571"/>
      <c r="BT402" s="571"/>
      <c r="BU402" s="571"/>
    </row>
    <row r="403" spans="1:81" s="551" customFormat="1" ht="12.75" customHeight="1">
      <c r="A403" s="537"/>
      <c r="B403" s="14"/>
      <c r="C403" s="714"/>
      <c r="D403" s="715"/>
      <c r="E403" s="716" t="s">
        <v>1470</v>
      </c>
      <c r="F403" s="2440" t="s">
        <v>1471</v>
      </c>
      <c r="G403" s="2440"/>
      <c r="H403" s="2440"/>
      <c r="I403" s="2440"/>
      <c r="J403" s="2440"/>
      <c r="K403" s="2440"/>
      <c r="L403" s="2440"/>
      <c r="M403" s="2440"/>
      <c r="N403" s="2440"/>
      <c r="O403" s="2440"/>
      <c r="P403" s="2440"/>
      <c r="Q403" s="2440"/>
      <c r="R403" s="2440"/>
      <c r="S403" s="2440"/>
      <c r="T403" s="2440"/>
      <c r="U403" s="2440"/>
      <c r="V403" s="2440"/>
      <c r="W403" s="2440"/>
      <c r="X403" s="2440"/>
      <c r="Y403" s="2440"/>
      <c r="Z403" s="2440"/>
      <c r="AA403" s="2440"/>
      <c r="AB403" s="2440"/>
      <c r="AC403" s="2440"/>
      <c r="AD403" s="2440"/>
      <c r="AE403" s="2440"/>
      <c r="AF403" s="2440"/>
      <c r="AG403" s="717"/>
      <c r="AH403" s="717"/>
      <c r="AI403" s="717"/>
      <c r="AJ403" s="717"/>
      <c r="AK403" s="717"/>
      <c r="AL403" s="718"/>
      <c r="AM403" s="571"/>
      <c r="AN403" s="598"/>
      <c r="BS403" s="571"/>
      <c r="BT403" s="571"/>
      <c r="BU403" s="571"/>
      <c r="BV403" s="571"/>
      <c r="BW403" s="571"/>
      <c r="BX403" s="571"/>
      <c r="BY403" s="571"/>
      <c r="BZ403" s="571"/>
      <c r="CA403" s="571"/>
      <c r="CB403" s="571"/>
      <c r="CC403" s="571"/>
    </row>
    <row r="404" spans="1:81" s="551" customFormat="1" ht="12.75" customHeight="1">
      <c r="A404" s="537"/>
      <c r="B404" s="14"/>
      <c r="C404" s="732"/>
      <c r="D404" s="14"/>
      <c r="E404" s="692"/>
      <c r="F404" s="2441"/>
      <c r="G404" s="2441"/>
      <c r="H404" s="2441"/>
      <c r="I404" s="2441"/>
      <c r="J404" s="2441"/>
      <c r="K404" s="2441"/>
      <c r="L404" s="2441"/>
      <c r="M404" s="2441"/>
      <c r="N404" s="2441"/>
      <c r="O404" s="2441"/>
      <c r="P404" s="2441"/>
      <c r="Q404" s="2441"/>
      <c r="R404" s="2441"/>
      <c r="S404" s="2441"/>
      <c r="T404" s="2441"/>
      <c r="U404" s="2441"/>
      <c r="V404" s="2441"/>
      <c r="W404" s="2441"/>
      <c r="X404" s="2441"/>
      <c r="Y404" s="2441"/>
      <c r="Z404" s="2441"/>
      <c r="AA404" s="2441"/>
      <c r="AB404" s="2441"/>
      <c r="AC404" s="2441"/>
      <c r="AD404" s="2441"/>
      <c r="AE404" s="2441"/>
      <c r="AF404" s="2441"/>
      <c r="AG404" s="540"/>
      <c r="AH404" s="540"/>
      <c r="AI404" s="540"/>
      <c r="AJ404" s="540"/>
      <c r="AK404" s="540"/>
      <c r="AL404" s="721"/>
      <c r="AM404" s="571"/>
      <c r="AN404" s="598"/>
      <c r="BS404" s="571"/>
      <c r="BT404" s="571"/>
      <c r="BU404" s="571"/>
      <c r="BV404" s="571"/>
      <c r="BW404" s="571"/>
      <c r="BX404" s="571"/>
      <c r="BY404" s="571"/>
      <c r="BZ404" s="571"/>
      <c r="CA404" s="571"/>
      <c r="CB404" s="571"/>
      <c r="CC404" s="571"/>
    </row>
    <row r="405" spans="1:81">
      <c r="A405" s="537"/>
      <c r="C405" s="732"/>
      <c r="E405" s="692"/>
      <c r="F405" s="2441"/>
      <c r="G405" s="2441"/>
      <c r="H405" s="2441"/>
      <c r="I405" s="2441"/>
      <c r="J405" s="2441"/>
      <c r="K405" s="2441"/>
      <c r="L405" s="2441"/>
      <c r="M405" s="2441"/>
      <c r="N405" s="2441"/>
      <c r="O405" s="2441"/>
      <c r="P405" s="2441"/>
      <c r="Q405" s="2441"/>
      <c r="R405" s="2441"/>
      <c r="S405" s="2441"/>
      <c r="T405" s="2441"/>
      <c r="U405" s="2441"/>
      <c r="V405" s="2441"/>
      <c r="W405" s="2441"/>
      <c r="X405" s="2441"/>
      <c r="Y405" s="2441"/>
      <c r="Z405" s="2441"/>
      <c r="AA405" s="2441"/>
      <c r="AB405" s="2441"/>
      <c r="AC405" s="2441"/>
      <c r="AD405" s="2441"/>
      <c r="AE405" s="2441"/>
      <c r="AF405" s="2441"/>
      <c r="AG405" s="540"/>
      <c r="AH405" s="540"/>
      <c r="AI405" s="540"/>
      <c r="AJ405" s="540"/>
      <c r="AK405" s="540"/>
      <c r="AL405" s="721"/>
      <c r="AM405" s="571"/>
      <c r="BS405" s="571"/>
      <c r="BT405" s="571"/>
      <c r="BU405" s="571"/>
      <c r="BV405" s="571"/>
      <c r="BW405" s="571"/>
      <c r="BX405" s="571"/>
      <c r="BY405" s="571"/>
      <c r="BZ405" s="571"/>
      <c r="CA405" s="571"/>
      <c r="CB405" s="571"/>
      <c r="CC405" s="571"/>
    </row>
    <row r="406" spans="1:81" s="551" customFormat="1" ht="12.75" customHeight="1">
      <c r="A406" s="537"/>
      <c r="B406" s="14"/>
      <c r="C406" s="732"/>
      <c r="D406" s="14"/>
      <c r="E406" s="692"/>
      <c r="F406" s="2441"/>
      <c r="G406" s="2441"/>
      <c r="H406" s="2441"/>
      <c r="I406" s="2441"/>
      <c r="J406" s="2441"/>
      <c r="K406" s="2441"/>
      <c r="L406" s="2441"/>
      <c r="M406" s="2441"/>
      <c r="N406" s="2441"/>
      <c r="O406" s="2441"/>
      <c r="P406" s="2441"/>
      <c r="Q406" s="2441"/>
      <c r="R406" s="2441"/>
      <c r="S406" s="2441"/>
      <c r="T406" s="2441"/>
      <c r="U406" s="2441"/>
      <c r="V406" s="2441"/>
      <c r="W406" s="2441"/>
      <c r="X406" s="2441"/>
      <c r="Y406" s="2441"/>
      <c r="Z406" s="2441"/>
      <c r="AA406" s="2441"/>
      <c r="AB406" s="2441"/>
      <c r="AC406" s="2441"/>
      <c r="AD406" s="2441"/>
      <c r="AE406" s="2441"/>
      <c r="AF406" s="2441"/>
      <c r="AG406" s="540"/>
      <c r="AH406" s="540"/>
      <c r="AI406" s="540"/>
      <c r="AJ406" s="540"/>
      <c r="AK406" s="540"/>
      <c r="AL406" s="721"/>
      <c r="AM406" s="571"/>
      <c r="AN406" s="598"/>
      <c r="BS406" s="571"/>
      <c r="BT406" s="571"/>
      <c r="BY406" s="571"/>
      <c r="BZ406" s="571"/>
      <c r="CA406" s="571"/>
      <c r="CB406" s="571"/>
      <c r="CC406" s="571"/>
    </row>
    <row r="407" spans="1:81" s="551" customFormat="1" ht="12.75" customHeight="1">
      <c r="A407" s="537"/>
      <c r="B407" s="14"/>
      <c r="C407" s="2450" t="s">
        <v>591</v>
      </c>
      <c r="D407" s="2451"/>
      <c r="E407" s="692"/>
      <c r="F407" s="722" t="s">
        <v>1472</v>
      </c>
      <c r="G407" s="604"/>
      <c r="H407" s="604"/>
      <c r="I407" s="604"/>
      <c r="J407" s="604"/>
      <c r="K407" s="604"/>
      <c r="L407" s="604"/>
      <c r="M407" s="604"/>
      <c r="N407" s="604"/>
      <c r="O407" s="604"/>
      <c r="P407" s="604"/>
      <c r="Q407" s="604"/>
      <c r="R407" s="604"/>
      <c r="S407" s="604"/>
      <c r="T407" s="604"/>
      <c r="U407" s="604"/>
      <c r="V407" s="604"/>
      <c r="W407" s="604"/>
      <c r="X407" s="604"/>
      <c r="Y407" s="604"/>
      <c r="Z407" s="604"/>
      <c r="AA407" s="604"/>
      <c r="AB407" s="604"/>
      <c r="AC407" s="604"/>
      <c r="AD407" s="604"/>
      <c r="AF407" s="2452" t="s">
        <v>1462</v>
      </c>
      <c r="AG407" s="2452"/>
      <c r="AH407" s="2452"/>
      <c r="AI407" s="2452"/>
      <c r="AJ407" s="2452"/>
      <c r="AK407" s="2452"/>
      <c r="AL407" s="2453"/>
      <c r="AM407" s="571"/>
      <c r="AN407" s="598"/>
      <c r="BS407" s="571"/>
      <c r="BT407" s="571"/>
      <c r="BY407" s="571"/>
      <c r="BZ407" s="571"/>
      <c r="CA407" s="571"/>
      <c r="CB407" s="571"/>
      <c r="CC407" s="571"/>
    </row>
    <row r="408" spans="1:81" s="551" customFormat="1" ht="12.75" customHeight="1">
      <c r="A408" s="537"/>
      <c r="B408" s="14"/>
      <c r="C408" s="732"/>
      <c r="D408" s="14"/>
      <c r="E408" s="692"/>
      <c r="G408" s="604"/>
      <c r="H408" s="604"/>
      <c r="I408" s="604"/>
      <c r="J408" s="604"/>
      <c r="K408" s="604"/>
      <c r="L408" s="604"/>
      <c r="M408" s="604"/>
      <c r="N408" s="604"/>
      <c r="O408" s="604"/>
      <c r="P408" s="604"/>
      <c r="Q408" s="604"/>
      <c r="R408" s="604"/>
      <c r="S408" s="604"/>
      <c r="T408" s="604"/>
      <c r="U408" s="604"/>
      <c r="V408" s="604"/>
      <c r="W408" s="604"/>
      <c r="X408" s="604"/>
      <c r="Y408" s="604"/>
      <c r="Z408" s="604"/>
      <c r="AA408" s="604"/>
      <c r="AB408" s="604"/>
      <c r="AC408" s="604"/>
      <c r="AD408" s="604"/>
      <c r="AL408" s="733"/>
      <c r="AM408" s="571"/>
      <c r="AN408" s="598"/>
      <c r="BS408" s="571"/>
      <c r="BT408" s="571"/>
      <c r="BY408" s="571"/>
      <c r="BZ408" s="571"/>
      <c r="CA408" s="571"/>
      <c r="CB408" s="571"/>
      <c r="CC408" s="571"/>
    </row>
    <row r="409" spans="1:81" s="551" customFormat="1" ht="12.75" customHeight="1">
      <c r="A409" s="537"/>
      <c r="B409" s="14"/>
      <c r="C409" s="2450" t="s">
        <v>545</v>
      </c>
      <c r="D409" s="2451"/>
      <c r="E409" s="720"/>
      <c r="F409" s="722" t="s">
        <v>1473</v>
      </c>
      <c r="G409" s="604"/>
      <c r="H409" s="604"/>
      <c r="I409" s="604"/>
      <c r="J409" s="604"/>
      <c r="K409" s="604"/>
      <c r="L409" s="604"/>
      <c r="M409" s="604"/>
      <c r="N409" s="604"/>
      <c r="O409" s="604"/>
      <c r="P409" s="604"/>
      <c r="Q409" s="604"/>
      <c r="R409" s="604"/>
      <c r="S409" s="604"/>
      <c r="T409" s="604"/>
      <c r="U409" s="604"/>
      <c r="V409" s="604"/>
      <c r="W409" s="604"/>
      <c r="X409" s="604"/>
      <c r="Y409" s="604"/>
      <c r="Z409" s="604"/>
      <c r="AA409" s="604"/>
      <c r="AB409" s="604"/>
      <c r="AC409" s="604"/>
      <c r="AD409" s="604"/>
      <c r="AF409" s="2452" t="s">
        <v>1474</v>
      </c>
      <c r="AG409" s="2452"/>
      <c r="AH409" s="2452"/>
      <c r="AI409" s="2452"/>
      <c r="AJ409" s="2452"/>
      <c r="AK409" s="2452"/>
      <c r="AL409" s="2453"/>
      <c r="AM409" s="571"/>
      <c r="AN409" s="598"/>
      <c r="BS409" s="571"/>
      <c r="BT409" s="571"/>
      <c r="BY409" s="571"/>
      <c r="BZ409" s="571"/>
      <c r="CA409" s="571"/>
      <c r="CB409" s="571"/>
      <c r="CC409" s="571"/>
    </row>
    <row r="410" spans="1:81" s="551" customFormat="1" ht="12.75" customHeight="1">
      <c r="A410" s="537"/>
      <c r="B410" s="14"/>
      <c r="C410" s="744"/>
      <c r="D410" s="728"/>
      <c r="E410" s="725"/>
      <c r="F410" s="728"/>
      <c r="G410" s="727"/>
      <c r="H410" s="727"/>
      <c r="I410" s="727"/>
      <c r="J410" s="727"/>
      <c r="K410" s="727"/>
      <c r="L410" s="727"/>
      <c r="M410" s="727"/>
      <c r="N410" s="727"/>
      <c r="O410" s="727"/>
      <c r="P410" s="727"/>
      <c r="Q410" s="727"/>
      <c r="R410" s="727"/>
      <c r="S410" s="727"/>
      <c r="T410" s="727"/>
      <c r="U410" s="727"/>
      <c r="V410" s="727"/>
      <c r="W410" s="727"/>
      <c r="X410" s="727"/>
      <c r="Y410" s="727"/>
      <c r="Z410" s="727"/>
      <c r="AA410" s="727"/>
      <c r="AB410" s="727"/>
      <c r="AC410" s="727"/>
      <c r="AD410" s="727"/>
      <c r="AE410" s="728"/>
      <c r="AF410" s="728"/>
      <c r="AG410" s="728"/>
      <c r="AH410" s="728"/>
      <c r="AI410" s="728"/>
      <c r="AJ410" s="728"/>
      <c r="AK410" s="728"/>
      <c r="AL410" s="743"/>
      <c r="AM410" s="571"/>
      <c r="AN410" s="598"/>
      <c r="BS410" s="571"/>
      <c r="BT410" s="571"/>
      <c r="BY410" s="571"/>
      <c r="BZ410" s="571"/>
      <c r="CA410" s="571"/>
      <c r="CB410" s="571"/>
      <c r="CC410" s="571"/>
    </row>
    <row r="411" spans="1:81" s="551" customFormat="1" ht="12.75" customHeight="1">
      <c r="A411" s="537"/>
      <c r="B411" s="14"/>
      <c r="C411" s="14"/>
      <c r="D411" s="14"/>
      <c r="E411" s="692"/>
      <c r="G411" s="604"/>
      <c r="H411" s="604"/>
      <c r="I411" s="604"/>
      <c r="J411" s="604"/>
      <c r="K411" s="604"/>
      <c r="L411" s="604"/>
      <c r="M411" s="604"/>
      <c r="N411" s="604"/>
      <c r="O411" s="604"/>
      <c r="P411" s="604"/>
      <c r="Q411" s="604"/>
      <c r="R411" s="604"/>
      <c r="S411" s="604"/>
      <c r="T411" s="604"/>
      <c r="U411" s="604"/>
      <c r="V411" s="604"/>
      <c r="W411" s="604"/>
      <c r="X411" s="604"/>
      <c r="Y411" s="604"/>
      <c r="Z411" s="604"/>
      <c r="AA411" s="604"/>
      <c r="AB411" s="604"/>
      <c r="AC411" s="604"/>
      <c r="AD411" s="604"/>
      <c r="AE411" s="537"/>
      <c r="AF411" s="540"/>
      <c r="AG411" s="537"/>
      <c r="AM411" s="571"/>
      <c r="AN411" s="598"/>
      <c r="BS411" s="571"/>
      <c r="BT411" s="571"/>
      <c r="BY411" s="571"/>
      <c r="BZ411" s="571"/>
      <c r="CA411" s="571"/>
      <c r="CB411" s="571"/>
      <c r="CC411" s="571"/>
    </row>
    <row r="412" spans="1:81" s="551" customFormat="1" ht="12.75" customHeight="1">
      <c r="A412" s="537"/>
      <c r="B412" s="14"/>
      <c r="C412" s="2450" t="s">
        <v>591</v>
      </c>
      <c r="D412" s="2451"/>
      <c r="E412" s="716" t="s">
        <v>1475</v>
      </c>
      <c r="F412" s="2440" t="s">
        <v>1476</v>
      </c>
      <c r="G412" s="2440"/>
      <c r="H412" s="2440"/>
      <c r="I412" s="2440"/>
      <c r="J412" s="2440"/>
      <c r="K412" s="2440"/>
      <c r="L412" s="2440"/>
      <c r="M412" s="2440"/>
      <c r="N412" s="2440"/>
      <c r="O412" s="2440"/>
      <c r="P412" s="2440"/>
      <c r="Q412" s="2440"/>
      <c r="R412" s="2440"/>
      <c r="S412" s="2440"/>
      <c r="T412" s="2440"/>
      <c r="U412" s="2440"/>
      <c r="V412" s="2440"/>
      <c r="W412" s="2440"/>
      <c r="X412" s="2440"/>
      <c r="Y412" s="2440"/>
      <c r="Z412" s="2440"/>
      <c r="AA412" s="2440"/>
      <c r="AB412" s="2440"/>
      <c r="AC412" s="2440"/>
      <c r="AD412" s="2440"/>
      <c r="AE412" s="2440"/>
      <c r="AF412" s="717"/>
      <c r="AG412" s="745"/>
      <c r="AH412" s="715"/>
      <c r="AI412" s="715"/>
      <c r="AJ412" s="715"/>
      <c r="AK412" s="715"/>
      <c r="AL412" s="746"/>
      <c r="AM412" s="571"/>
      <c r="AN412" s="598"/>
      <c r="BS412" s="571"/>
      <c r="BT412" s="571"/>
      <c r="BY412" s="571"/>
      <c r="BZ412" s="571"/>
      <c r="CA412" s="571"/>
      <c r="CB412" s="571"/>
      <c r="CC412" s="571"/>
    </row>
    <row r="413" spans="1:81" s="551" customFormat="1" ht="12.75" customHeight="1">
      <c r="A413" s="537"/>
      <c r="B413" s="14"/>
      <c r="C413" s="740"/>
      <c r="F413" s="2441"/>
      <c r="G413" s="2441"/>
      <c r="H413" s="2441"/>
      <c r="I413" s="2441"/>
      <c r="J413" s="2441"/>
      <c r="K413" s="2441"/>
      <c r="L413" s="2441"/>
      <c r="M413" s="2441"/>
      <c r="N413" s="2441"/>
      <c r="O413" s="2441"/>
      <c r="P413" s="2441"/>
      <c r="Q413" s="2441"/>
      <c r="R413" s="2441"/>
      <c r="S413" s="2441"/>
      <c r="T413" s="2441"/>
      <c r="U413" s="2441"/>
      <c r="V413" s="2441"/>
      <c r="W413" s="2441"/>
      <c r="X413" s="2441"/>
      <c r="Y413" s="2441"/>
      <c r="Z413" s="2441"/>
      <c r="AA413" s="2441"/>
      <c r="AB413" s="2441"/>
      <c r="AC413" s="2441"/>
      <c r="AD413" s="2441"/>
      <c r="AE413" s="2441"/>
      <c r="AF413" s="2530" t="s">
        <v>1462</v>
      </c>
      <c r="AG413" s="2530"/>
      <c r="AH413" s="2530"/>
      <c r="AI413" s="2530"/>
      <c r="AJ413" s="2530"/>
      <c r="AK413" s="2530"/>
      <c r="AL413" s="2539"/>
      <c r="AM413" s="571"/>
      <c r="AN413" s="598"/>
      <c r="BS413" s="571"/>
      <c r="BT413" s="571"/>
      <c r="BY413" s="571"/>
      <c r="BZ413" s="571"/>
      <c r="CA413" s="571"/>
      <c r="CB413" s="571"/>
      <c r="CC413" s="571"/>
    </row>
    <row r="414" spans="1:81" s="551" customFormat="1" ht="12.75" customHeight="1">
      <c r="A414" s="537"/>
      <c r="B414" s="14"/>
      <c r="C414" s="732"/>
      <c r="D414" s="14"/>
      <c r="E414" s="692"/>
      <c r="F414" s="2441"/>
      <c r="G414" s="2441"/>
      <c r="H414" s="2441"/>
      <c r="I414" s="2441"/>
      <c r="J414" s="2441"/>
      <c r="K414" s="2441"/>
      <c r="L414" s="2441"/>
      <c r="M414" s="2441"/>
      <c r="N414" s="2441"/>
      <c r="O414" s="2441"/>
      <c r="P414" s="2441"/>
      <c r="Q414" s="2441"/>
      <c r="R414" s="2441"/>
      <c r="S414" s="2441"/>
      <c r="T414" s="2441"/>
      <c r="U414" s="2441"/>
      <c r="V414" s="2441"/>
      <c r="W414" s="2441"/>
      <c r="X414" s="2441"/>
      <c r="Y414" s="2441"/>
      <c r="Z414" s="2441"/>
      <c r="AA414" s="2441"/>
      <c r="AB414" s="2441"/>
      <c r="AC414" s="2441"/>
      <c r="AD414" s="2441"/>
      <c r="AE414" s="2441"/>
      <c r="AL414" s="733"/>
      <c r="AM414" s="571"/>
      <c r="AN414" s="598"/>
      <c r="BS414" s="571"/>
      <c r="BT414" s="571"/>
      <c r="BU414" s="571"/>
      <c r="BV414" s="571"/>
      <c r="BW414" s="571"/>
      <c r="BX414" s="571"/>
      <c r="BY414" s="571"/>
      <c r="BZ414" s="571"/>
      <c r="CA414" s="571"/>
      <c r="CB414" s="571"/>
      <c r="CC414" s="571"/>
    </row>
    <row r="415" spans="1:81" s="551" customFormat="1" ht="12.75" customHeight="1">
      <c r="A415" s="537"/>
      <c r="B415" s="14"/>
      <c r="C415" s="741"/>
      <c r="D415" s="734"/>
      <c r="E415" s="735"/>
      <c r="F415" s="2442"/>
      <c r="G415" s="2442"/>
      <c r="H415" s="2442"/>
      <c r="I415" s="2442"/>
      <c r="J415" s="2442"/>
      <c r="K415" s="2442"/>
      <c r="L415" s="2442"/>
      <c r="M415" s="2442"/>
      <c r="N415" s="2442"/>
      <c r="O415" s="2442"/>
      <c r="P415" s="2442"/>
      <c r="Q415" s="2442"/>
      <c r="R415" s="2442"/>
      <c r="S415" s="2442"/>
      <c r="T415" s="2442"/>
      <c r="U415" s="2442"/>
      <c r="V415" s="2442"/>
      <c r="W415" s="2442"/>
      <c r="X415" s="2442"/>
      <c r="Y415" s="2442"/>
      <c r="Z415" s="2442"/>
      <c r="AA415" s="2442"/>
      <c r="AB415" s="2442"/>
      <c r="AC415" s="2442"/>
      <c r="AD415" s="2442"/>
      <c r="AE415" s="2442"/>
      <c r="AF415" s="584"/>
      <c r="AG415" s="738"/>
      <c r="AH415" s="728"/>
      <c r="AI415" s="728"/>
      <c r="AJ415" s="728"/>
      <c r="AK415" s="728"/>
      <c r="AL415" s="743"/>
      <c r="AM415" s="571"/>
      <c r="AN415" s="598"/>
    </row>
    <row r="416" spans="1:81">
      <c r="A416" s="537"/>
      <c r="E416" s="692"/>
      <c r="F416" s="604"/>
      <c r="G416" s="604"/>
      <c r="H416" s="604"/>
      <c r="I416" s="604"/>
      <c r="J416" s="604"/>
      <c r="K416" s="604"/>
      <c r="L416" s="604"/>
      <c r="M416" s="604"/>
      <c r="N416" s="604"/>
      <c r="O416" s="604"/>
      <c r="P416" s="604"/>
      <c r="Q416" s="604"/>
      <c r="R416" s="604"/>
      <c r="S416" s="604"/>
      <c r="T416" s="604"/>
      <c r="U416" s="604"/>
      <c r="V416" s="604"/>
      <c r="W416" s="604"/>
      <c r="X416" s="604"/>
      <c r="Y416" s="604"/>
      <c r="Z416" s="604"/>
      <c r="AA416" s="604"/>
      <c r="AB416" s="604"/>
      <c r="AC416" s="604"/>
      <c r="AD416" s="604"/>
      <c r="AE416" s="537"/>
      <c r="AF416" s="540"/>
      <c r="AG416" s="537"/>
      <c r="AH416" s="551"/>
      <c r="AI416" s="551"/>
      <c r="AJ416" s="551"/>
      <c r="AK416" s="551"/>
      <c r="AL416" s="551"/>
      <c r="AM416" s="571"/>
    </row>
    <row r="417" spans="1:55" ht="12.75" customHeight="1">
      <c r="A417" s="537"/>
      <c r="C417" s="747"/>
      <c r="D417" s="748"/>
      <c r="E417" s="716" t="s">
        <v>1477</v>
      </c>
      <c r="F417" s="2440" t="s">
        <v>1478</v>
      </c>
      <c r="G417" s="2440"/>
      <c r="H417" s="2440"/>
      <c r="I417" s="2440"/>
      <c r="J417" s="2440"/>
      <c r="K417" s="2440"/>
      <c r="L417" s="2440"/>
      <c r="M417" s="2440"/>
      <c r="N417" s="2440"/>
      <c r="O417" s="2440"/>
      <c r="P417" s="2440"/>
      <c r="Q417" s="2440"/>
      <c r="R417" s="2440"/>
      <c r="S417" s="2440"/>
      <c r="T417" s="2440"/>
      <c r="U417" s="2440"/>
      <c r="V417" s="2440"/>
      <c r="W417" s="2440"/>
      <c r="X417" s="2440"/>
      <c r="Y417" s="2440"/>
      <c r="Z417" s="2440"/>
      <c r="AA417" s="2440"/>
      <c r="AB417" s="2440"/>
      <c r="AC417" s="2440"/>
      <c r="AD417" s="2440"/>
      <c r="AE417" s="2440"/>
      <c r="AF417" s="748"/>
      <c r="AG417" s="748"/>
      <c r="AH417" s="748"/>
      <c r="AI417" s="748"/>
      <c r="AJ417" s="748"/>
      <c r="AK417" s="748"/>
      <c r="AL417" s="749"/>
      <c r="AM417" s="571"/>
    </row>
    <row r="418" spans="1:55">
      <c r="A418" s="537"/>
      <c r="C418" s="732"/>
      <c r="E418" s="692"/>
      <c r="F418" s="2441"/>
      <c r="G418" s="2441"/>
      <c r="H418" s="2441"/>
      <c r="I418" s="2441"/>
      <c r="J418" s="2441"/>
      <c r="K418" s="2441"/>
      <c r="L418" s="2441"/>
      <c r="M418" s="2441"/>
      <c r="N418" s="2441"/>
      <c r="O418" s="2441"/>
      <c r="P418" s="2441"/>
      <c r="Q418" s="2441"/>
      <c r="R418" s="2441"/>
      <c r="S418" s="2441"/>
      <c r="T418" s="2441"/>
      <c r="U418" s="2441"/>
      <c r="V418" s="2441"/>
      <c r="W418" s="2441"/>
      <c r="X418" s="2441"/>
      <c r="Y418" s="2441"/>
      <c r="Z418" s="2441"/>
      <c r="AA418" s="2441"/>
      <c r="AB418" s="2441"/>
      <c r="AC418" s="2441"/>
      <c r="AD418" s="2441"/>
      <c r="AE418" s="2441"/>
      <c r="AF418" s="540"/>
      <c r="AG418" s="537"/>
      <c r="AH418" s="551"/>
      <c r="AI418" s="551"/>
      <c r="AJ418" s="551"/>
      <c r="AK418" s="551"/>
      <c r="AL418" s="733"/>
      <c r="AM418" s="571"/>
    </row>
    <row r="419" spans="1:55" s="551" customFormat="1" ht="12.75" customHeight="1">
      <c r="A419" s="537"/>
      <c r="B419" s="14"/>
      <c r="C419" s="732"/>
      <c r="D419" s="14"/>
      <c r="E419" s="692"/>
      <c r="F419" s="2441"/>
      <c r="G419" s="2441"/>
      <c r="H419" s="2441"/>
      <c r="I419" s="2441"/>
      <c r="J419" s="2441"/>
      <c r="K419" s="2441"/>
      <c r="L419" s="2441"/>
      <c r="M419" s="2441"/>
      <c r="N419" s="2441"/>
      <c r="O419" s="2441"/>
      <c r="P419" s="2441"/>
      <c r="Q419" s="2441"/>
      <c r="R419" s="2441"/>
      <c r="S419" s="2441"/>
      <c r="T419" s="2441"/>
      <c r="U419" s="2441"/>
      <c r="V419" s="2441"/>
      <c r="W419" s="2441"/>
      <c r="X419" s="2441"/>
      <c r="Y419" s="2441"/>
      <c r="Z419" s="2441"/>
      <c r="AA419" s="2441"/>
      <c r="AB419" s="2441"/>
      <c r="AC419" s="2441"/>
      <c r="AD419" s="2441"/>
      <c r="AE419" s="2441"/>
      <c r="AL419" s="733"/>
      <c r="AM419" s="571"/>
      <c r="AN419" s="598"/>
    </row>
    <row r="420" spans="1:55" s="551" customFormat="1" ht="12.75" customHeight="1">
      <c r="A420" s="537"/>
      <c r="B420" s="14"/>
      <c r="C420" s="740"/>
      <c r="F420" s="2441"/>
      <c r="G420" s="2441"/>
      <c r="H420" s="2441"/>
      <c r="I420" s="2441"/>
      <c r="J420" s="2441"/>
      <c r="K420" s="2441"/>
      <c r="L420" s="2441"/>
      <c r="M420" s="2441"/>
      <c r="N420" s="2441"/>
      <c r="O420" s="2441"/>
      <c r="P420" s="2441"/>
      <c r="Q420" s="2441"/>
      <c r="R420" s="2441"/>
      <c r="S420" s="2441"/>
      <c r="T420" s="2441"/>
      <c r="U420" s="2441"/>
      <c r="V420" s="2441"/>
      <c r="W420" s="2441"/>
      <c r="X420" s="2441"/>
      <c r="Y420" s="2441"/>
      <c r="Z420" s="2441"/>
      <c r="AA420" s="2441"/>
      <c r="AB420" s="2441"/>
      <c r="AC420" s="2441"/>
      <c r="AD420" s="2441"/>
      <c r="AE420" s="2441"/>
      <c r="AL420" s="733"/>
      <c r="AM420" s="571"/>
      <c r="AN420" s="598"/>
    </row>
    <row r="421" spans="1:55" s="551" customFormat="1" ht="12.75" customHeight="1">
      <c r="A421" s="537"/>
      <c r="B421" s="14"/>
      <c r="C421" s="2450" t="s">
        <v>591</v>
      </c>
      <c r="D421" s="2451"/>
      <c r="E421" s="692"/>
      <c r="F421" s="722" t="s">
        <v>1479</v>
      </c>
      <c r="G421" s="604"/>
      <c r="H421" s="604"/>
      <c r="I421" s="604"/>
      <c r="J421" s="604"/>
      <c r="K421" s="604"/>
      <c r="L421" s="604"/>
      <c r="M421" s="604"/>
      <c r="N421" s="604"/>
      <c r="O421" s="604"/>
      <c r="P421" s="604"/>
      <c r="Q421" s="604"/>
      <c r="R421" s="604"/>
      <c r="S421" s="604"/>
      <c r="T421" s="604"/>
      <c r="U421" s="604"/>
      <c r="V421" s="604"/>
      <c r="W421" s="604"/>
      <c r="X421" s="604"/>
      <c r="Y421" s="604"/>
      <c r="Z421" s="604"/>
      <c r="AA421" s="604"/>
      <c r="AB421" s="604"/>
      <c r="AC421" s="604"/>
      <c r="AD421" s="604"/>
      <c r="AF421" s="2530" t="s">
        <v>1462</v>
      </c>
      <c r="AG421" s="2530"/>
      <c r="AH421" s="2530"/>
      <c r="AI421" s="2530"/>
      <c r="AJ421" s="2530"/>
      <c r="AK421" s="2530"/>
      <c r="AL421" s="2539"/>
      <c r="AM421" s="571"/>
      <c r="AN421" s="598"/>
    </row>
    <row r="422" spans="1:55" s="551" customFormat="1" ht="12.75" customHeight="1">
      <c r="A422" s="537"/>
      <c r="B422" s="14"/>
      <c r="C422" s="740"/>
      <c r="AL422" s="733"/>
      <c r="AM422" s="571"/>
      <c r="AN422" s="598"/>
    </row>
    <row r="423" spans="1:55" s="551" customFormat="1" ht="12.75" customHeight="1">
      <c r="A423" s="537"/>
      <c r="B423" s="14"/>
      <c r="C423" s="2450" t="s">
        <v>591</v>
      </c>
      <c r="D423" s="2451"/>
      <c r="E423" s="720"/>
      <c r="F423" s="722" t="s">
        <v>1480</v>
      </c>
      <c r="G423" s="604"/>
      <c r="H423" s="604"/>
      <c r="I423" s="604"/>
      <c r="J423" s="604"/>
      <c r="K423" s="604"/>
      <c r="L423" s="604"/>
      <c r="M423" s="604"/>
      <c r="N423" s="604"/>
      <c r="O423" s="604"/>
      <c r="P423" s="604"/>
      <c r="Q423" s="604"/>
      <c r="R423" s="604"/>
      <c r="S423" s="604"/>
      <c r="T423" s="604"/>
      <c r="U423" s="604"/>
      <c r="V423" s="604"/>
      <c r="W423" s="604"/>
      <c r="X423" s="604"/>
      <c r="Y423" s="604"/>
      <c r="Z423" s="604"/>
      <c r="AA423" s="604"/>
      <c r="AB423" s="604"/>
      <c r="AC423" s="604"/>
      <c r="AD423" s="604"/>
      <c r="AF423" s="2530" t="s">
        <v>1474</v>
      </c>
      <c r="AG423" s="2530"/>
      <c r="AH423" s="2530"/>
      <c r="AI423" s="2530"/>
      <c r="AJ423" s="2530"/>
      <c r="AK423" s="2530"/>
      <c r="AL423" s="2539"/>
      <c r="AM423" s="571"/>
      <c r="AN423" s="598"/>
      <c r="AO423" s="597"/>
      <c r="AP423" s="597"/>
      <c r="BC423" s="14"/>
    </row>
    <row r="424" spans="1:55" s="551" customFormat="1" ht="12.75" customHeight="1">
      <c r="A424" s="537"/>
      <c r="B424" s="14"/>
      <c r="C424" s="734"/>
      <c r="D424" s="734"/>
      <c r="E424" s="735"/>
      <c r="F424" s="726"/>
      <c r="G424" s="727"/>
      <c r="H424" s="727"/>
      <c r="I424" s="727"/>
      <c r="J424" s="727"/>
      <c r="K424" s="727"/>
      <c r="L424" s="727"/>
      <c r="M424" s="727"/>
      <c r="N424" s="727"/>
      <c r="O424" s="727"/>
      <c r="P424" s="727"/>
      <c r="Q424" s="727"/>
      <c r="R424" s="727"/>
      <c r="S424" s="727"/>
      <c r="T424" s="727"/>
      <c r="U424" s="727"/>
      <c r="V424" s="727"/>
      <c r="W424" s="727"/>
      <c r="X424" s="727"/>
      <c r="Y424" s="727"/>
      <c r="Z424" s="727"/>
      <c r="AA424" s="727"/>
      <c r="AB424" s="727"/>
      <c r="AC424" s="727"/>
      <c r="AD424" s="727"/>
      <c r="AE424" s="738"/>
      <c r="AF424" s="584"/>
      <c r="AG424" s="738"/>
      <c r="AH424" s="728"/>
      <c r="AI424" s="728"/>
      <c r="AJ424" s="728"/>
      <c r="AK424" s="728"/>
      <c r="AL424" s="743"/>
      <c r="AM424" s="571"/>
      <c r="AN424" s="598"/>
    </row>
    <row r="425" spans="1:55" s="551" customFormat="1" ht="12.75" customHeight="1">
      <c r="A425" s="537"/>
      <c r="B425" s="14"/>
      <c r="C425" s="14"/>
      <c r="D425" s="14"/>
      <c r="E425" s="692"/>
      <c r="F425" s="722"/>
      <c r="G425" s="604"/>
      <c r="H425" s="604"/>
      <c r="I425" s="604"/>
      <c r="J425" s="604"/>
      <c r="K425" s="604"/>
      <c r="L425" s="604"/>
      <c r="M425" s="604"/>
      <c r="N425" s="604"/>
      <c r="O425" s="604"/>
      <c r="P425" s="604"/>
      <c r="Q425" s="604"/>
      <c r="R425" s="604"/>
      <c r="S425" s="604"/>
      <c r="T425" s="604"/>
      <c r="U425" s="604"/>
      <c r="V425" s="604"/>
      <c r="W425" s="604"/>
      <c r="X425" s="604"/>
      <c r="Y425" s="604"/>
      <c r="Z425" s="604"/>
      <c r="AA425" s="604"/>
      <c r="AB425" s="604"/>
      <c r="AC425" s="604"/>
      <c r="AD425" s="604"/>
      <c r="AE425" s="537"/>
      <c r="AF425" s="540"/>
      <c r="AG425" s="537"/>
      <c r="AM425" s="571"/>
      <c r="AN425" s="598"/>
    </row>
    <row r="426" spans="1:55" s="551" customFormat="1" ht="12.75" customHeight="1">
      <c r="A426" s="537"/>
      <c r="B426" s="14"/>
      <c r="C426" s="713" t="s">
        <v>2211</v>
      </c>
      <c r="D426" s="14"/>
      <c r="E426" s="692"/>
      <c r="F426" s="604"/>
      <c r="G426" s="604"/>
      <c r="H426" s="604"/>
      <c r="I426" s="604"/>
      <c r="J426" s="604"/>
      <c r="K426" s="604"/>
      <c r="L426" s="604"/>
      <c r="M426" s="604"/>
      <c r="N426" s="604"/>
      <c r="O426" s="604"/>
      <c r="P426" s="604"/>
      <c r="Q426" s="604"/>
      <c r="R426" s="604"/>
      <c r="S426" s="604"/>
      <c r="T426" s="604"/>
      <c r="U426" s="604"/>
      <c r="V426" s="604"/>
      <c r="W426" s="604"/>
      <c r="X426" s="604"/>
      <c r="Y426" s="604"/>
      <c r="Z426" s="604"/>
      <c r="AA426" s="604"/>
      <c r="AB426" s="604"/>
      <c r="AC426" s="604"/>
      <c r="AD426" s="604"/>
      <c r="AE426" s="537"/>
      <c r="AF426" s="540"/>
      <c r="AG426" s="537"/>
      <c r="AM426" s="571"/>
      <c r="AN426" s="598"/>
    </row>
    <row r="427" spans="1:55" s="551" customFormat="1" ht="12.75" customHeight="1">
      <c r="A427" s="537"/>
      <c r="B427" s="14"/>
      <c r="C427" s="714"/>
      <c r="D427" s="715"/>
      <c r="E427" s="716" t="s">
        <v>1481</v>
      </c>
      <c r="F427" s="2440" t="s">
        <v>1482</v>
      </c>
      <c r="G427" s="2440"/>
      <c r="H427" s="2440"/>
      <c r="I427" s="2440"/>
      <c r="J427" s="2440"/>
      <c r="K427" s="2440"/>
      <c r="L427" s="2440"/>
      <c r="M427" s="2440"/>
      <c r="N427" s="2440"/>
      <c r="O427" s="2440"/>
      <c r="P427" s="2440"/>
      <c r="Q427" s="2440"/>
      <c r="R427" s="2440"/>
      <c r="S427" s="2440"/>
      <c r="T427" s="2440"/>
      <c r="U427" s="2440"/>
      <c r="V427" s="2440"/>
      <c r="W427" s="2440"/>
      <c r="X427" s="2440"/>
      <c r="Y427" s="2440"/>
      <c r="Z427" s="2440"/>
      <c r="AA427" s="2440"/>
      <c r="AB427" s="2440"/>
      <c r="AC427" s="2440"/>
      <c r="AD427" s="2440"/>
      <c r="AE427" s="2440"/>
      <c r="AF427" s="715"/>
      <c r="AG427" s="715"/>
      <c r="AH427" s="715"/>
      <c r="AI427" s="715"/>
      <c r="AJ427" s="715"/>
      <c r="AK427" s="715"/>
      <c r="AL427" s="746"/>
      <c r="AM427" s="571"/>
      <c r="AN427" s="598"/>
    </row>
    <row r="428" spans="1:55" s="551" customFormat="1" ht="12.75" customHeight="1">
      <c r="A428" s="537"/>
      <c r="B428" s="14"/>
      <c r="C428" s="732"/>
      <c r="D428" s="14"/>
      <c r="E428" s="692"/>
      <c r="F428" s="2441"/>
      <c r="G428" s="2441"/>
      <c r="H428" s="2441"/>
      <c r="I428" s="2441"/>
      <c r="J428" s="2441"/>
      <c r="K428" s="2441"/>
      <c r="L428" s="2441"/>
      <c r="M428" s="2441"/>
      <c r="N428" s="2441"/>
      <c r="O428" s="2441"/>
      <c r="P428" s="2441"/>
      <c r="Q428" s="2441"/>
      <c r="R428" s="2441"/>
      <c r="S428" s="2441"/>
      <c r="T428" s="2441"/>
      <c r="U428" s="2441"/>
      <c r="V428" s="2441"/>
      <c r="W428" s="2441"/>
      <c r="X428" s="2441"/>
      <c r="Y428" s="2441"/>
      <c r="Z428" s="2441"/>
      <c r="AA428" s="2441"/>
      <c r="AB428" s="2441"/>
      <c r="AC428" s="2441"/>
      <c r="AD428" s="2441"/>
      <c r="AE428" s="2441"/>
      <c r="AF428" s="540"/>
      <c r="AG428" s="537"/>
      <c r="AL428" s="733"/>
      <c r="AM428" s="571"/>
      <c r="AN428" s="598"/>
    </row>
    <row r="429" spans="1:55" s="551" customFormat="1" ht="12.6" customHeight="1">
      <c r="A429" s="537"/>
      <c r="B429" s="14"/>
      <c r="C429" s="732"/>
      <c r="D429" s="14"/>
      <c r="E429" s="692"/>
      <c r="F429" s="2441"/>
      <c r="G429" s="2441"/>
      <c r="H429" s="2441"/>
      <c r="I429" s="2441"/>
      <c r="J429" s="2441"/>
      <c r="K429" s="2441"/>
      <c r="L429" s="2441"/>
      <c r="M429" s="2441"/>
      <c r="N429" s="2441"/>
      <c r="O429" s="2441"/>
      <c r="P429" s="2441"/>
      <c r="Q429" s="2441"/>
      <c r="R429" s="2441"/>
      <c r="S429" s="2441"/>
      <c r="T429" s="2441"/>
      <c r="U429" s="2441"/>
      <c r="V429" s="2441"/>
      <c r="W429" s="2441"/>
      <c r="X429" s="2441"/>
      <c r="Y429" s="2441"/>
      <c r="Z429" s="2441"/>
      <c r="AA429" s="2441"/>
      <c r="AB429" s="2441"/>
      <c r="AC429" s="2441"/>
      <c r="AD429" s="2441"/>
      <c r="AE429" s="2441"/>
      <c r="AL429" s="733"/>
      <c r="AM429" s="571"/>
      <c r="AN429" s="598"/>
    </row>
    <row r="430" spans="1:55" s="551" customFormat="1" ht="12.75" customHeight="1">
      <c r="A430" s="537"/>
      <c r="B430" s="14"/>
      <c r="C430" s="2450" t="s">
        <v>591</v>
      </c>
      <c r="D430" s="2451"/>
      <c r="E430" s="692"/>
      <c r="F430" s="722" t="s">
        <v>1483</v>
      </c>
      <c r="G430" s="750"/>
      <c r="H430" s="750"/>
      <c r="I430" s="750"/>
      <c r="J430" s="750"/>
      <c r="K430" s="750"/>
      <c r="L430" s="750"/>
      <c r="M430" s="750"/>
      <c r="N430" s="750"/>
      <c r="O430" s="750"/>
      <c r="P430" s="750"/>
      <c r="Q430" s="750"/>
      <c r="R430" s="750"/>
      <c r="S430" s="750"/>
      <c r="T430" s="750"/>
      <c r="U430" s="750"/>
      <c r="V430" s="750"/>
      <c r="W430" s="750"/>
      <c r="X430" s="750"/>
      <c r="Y430" s="750"/>
      <c r="Z430" s="750"/>
      <c r="AA430" s="750"/>
      <c r="AB430" s="750"/>
      <c r="AC430" s="750"/>
      <c r="AD430" s="750"/>
      <c r="AF430" s="2530" t="s">
        <v>1462</v>
      </c>
      <c r="AG430" s="2530"/>
      <c r="AH430" s="2530"/>
      <c r="AI430" s="2530"/>
      <c r="AJ430" s="2530"/>
      <c r="AK430" s="2530"/>
      <c r="AL430" s="2539"/>
      <c r="AM430" s="571"/>
      <c r="AN430" s="598"/>
    </row>
    <row r="431" spans="1:55" s="551" customFormat="1" ht="12.75" customHeight="1">
      <c r="A431" s="537"/>
      <c r="B431" s="14"/>
      <c r="C431" s="744"/>
      <c r="D431" s="728"/>
      <c r="E431" s="725"/>
      <c r="F431" s="742"/>
      <c r="G431" s="727"/>
      <c r="H431" s="727"/>
      <c r="I431" s="727"/>
      <c r="J431" s="727"/>
      <c r="K431" s="727"/>
      <c r="L431" s="727"/>
      <c r="M431" s="727"/>
      <c r="N431" s="727"/>
      <c r="O431" s="727"/>
      <c r="P431" s="727"/>
      <c r="Q431" s="727"/>
      <c r="R431" s="727"/>
      <c r="S431" s="727"/>
      <c r="T431" s="727"/>
      <c r="U431" s="727"/>
      <c r="V431" s="727"/>
      <c r="W431" s="727"/>
      <c r="X431" s="727"/>
      <c r="Y431" s="727"/>
      <c r="Z431" s="727"/>
      <c r="AA431" s="727"/>
      <c r="AB431" s="727"/>
      <c r="AC431" s="727"/>
      <c r="AD431" s="727"/>
      <c r="AE431" s="728"/>
      <c r="AF431" s="728"/>
      <c r="AG431" s="728"/>
      <c r="AH431" s="728"/>
      <c r="AI431" s="728"/>
      <c r="AJ431" s="728"/>
      <c r="AK431" s="728"/>
      <c r="AL431" s="743"/>
      <c r="AM431" s="571"/>
      <c r="AN431" s="598"/>
    </row>
    <row r="432" spans="1:55" s="551" customFormat="1" ht="12.75" customHeight="1">
      <c r="A432" s="537"/>
      <c r="B432" s="14"/>
      <c r="C432" s="731"/>
      <c r="D432" s="731"/>
      <c r="E432" s="720"/>
      <c r="F432" s="722"/>
      <c r="G432" s="604"/>
      <c r="H432" s="604"/>
      <c r="I432" s="604"/>
      <c r="J432" s="604"/>
      <c r="K432" s="604"/>
      <c r="L432" s="604"/>
      <c r="M432" s="604"/>
      <c r="N432" s="604"/>
      <c r="O432" s="604"/>
      <c r="P432" s="604"/>
      <c r="Q432" s="604"/>
      <c r="R432" s="604"/>
      <c r="S432" s="604"/>
      <c r="T432" s="604"/>
      <c r="U432" s="604"/>
      <c r="V432" s="604"/>
      <c r="W432" s="604"/>
      <c r="X432" s="604"/>
      <c r="Y432" s="604"/>
      <c r="Z432" s="604"/>
      <c r="AA432" s="604"/>
      <c r="AB432" s="604"/>
      <c r="AC432" s="604"/>
      <c r="AD432" s="604"/>
      <c r="AE432" s="537"/>
      <c r="AM432" s="571"/>
      <c r="AN432" s="598"/>
    </row>
    <row r="433" spans="1:60" ht="13.35" customHeight="1">
      <c r="A433" s="537"/>
      <c r="C433" s="747"/>
      <c r="D433" s="748"/>
      <c r="E433" s="716" t="s">
        <v>1484</v>
      </c>
      <c r="F433" s="2440" t="s">
        <v>1485</v>
      </c>
      <c r="G433" s="2440"/>
      <c r="H433" s="2440"/>
      <c r="I433" s="2440"/>
      <c r="J433" s="2440"/>
      <c r="K433" s="2440"/>
      <c r="L433" s="2440"/>
      <c r="M433" s="2440"/>
      <c r="N433" s="2440"/>
      <c r="O433" s="2440"/>
      <c r="P433" s="2440"/>
      <c r="Q433" s="2440"/>
      <c r="R433" s="2440"/>
      <c r="S433" s="2440"/>
      <c r="T433" s="2440"/>
      <c r="U433" s="2440"/>
      <c r="V433" s="2440"/>
      <c r="W433" s="2440"/>
      <c r="X433" s="2440"/>
      <c r="Y433" s="2440"/>
      <c r="Z433" s="2440"/>
      <c r="AA433" s="2440"/>
      <c r="AB433" s="2440"/>
      <c r="AC433" s="2440"/>
      <c r="AD433" s="2440"/>
      <c r="AE433" s="2440"/>
      <c r="AF433" s="748"/>
      <c r="AG433" s="748"/>
      <c r="AH433" s="748"/>
      <c r="AI433" s="748"/>
      <c r="AJ433" s="748"/>
      <c r="AK433" s="748"/>
      <c r="AL433" s="749"/>
      <c r="AM433" s="571"/>
      <c r="AO433" s="551"/>
      <c r="AP433" s="551"/>
      <c r="BD433" s="14"/>
      <c r="BE433" s="14"/>
      <c r="BF433" s="14"/>
      <c r="BG433" s="14"/>
      <c r="BH433" s="14"/>
    </row>
    <row r="434" spans="1:60">
      <c r="A434" s="537"/>
      <c r="C434" s="732"/>
      <c r="E434" s="692"/>
      <c r="F434" s="2441"/>
      <c r="G434" s="2441"/>
      <c r="H434" s="2441"/>
      <c r="I434" s="2441"/>
      <c r="J434" s="2441"/>
      <c r="K434" s="2441"/>
      <c r="L434" s="2441"/>
      <c r="M434" s="2441"/>
      <c r="N434" s="2441"/>
      <c r="O434" s="2441"/>
      <c r="P434" s="2441"/>
      <c r="Q434" s="2441"/>
      <c r="R434" s="2441"/>
      <c r="S434" s="2441"/>
      <c r="T434" s="2441"/>
      <c r="U434" s="2441"/>
      <c r="V434" s="2441"/>
      <c r="W434" s="2441"/>
      <c r="X434" s="2441"/>
      <c r="Y434" s="2441"/>
      <c r="Z434" s="2441"/>
      <c r="AA434" s="2441"/>
      <c r="AB434" s="2441"/>
      <c r="AC434" s="2441"/>
      <c r="AD434" s="2441"/>
      <c r="AE434" s="2441"/>
      <c r="AF434" s="595"/>
      <c r="AG434" s="595"/>
      <c r="AH434" s="595"/>
      <c r="AI434" s="595"/>
      <c r="AJ434" s="595"/>
      <c r="AK434" s="595"/>
      <c r="AL434" s="751"/>
      <c r="AM434" s="571"/>
      <c r="AO434" s="551"/>
      <c r="AP434" s="551"/>
    </row>
    <row r="435" spans="1:60" s="551" customFormat="1" ht="12.75" customHeight="1">
      <c r="A435" s="537"/>
      <c r="B435" s="14"/>
      <c r="C435" s="732"/>
      <c r="D435" s="14"/>
      <c r="E435" s="692"/>
      <c r="F435" s="2441"/>
      <c r="G435" s="2441"/>
      <c r="H435" s="2441"/>
      <c r="I435" s="2441"/>
      <c r="J435" s="2441"/>
      <c r="K435" s="2441"/>
      <c r="L435" s="2441"/>
      <c r="M435" s="2441"/>
      <c r="N435" s="2441"/>
      <c r="O435" s="2441"/>
      <c r="P435" s="2441"/>
      <c r="Q435" s="2441"/>
      <c r="R435" s="2441"/>
      <c r="S435" s="2441"/>
      <c r="T435" s="2441"/>
      <c r="U435" s="2441"/>
      <c r="V435" s="2441"/>
      <c r="W435" s="2441"/>
      <c r="X435" s="2441"/>
      <c r="Y435" s="2441"/>
      <c r="Z435" s="2441"/>
      <c r="AA435" s="2441"/>
      <c r="AB435" s="2441"/>
      <c r="AC435" s="2441"/>
      <c r="AD435" s="2441"/>
      <c r="AE435" s="2441"/>
      <c r="AF435" s="595"/>
      <c r="AG435" s="595"/>
      <c r="AH435" s="595"/>
      <c r="AI435" s="595"/>
      <c r="AJ435" s="595"/>
      <c r="AK435" s="595"/>
      <c r="AL435" s="751"/>
      <c r="AM435" s="571"/>
      <c r="AN435" s="598"/>
    </row>
    <row r="436" spans="1:60" s="551" customFormat="1" ht="12.75" customHeight="1">
      <c r="A436" s="537"/>
      <c r="B436" s="14"/>
      <c r="C436" s="752"/>
      <c r="D436" s="731"/>
      <c r="E436" s="720"/>
      <c r="F436" s="2441"/>
      <c r="G436" s="2441"/>
      <c r="H436" s="2441"/>
      <c r="I436" s="2441"/>
      <c r="J436" s="2441"/>
      <c r="K436" s="2441"/>
      <c r="L436" s="2441"/>
      <c r="M436" s="2441"/>
      <c r="N436" s="2441"/>
      <c r="O436" s="2441"/>
      <c r="P436" s="2441"/>
      <c r="Q436" s="2441"/>
      <c r="R436" s="2441"/>
      <c r="S436" s="2441"/>
      <c r="T436" s="2441"/>
      <c r="U436" s="2441"/>
      <c r="V436" s="2441"/>
      <c r="W436" s="2441"/>
      <c r="X436" s="2441"/>
      <c r="Y436" s="2441"/>
      <c r="Z436" s="2441"/>
      <c r="AA436" s="2441"/>
      <c r="AB436" s="2441"/>
      <c r="AC436" s="2441"/>
      <c r="AD436" s="2441"/>
      <c r="AE436" s="2441"/>
      <c r="AF436" s="595"/>
      <c r="AG436" s="595"/>
      <c r="AH436" s="595"/>
      <c r="AI436" s="595"/>
      <c r="AJ436" s="595"/>
      <c r="AK436" s="595"/>
      <c r="AL436" s="751"/>
      <c r="AM436" s="571"/>
      <c r="AN436" s="598"/>
      <c r="AO436" s="30"/>
      <c r="AP436" s="14"/>
    </row>
    <row r="437" spans="1:60" s="551" customFormat="1" ht="12.75" customHeight="1">
      <c r="A437" s="537"/>
      <c r="B437" s="14"/>
      <c r="C437" s="752"/>
      <c r="D437" s="731"/>
      <c r="E437" s="720"/>
      <c r="F437" s="2441"/>
      <c r="G437" s="2441"/>
      <c r="H437" s="2441"/>
      <c r="I437" s="2441"/>
      <c r="J437" s="2441"/>
      <c r="K437" s="2441"/>
      <c r="L437" s="2441"/>
      <c r="M437" s="2441"/>
      <c r="N437" s="2441"/>
      <c r="O437" s="2441"/>
      <c r="P437" s="2441"/>
      <c r="Q437" s="2441"/>
      <c r="R437" s="2441"/>
      <c r="S437" s="2441"/>
      <c r="T437" s="2441"/>
      <c r="U437" s="2441"/>
      <c r="V437" s="2441"/>
      <c r="W437" s="2441"/>
      <c r="X437" s="2441"/>
      <c r="Y437" s="2441"/>
      <c r="Z437" s="2441"/>
      <c r="AA437" s="2441"/>
      <c r="AB437" s="2441"/>
      <c r="AC437" s="2441"/>
      <c r="AD437" s="2441"/>
      <c r="AE437" s="2441"/>
      <c r="AF437" s="595"/>
      <c r="AG437" s="595"/>
      <c r="AH437" s="595"/>
      <c r="AI437" s="595"/>
      <c r="AJ437" s="595"/>
      <c r="AK437" s="595"/>
      <c r="AL437" s="751"/>
      <c r="AM437" s="571"/>
      <c r="AN437" s="598"/>
    </row>
    <row r="438" spans="1:60" s="551" customFormat="1" ht="12.75" customHeight="1">
      <c r="A438" s="537"/>
      <c r="B438" s="14"/>
      <c r="C438" s="752"/>
      <c r="D438" s="731"/>
      <c r="E438" s="720"/>
      <c r="F438" s="2441"/>
      <c r="G438" s="2441"/>
      <c r="H438" s="2441"/>
      <c r="I438" s="2441"/>
      <c r="J438" s="2441"/>
      <c r="K438" s="2441"/>
      <c r="L438" s="2441"/>
      <c r="M438" s="2441"/>
      <c r="N438" s="2441"/>
      <c r="O438" s="2441"/>
      <c r="P438" s="2441"/>
      <c r="Q438" s="2441"/>
      <c r="R438" s="2441"/>
      <c r="S438" s="2441"/>
      <c r="T438" s="2441"/>
      <c r="U438" s="2441"/>
      <c r="V438" s="2441"/>
      <c r="W438" s="2441"/>
      <c r="X438" s="2441"/>
      <c r="Y438" s="2441"/>
      <c r="Z438" s="2441"/>
      <c r="AA438" s="2441"/>
      <c r="AB438" s="2441"/>
      <c r="AC438" s="2441"/>
      <c r="AD438" s="2441"/>
      <c r="AE438" s="2441"/>
      <c r="AF438" s="595"/>
      <c r="AG438" s="595"/>
      <c r="AH438" s="595"/>
      <c r="AI438" s="595"/>
      <c r="AJ438" s="595"/>
      <c r="AK438" s="595"/>
      <c r="AL438" s="751"/>
      <c r="AM438" s="571"/>
      <c r="AN438" s="598"/>
    </row>
    <row r="439" spans="1:60" s="551" customFormat="1" ht="12.75" customHeight="1">
      <c r="A439" s="537"/>
      <c r="B439" s="14"/>
      <c r="C439" s="752"/>
      <c r="D439" s="731"/>
      <c r="E439" s="720"/>
      <c r="F439" s="2441"/>
      <c r="G439" s="2441"/>
      <c r="H439" s="2441"/>
      <c r="I439" s="2441"/>
      <c r="J439" s="2441"/>
      <c r="K439" s="2441"/>
      <c r="L439" s="2441"/>
      <c r="M439" s="2441"/>
      <c r="N439" s="2441"/>
      <c r="O439" s="2441"/>
      <c r="P439" s="2441"/>
      <c r="Q439" s="2441"/>
      <c r="R439" s="2441"/>
      <c r="S439" s="2441"/>
      <c r="T439" s="2441"/>
      <c r="U439" s="2441"/>
      <c r="V439" s="2441"/>
      <c r="W439" s="2441"/>
      <c r="X439" s="2441"/>
      <c r="Y439" s="2441"/>
      <c r="Z439" s="2441"/>
      <c r="AA439" s="2441"/>
      <c r="AB439" s="2441"/>
      <c r="AC439" s="2441"/>
      <c r="AD439" s="2441"/>
      <c r="AE439" s="2441"/>
      <c r="AF439" s="595"/>
      <c r="AG439" s="595"/>
      <c r="AH439" s="595"/>
      <c r="AI439" s="595"/>
      <c r="AJ439" s="595"/>
      <c r="AK439" s="595"/>
      <c r="AL439" s="751"/>
      <c r="AM439" s="571"/>
      <c r="AN439" s="598"/>
    </row>
    <row r="440" spans="1:60" s="551" customFormat="1" ht="12.75" customHeight="1">
      <c r="A440" s="537"/>
      <c r="B440" s="14"/>
      <c r="C440" s="752"/>
      <c r="D440" s="731"/>
      <c r="E440" s="720"/>
      <c r="F440" s="2441"/>
      <c r="G440" s="2441"/>
      <c r="H440" s="2441"/>
      <c r="I440" s="2441"/>
      <c r="J440" s="2441"/>
      <c r="K440" s="2441"/>
      <c r="L440" s="2441"/>
      <c r="M440" s="2441"/>
      <c r="N440" s="2441"/>
      <c r="O440" s="2441"/>
      <c r="P440" s="2441"/>
      <c r="Q440" s="2441"/>
      <c r="R440" s="2441"/>
      <c r="S440" s="2441"/>
      <c r="T440" s="2441"/>
      <c r="U440" s="2441"/>
      <c r="V440" s="2441"/>
      <c r="W440" s="2441"/>
      <c r="X440" s="2441"/>
      <c r="Y440" s="2441"/>
      <c r="Z440" s="2441"/>
      <c r="AA440" s="2441"/>
      <c r="AB440" s="2441"/>
      <c r="AC440" s="2441"/>
      <c r="AD440" s="2441"/>
      <c r="AE440" s="2441"/>
      <c r="AF440" s="595"/>
      <c r="AG440" s="595"/>
      <c r="AH440" s="595"/>
      <c r="AI440" s="595"/>
      <c r="AJ440" s="595"/>
      <c r="AK440" s="595"/>
      <c r="AL440" s="751"/>
      <c r="AM440" s="571"/>
      <c r="AN440" s="598"/>
    </row>
    <row r="441" spans="1:60" s="551" customFormat="1" ht="17.25" customHeight="1">
      <c r="A441" s="537"/>
      <c r="B441" s="14"/>
      <c r="C441" s="752"/>
      <c r="D441" s="731"/>
      <c r="E441" s="720"/>
      <c r="F441" s="2441"/>
      <c r="G441" s="2441"/>
      <c r="H441" s="2441"/>
      <c r="I441" s="2441"/>
      <c r="J441" s="2441"/>
      <c r="K441" s="2441"/>
      <c r="L441" s="2441"/>
      <c r="M441" s="2441"/>
      <c r="N441" s="2441"/>
      <c r="O441" s="2441"/>
      <c r="P441" s="2441"/>
      <c r="Q441" s="2441"/>
      <c r="R441" s="2441"/>
      <c r="S441" s="2441"/>
      <c r="T441" s="2441"/>
      <c r="U441" s="2441"/>
      <c r="V441" s="2441"/>
      <c r="W441" s="2441"/>
      <c r="X441" s="2441"/>
      <c r="Y441" s="2441"/>
      <c r="Z441" s="2441"/>
      <c r="AA441" s="2441"/>
      <c r="AB441" s="2441"/>
      <c r="AC441" s="2441"/>
      <c r="AD441" s="2441"/>
      <c r="AE441" s="2441"/>
      <c r="AL441" s="733"/>
      <c r="AM441" s="571"/>
      <c r="AN441" s="598"/>
    </row>
    <row r="442" spans="1:60" s="551" customFormat="1" ht="12.75" customHeight="1">
      <c r="A442" s="537"/>
      <c r="B442" s="14"/>
      <c r="C442" s="2450" t="s">
        <v>591</v>
      </c>
      <c r="D442" s="2451"/>
      <c r="E442" s="720"/>
      <c r="F442" s="597" t="s">
        <v>1486</v>
      </c>
      <c r="G442" s="677"/>
      <c r="H442" s="677"/>
      <c r="I442" s="677"/>
      <c r="J442" s="677"/>
      <c r="K442" s="677"/>
      <c r="L442" s="677"/>
      <c r="M442" s="677"/>
      <c r="N442" s="677"/>
      <c r="O442" s="677"/>
      <c r="P442" s="677"/>
      <c r="Q442" s="677"/>
      <c r="R442" s="677"/>
      <c r="S442" s="677"/>
      <c r="T442" s="677"/>
      <c r="U442" s="677"/>
      <c r="V442" s="677"/>
      <c r="W442" s="677"/>
      <c r="X442" s="677"/>
      <c r="Y442" s="677"/>
      <c r="Z442" s="677"/>
      <c r="AA442" s="677"/>
      <c r="AB442" s="677"/>
      <c r="AC442" s="677"/>
      <c r="AD442" s="677"/>
      <c r="AF442" s="2530" t="s">
        <v>1462</v>
      </c>
      <c r="AG442" s="2530"/>
      <c r="AH442" s="2530"/>
      <c r="AI442" s="2530"/>
      <c r="AJ442" s="2530"/>
      <c r="AK442" s="2530"/>
      <c r="AL442" s="2539"/>
      <c r="AM442" s="571"/>
      <c r="AN442" s="598"/>
    </row>
    <row r="443" spans="1:60" s="551" customFormat="1" ht="12.75" customHeight="1">
      <c r="A443" s="537"/>
      <c r="B443" s="14"/>
      <c r="C443" s="744"/>
      <c r="D443" s="728"/>
      <c r="E443" s="725"/>
      <c r="F443" s="742"/>
      <c r="G443" s="727"/>
      <c r="H443" s="727"/>
      <c r="I443" s="727"/>
      <c r="J443" s="727"/>
      <c r="K443" s="727"/>
      <c r="L443" s="727"/>
      <c r="M443" s="727"/>
      <c r="N443" s="727"/>
      <c r="O443" s="727"/>
      <c r="P443" s="727"/>
      <c r="Q443" s="727"/>
      <c r="R443" s="727"/>
      <c r="S443" s="727"/>
      <c r="T443" s="727"/>
      <c r="U443" s="727"/>
      <c r="V443" s="727"/>
      <c r="W443" s="727"/>
      <c r="X443" s="727"/>
      <c r="Y443" s="727"/>
      <c r="Z443" s="727"/>
      <c r="AA443" s="727"/>
      <c r="AB443" s="727"/>
      <c r="AC443" s="727"/>
      <c r="AD443" s="727"/>
      <c r="AE443" s="728"/>
      <c r="AF443" s="728"/>
      <c r="AG443" s="728"/>
      <c r="AH443" s="728"/>
      <c r="AI443" s="728"/>
      <c r="AJ443" s="728"/>
      <c r="AK443" s="728"/>
      <c r="AL443" s="743"/>
      <c r="AM443" s="571"/>
      <c r="AN443" s="598"/>
    </row>
    <row r="444" spans="1:60" s="551" customFormat="1" ht="12.75" customHeight="1">
      <c r="A444" s="537"/>
      <c r="B444" s="14"/>
      <c r="C444" s="731"/>
      <c r="D444" s="731"/>
      <c r="E444" s="720"/>
      <c r="F444" s="722"/>
      <c r="G444" s="604"/>
      <c r="H444" s="604"/>
      <c r="I444" s="604"/>
      <c r="J444" s="604"/>
      <c r="K444" s="604"/>
      <c r="L444" s="604"/>
      <c r="M444" s="604"/>
      <c r="N444" s="604"/>
      <c r="O444" s="604"/>
      <c r="P444" s="604"/>
      <c r="Q444" s="604"/>
      <c r="R444" s="604"/>
      <c r="S444" s="604"/>
      <c r="T444" s="604"/>
      <c r="U444" s="604"/>
      <c r="V444" s="604"/>
      <c r="W444" s="604"/>
      <c r="X444" s="604"/>
      <c r="Y444" s="604"/>
      <c r="Z444" s="604"/>
      <c r="AA444" s="604"/>
      <c r="AB444" s="604"/>
      <c r="AC444" s="604"/>
      <c r="AD444" s="604"/>
      <c r="AE444" s="592"/>
      <c r="AF444" s="592"/>
      <c r="AG444" s="592"/>
      <c r="AH444" s="592"/>
      <c r="AI444" s="592"/>
      <c r="AJ444" s="592"/>
      <c r="AK444" s="592"/>
      <c r="AL444" s="592"/>
      <c r="AM444" s="571"/>
      <c r="AN444" s="598"/>
    </row>
    <row r="445" spans="1:60" s="551" customFormat="1" ht="12.75" customHeight="1">
      <c r="A445" s="537"/>
      <c r="B445" s="14"/>
      <c r="C445" s="714"/>
      <c r="D445" s="715"/>
      <c r="E445" s="716" t="s">
        <v>1487</v>
      </c>
      <c r="F445" s="2440" t="s">
        <v>1488</v>
      </c>
      <c r="G445" s="2440"/>
      <c r="H445" s="2440"/>
      <c r="I445" s="2440"/>
      <c r="J445" s="2440"/>
      <c r="K445" s="2440"/>
      <c r="L445" s="2440"/>
      <c r="M445" s="2440"/>
      <c r="N445" s="2440"/>
      <c r="O445" s="2440"/>
      <c r="P445" s="2440"/>
      <c r="Q445" s="2440"/>
      <c r="R445" s="2440"/>
      <c r="S445" s="2440"/>
      <c r="T445" s="2440"/>
      <c r="U445" s="2440"/>
      <c r="V445" s="2440"/>
      <c r="W445" s="2440"/>
      <c r="X445" s="2440"/>
      <c r="Y445" s="2440"/>
      <c r="Z445" s="2440"/>
      <c r="AA445" s="2440"/>
      <c r="AB445" s="2440"/>
      <c r="AC445" s="2440"/>
      <c r="AD445" s="2440"/>
      <c r="AE445" s="2440"/>
      <c r="AF445" s="715"/>
      <c r="AG445" s="715"/>
      <c r="AH445" s="715"/>
      <c r="AI445" s="715"/>
      <c r="AJ445" s="715"/>
      <c r="AK445" s="715"/>
      <c r="AL445" s="746"/>
      <c r="AM445" s="571"/>
      <c r="AN445" s="598"/>
    </row>
    <row r="446" spans="1:60" s="551" customFormat="1" ht="12.75" customHeight="1">
      <c r="A446" s="537"/>
      <c r="B446" s="14"/>
      <c r="C446" s="752"/>
      <c r="D446" s="731"/>
      <c r="E446" s="720"/>
      <c r="F446" s="2441"/>
      <c r="G446" s="2441"/>
      <c r="H446" s="2441"/>
      <c r="I446" s="2441"/>
      <c r="J446" s="2441"/>
      <c r="K446" s="2441"/>
      <c r="L446" s="2441"/>
      <c r="M446" s="2441"/>
      <c r="N446" s="2441"/>
      <c r="O446" s="2441"/>
      <c r="P446" s="2441"/>
      <c r="Q446" s="2441"/>
      <c r="R446" s="2441"/>
      <c r="S446" s="2441"/>
      <c r="T446" s="2441"/>
      <c r="U446" s="2441"/>
      <c r="V446" s="2441"/>
      <c r="W446" s="2441"/>
      <c r="X446" s="2441"/>
      <c r="Y446" s="2441"/>
      <c r="Z446" s="2441"/>
      <c r="AA446" s="2441"/>
      <c r="AB446" s="2441"/>
      <c r="AC446" s="2441"/>
      <c r="AD446" s="2441"/>
      <c r="AE446" s="2441"/>
      <c r="AF446" s="592"/>
      <c r="AG446" s="592"/>
      <c r="AH446" s="592"/>
      <c r="AI446" s="592"/>
      <c r="AJ446" s="592"/>
      <c r="AK446" s="592"/>
      <c r="AL446" s="721"/>
      <c r="AM446" s="571"/>
      <c r="AN446" s="598"/>
    </row>
    <row r="447" spans="1:60" s="551" customFormat="1" ht="12.75" customHeight="1">
      <c r="A447" s="537"/>
      <c r="B447" s="14"/>
      <c r="C447" s="752"/>
      <c r="D447" s="731"/>
      <c r="E447" s="720"/>
      <c r="F447" s="2441"/>
      <c r="G447" s="2441"/>
      <c r="H447" s="2441"/>
      <c r="I447" s="2441"/>
      <c r="J447" s="2441"/>
      <c r="K447" s="2441"/>
      <c r="L447" s="2441"/>
      <c r="M447" s="2441"/>
      <c r="N447" s="2441"/>
      <c r="O447" s="2441"/>
      <c r="P447" s="2441"/>
      <c r="Q447" s="2441"/>
      <c r="R447" s="2441"/>
      <c r="S447" s="2441"/>
      <c r="T447" s="2441"/>
      <c r="U447" s="2441"/>
      <c r="V447" s="2441"/>
      <c r="W447" s="2441"/>
      <c r="X447" s="2441"/>
      <c r="Y447" s="2441"/>
      <c r="Z447" s="2441"/>
      <c r="AA447" s="2441"/>
      <c r="AB447" s="2441"/>
      <c r="AC447" s="2441"/>
      <c r="AD447" s="2441"/>
      <c r="AE447" s="2441"/>
      <c r="AF447" s="592"/>
      <c r="AG447" s="592"/>
      <c r="AH447" s="592"/>
      <c r="AI447" s="592"/>
      <c r="AJ447" s="592"/>
      <c r="AK447" s="592"/>
      <c r="AL447" s="721"/>
      <c r="AM447" s="571"/>
      <c r="AN447" s="598"/>
    </row>
    <row r="448" spans="1:60" s="551" customFormat="1" ht="12.75" customHeight="1">
      <c r="A448" s="537"/>
      <c r="B448" s="14"/>
      <c r="C448" s="752"/>
      <c r="D448" s="731"/>
      <c r="E448" s="720"/>
      <c r="F448" s="2441"/>
      <c r="G448" s="2441"/>
      <c r="H448" s="2441"/>
      <c r="I448" s="2441"/>
      <c r="J448" s="2441"/>
      <c r="K448" s="2441"/>
      <c r="L448" s="2441"/>
      <c r="M448" s="2441"/>
      <c r="N448" s="2441"/>
      <c r="O448" s="2441"/>
      <c r="P448" s="2441"/>
      <c r="Q448" s="2441"/>
      <c r="R448" s="2441"/>
      <c r="S448" s="2441"/>
      <c r="T448" s="2441"/>
      <c r="U448" s="2441"/>
      <c r="V448" s="2441"/>
      <c r="W448" s="2441"/>
      <c r="X448" s="2441"/>
      <c r="Y448" s="2441"/>
      <c r="Z448" s="2441"/>
      <c r="AA448" s="2441"/>
      <c r="AB448" s="2441"/>
      <c r="AC448" s="2441"/>
      <c r="AD448" s="2441"/>
      <c r="AE448" s="2441"/>
      <c r="AL448" s="733"/>
      <c r="AM448" s="571"/>
      <c r="AN448" s="598"/>
    </row>
    <row r="449" spans="1:40" s="551" customFormat="1" ht="12.75" customHeight="1">
      <c r="A449" s="537"/>
      <c r="B449" s="14"/>
      <c r="C449" s="2450" t="s">
        <v>591</v>
      </c>
      <c r="D449" s="2451"/>
      <c r="E449" s="720"/>
      <c r="F449" s="722" t="s">
        <v>1492</v>
      </c>
      <c r="G449" s="604"/>
      <c r="H449" s="604"/>
      <c r="I449" s="604"/>
      <c r="J449" s="604"/>
      <c r="K449" s="604"/>
      <c r="L449" s="604"/>
      <c r="M449" s="604"/>
      <c r="N449" s="604"/>
      <c r="O449" s="604"/>
      <c r="P449" s="604"/>
      <c r="Q449" s="604"/>
      <c r="R449" s="604"/>
      <c r="S449" s="604"/>
      <c r="T449" s="604"/>
      <c r="U449" s="604"/>
      <c r="V449" s="604"/>
      <c r="W449" s="604"/>
      <c r="X449" s="604"/>
      <c r="Y449" s="604"/>
      <c r="Z449" s="604"/>
      <c r="AA449" s="604"/>
      <c r="AB449" s="604"/>
      <c r="AC449" s="604"/>
      <c r="AD449" s="604"/>
      <c r="AF449" s="2530" t="s">
        <v>1462</v>
      </c>
      <c r="AG449" s="2530"/>
      <c r="AH449" s="2530"/>
      <c r="AI449" s="2530"/>
      <c r="AJ449" s="2530"/>
      <c r="AK449" s="2530"/>
      <c r="AL449" s="2539"/>
      <c r="AM449" s="571"/>
      <c r="AN449" s="754"/>
    </row>
    <row r="450" spans="1:40" s="551" customFormat="1" ht="12.75" customHeight="1">
      <c r="A450" s="537"/>
      <c r="B450" s="14"/>
      <c r="C450" s="752"/>
      <c r="D450" s="731"/>
      <c r="E450" s="720"/>
      <c r="F450" s="722"/>
      <c r="G450" s="604"/>
      <c r="H450" s="604"/>
      <c r="I450" s="604"/>
      <c r="J450" s="604"/>
      <c r="K450" s="604"/>
      <c r="L450" s="604"/>
      <c r="M450" s="604"/>
      <c r="N450" s="604"/>
      <c r="O450" s="604"/>
      <c r="P450" s="604"/>
      <c r="Q450" s="604"/>
      <c r="R450" s="604"/>
      <c r="S450" s="604"/>
      <c r="T450" s="604"/>
      <c r="U450" s="604"/>
      <c r="V450" s="604"/>
      <c r="W450" s="604"/>
      <c r="X450" s="604"/>
      <c r="Y450" s="604"/>
      <c r="Z450" s="604"/>
      <c r="AA450" s="604"/>
      <c r="AB450" s="604"/>
      <c r="AC450" s="604"/>
      <c r="AD450" s="604"/>
      <c r="AE450" s="592"/>
      <c r="AL450" s="733"/>
      <c r="AM450" s="571"/>
      <c r="AN450" s="754"/>
    </row>
    <row r="451" spans="1:40" s="551" customFormat="1" ht="12.75" customHeight="1">
      <c r="A451" s="537"/>
      <c r="B451" s="14"/>
      <c r="C451" s="741"/>
      <c r="D451" s="734"/>
      <c r="E451" s="735"/>
      <c r="F451" s="728" t="s">
        <v>1469</v>
      </c>
      <c r="G451" s="736"/>
      <c r="H451" s="736"/>
      <c r="I451" s="736"/>
      <c r="J451" s="736"/>
      <c r="K451" s="736"/>
      <c r="L451" s="736"/>
      <c r="M451" s="736"/>
      <c r="N451" s="736"/>
      <c r="O451" s="736"/>
      <c r="P451" s="736"/>
      <c r="Q451" s="736"/>
      <c r="R451" s="736"/>
      <c r="S451" s="736"/>
      <c r="T451" s="736"/>
      <c r="U451" s="736"/>
      <c r="V451" s="736"/>
      <c r="W451" s="736"/>
      <c r="X451" s="736"/>
      <c r="Y451" s="736"/>
      <c r="Z451" s="736"/>
      <c r="AA451" s="736"/>
      <c r="AB451" s="736"/>
      <c r="AC451" s="736"/>
      <c r="AD451" s="736"/>
      <c r="AE451" s="738"/>
      <c r="AF451" s="584"/>
      <c r="AG451" s="738"/>
      <c r="AH451" s="728"/>
      <c r="AI451" s="728"/>
      <c r="AJ451" s="728"/>
      <c r="AK451" s="728"/>
      <c r="AL451" s="743"/>
      <c r="AM451" s="571"/>
      <c r="AN451" s="754"/>
    </row>
    <row r="452" spans="1:40" s="551" customFormat="1" ht="12.75" customHeight="1">
      <c r="A452" s="537"/>
      <c r="B452" s="14"/>
      <c r="C452" s="731"/>
      <c r="D452" s="731"/>
      <c r="E452" s="720"/>
      <c r="F452" s="722"/>
      <c r="G452" s="604"/>
      <c r="H452" s="604"/>
      <c r="I452" s="604"/>
      <c r="J452" s="604"/>
      <c r="K452" s="604"/>
      <c r="L452" s="604"/>
      <c r="M452" s="604"/>
      <c r="N452" s="604"/>
      <c r="O452" s="604"/>
      <c r="P452" s="604"/>
      <c r="Q452" s="604"/>
      <c r="R452" s="604"/>
      <c r="S452" s="604"/>
      <c r="T452" s="604"/>
      <c r="U452" s="604"/>
      <c r="V452" s="604"/>
      <c r="W452" s="604"/>
      <c r="X452" s="604"/>
      <c r="Y452" s="604"/>
      <c r="Z452" s="604"/>
      <c r="AA452" s="604"/>
      <c r="AB452" s="604"/>
      <c r="AC452" s="604"/>
      <c r="AD452" s="604"/>
      <c r="AE452" s="592"/>
      <c r="AM452" s="571"/>
      <c r="AN452" s="754"/>
    </row>
    <row r="453" spans="1:40" s="551" customFormat="1" ht="12.75" customHeight="1">
      <c r="A453" s="537"/>
      <c r="B453" s="14"/>
      <c r="C453" s="2566" t="s">
        <v>591</v>
      </c>
      <c r="D453" s="2567"/>
      <c r="E453" s="716" t="s">
        <v>1497</v>
      </c>
      <c r="F453" s="2440" t="s">
        <v>1498</v>
      </c>
      <c r="G453" s="2440"/>
      <c r="H453" s="2440"/>
      <c r="I453" s="2440"/>
      <c r="J453" s="2440"/>
      <c r="K453" s="2440"/>
      <c r="L453" s="2440"/>
      <c r="M453" s="2440"/>
      <c r="N453" s="2440"/>
      <c r="O453" s="2440"/>
      <c r="P453" s="2440"/>
      <c r="Q453" s="2440"/>
      <c r="R453" s="2440"/>
      <c r="S453" s="2440"/>
      <c r="T453" s="2440"/>
      <c r="U453" s="2440"/>
      <c r="V453" s="2440"/>
      <c r="W453" s="2440"/>
      <c r="X453" s="2440"/>
      <c r="Y453" s="2440"/>
      <c r="Z453" s="2440"/>
      <c r="AA453" s="2440"/>
      <c r="AB453" s="2440"/>
      <c r="AC453" s="2440"/>
      <c r="AD453" s="2440"/>
      <c r="AE453" s="2440"/>
      <c r="AF453" s="2468" t="s">
        <v>1462</v>
      </c>
      <c r="AG453" s="2468"/>
      <c r="AH453" s="2468"/>
      <c r="AI453" s="2468"/>
      <c r="AJ453" s="2468"/>
      <c r="AK453" s="2468"/>
      <c r="AL453" s="2469"/>
      <c r="AM453" s="571"/>
      <c r="AN453" s="754"/>
    </row>
    <row r="454" spans="1:40" s="551" customFormat="1" ht="12.75" customHeight="1">
      <c r="A454" s="537"/>
      <c r="B454" s="14"/>
      <c r="C454" s="752"/>
      <c r="D454" s="731"/>
      <c r="E454" s="720"/>
      <c r="F454" s="2441"/>
      <c r="G454" s="2441"/>
      <c r="H454" s="2441"/>
      <c r="I454" s="2441"/>
      <c r="J454" s="2441"/>
      <c r="K454" s="2441"/>
      <c r="L454" s="2441"/>
      <c r="M454" s="2441"/>
      <c r="N454" s="2441"/>
      <c r="O454" s="2441"/>
      <c r="P454" s="2441"/>
      <c r="Q454" s="2441"/>
      <c r="R454" s="2441"/>
      <c r="S454" s="2441"/>
      <c r="T454" s="2441"/>
      <c r="U454" s="2441"/>
      <c r="V454" s="2441"/>
      <c r="W454" s="2441"/>
      <c r="X454" s="2441"/>
      <c r="Y454" s="2441"/>
      <c r="Z454" s="2441"/>
      <c r="AA454" s="2441"/>
      <c r="AB454" s="2441"/>
      <c r="AC454" s="2441"/>
      <c r="AD454" s="2441"/>
      <c r="AE454" s="2441"/>
      <c r="AF454" s="592"/>
      <c r="AG454" s="592"/>
      <c r="AH454" s="592"/>
      <c r="AI454" s="592"/>
      <c r="AJ454" s="592"/>
      <c r="AK454" s="592"/>
      <c r="AL454" s="721"/>
      <c r="AM454" s="571"/>
      <c r="AN454" s="755"/>
    </row>
    <row r="455" spans="1:40" s="551" customFormat="1" ht="17.850000000000001" customHeight="1">
      <c r="A455" s="537"/>
      <c r="B455" s="14"/>
      <c r="C455" s="757"/>
      <c r="D455" s="724"/>
      <c r="E455" s="725"/>
      <c r="F455" s="2442"/>
      <c r="G455" s="2442"/>
      <c r="H455" s="2442"/>
      <c r="I455" s="2442"/>
      <c r="J455" s="2442"/>
      <c r="K455" s="2442"/>
      <c r="L455" s="2442"/>
      <c r="M455" s="2442"/>
      <c r="N455" s="2442"/>
      <c r="O455" s="2442"/>
      <c r="P455" s="2442"/>
      <c r="Q455" s="2442"/>
      <c r="R455" s="2442"/>
      <c r="S455" s="2442"/>
      <c r="T455" s="2442"/>
      <c r="U455" s="2442"/>
      <c r="V455" s="2442"/>
      <c r="W455" s="2442"/>
      <c r="X455" s="2442"/>
      <c r="Y455" s="2442"/>
      <c r="Z455" s="2442"/>
      <c r="AA455" s="2442"/>
      <c r="AB455" s="2442"/>
      <c r="AC455" s="2442"/>
      <c r="AD455" s="2442"/>
      <c r="AE455" s="2442"/>
      <c r="AF455" s="729"/>
      <c r="AG455" s="729"/>
      <c r="AH455" s="729"/>
      <c r="AI455" s="729"/>
      <c r="AJ455" s="729"/>
      <c r="AK455" s="729"/>
      <c r="AL455" s="758"/>
      <c r="AM455" s="571"/>
      <c r="AN455" s="536"/>
    </row>
    <row r="456" spans="1:40" s="551" customFormat="1" ht="12.75" customHeight="1">
      <c r="A456" s="537"/>
      <c r="B456" s="14"/>
      <c r="C456" s="731"/>
      <c r="D456" s="731"/>
      <c r="E456" s="720"/>
      <c r="F456" s="722"/>
      <c r="G456" s="604"/>
      <c r="H456" s="604"/>
      <c r="I456" s="604"/>
      <c r="J456" s="604"/>
      <c r="K456" s="604"/>
      <c r="L456" s="604"/>
      <c r="M456" s="604"/>
      <c r="N456" s="604"/>
      <c r="O456" s="604"/>
      <c r="P456" s="604"/>
      <c r="Q456" s="604"/>
      <c r="R456" s="604"/>
      <c r="S456" s="604"/>
      <c r="T456" s="604"/>
      <c r="U456" s="604"/>
      <c r="V456" s="604"/>
      <c r="W456" s="604"/>
      <c r="X456" s="604"/>
      <c r="Y456" s="604"/>
      <c r="Z456" s="604"/>
      <c r="AA456" s="604"/>
      <c r="AB456" s="604"/>
      <c r="AC456" s="604"/>
      <c r="AD456" s="604"/>
      <c r="AE456" s="592"/>
      <c r="AM456" s="571"/>
      <c r="AN456" s="536"/>
    </row>
    <row r="457" spans="1:40" s="551" customFormat="1" ht="12.75" customHeight="1">
      <c r="A457" s="537"/>
      <c r="B457" s="14"/>
      <c r="C457" s="2450" t="s">
        <v>591</v>
      </c>
      <c r="D457" s="2451"/>
      <c r="E457" s="716" t="s">
        <v>1503</v>
      </c>
      <c r="F457" s="2440" t="s">
        <v>1504</v>
      </c>
      <c r="G457" s="2440"/>
      <c r="H457" s="2440"/>
      <c r="I457" s="2440"/>
      <c r="J457" s="2440"/>
      <c r="K457" s="2440"/>
      <c r="L457" s="2440"/>
      <c r="M457" s="2440"/>
      <c r="N457" s="2440"/>
      <c r="O457" s="2440"/>
      <c r="P457" s="2440"/>
      <c r="Q457" s="2440"/>
      <c r="R457" s="2440"/>
      <c r="S457" s="2440"/>
      <c r="T457" s="2440"/>
      <c r="U457" s="2440"/>
      <c r="V457" s="2440"/>
      <c r="W457" s="2440"/>
      <c r="X457" s="2440"/>
      <c r="Y457" s="2440"/>
      <c r="Z457" s="2440"/>
      <c r="AA457" s="2440"/>
      <c r="AB457" s="2440"/>
      <c r="AC457" s="2440"/>
      <c r="AD457" s="2440"/>
      <c r="AE457" s="2440"/>
      <c r="AF457" s="2468" t="s">
        <v>1462</v>
      </c>
      <c r="AG457" s="2468"/>
      <c r="AH457" s="2468"/>
      <c r="AI457" s="2468"/>
      <c r="AJ457" s="2468"/>
      <c r="AK457" s="2468"/>
      <c r="AL457" s="2469"/>
      <c r="AM457" s="571"/>
      <c r="AN457" s="536"/>
    </row>
    <row r="458" spans="1:40" s="551" customFormat="1" ht="12.75" customHeight="1">
      <c r="A458" s="537"/>
      <c r="B458" s="14"/>
      <c r="C458" s="732"/>
      <c r="D458" s="14"/>
      <c r="E458" s="692"/>
      <c r="F458" s="2441"/>
      <c r="G458" s="2441"/>
      <c r="H458" s="2441"/>
      <c r="I458" s="2441"/>
      <c r="J458" s="2441"/>
      <c r="K458" s="2441"/>
      <c r="L458" s="2441"/>
      <c r="M458" s="2441"/>
      <c r="N458" s="2441"/>
      <c r="O458" s="2441"/>
      <c r="P458" s="2441"/>
      <c r="Q458" s="2441"/>
      <c r="R458" s="2441"/>
      <c r="S458" s="2441"/>
      <c r="T458" s="2441"/>
      <c r="U458" s="2441"/>
      <c r="V458" s="2441"/>
      <c r="W458" s="2441"/>
      <c r="X458" s="2441"/>
      <c r="Y458" s="2441"/>
      <c r="Z458" s="2441"/>
      <c r="AA458" s="2441"/>
      <c r="AB458" s="2441"/>
      <c r="AC458" s="2441"/>
      <c r="AD458" s="2441"/>
      <c r="AE458" s="2441"/>
      <c r="AF458" s="540"/>
      <c r="AG458" s="537"/>
      <c r="AL458" s="733"/>
      <c r="AM458" s="571"/>
      <c r="AN458" s="536"/>
    </row>
    <row r="459" spans="1:40" s="551" customFormat="1" ht="12.75" customHeight="1">
      <c r="A459" s="537"/>
      <c r="B459" s="14"/>
      <c r="C459" s="732"/>
      <c r="D459" s="14"/>
      <c r="E459" s="692"/>
      <c r="F459" s="2441"/>
      <c r="G459" s="2441"/>
      <c r="H459" s="2441"/>
      <c r="I459" s="2441"/>
      <c r="J459" s="2441"/>
      <c r="K459" s="2441"/>
      <c r="L459" s="2441"/>
      <c r="M459" s="2441"/>
      <c r="N459" s="2441"/>
      <c r="O459" s="2441"/>
      <c r="P459" s="2441"/>
      <c r="Q459" s="2441"/>
      <c r="R459" s="2441"/>
      <c r="S459" s="2441"/>
      <c r="T459" s="2441"/>
      <c r="U459" s="2441"/>
      <c r="V459" s="2441"/>
      <c r="W459" s="2441"/>
      <c r="X459" s="2441"/>
      <c r="Y459" s="2441"/>
      <c r="Z459" s="2441"/>
      <c r="AA459" s="2441"/>
      <c r="AB459" s="2441"/>
      <c r="AC459" s="2441"/>
      <c r="AD459" s="2441"/>
      <c r="AE459" s="2441"/>
      <c r="AF459" s="540"/>
      <c r="AG459" s="537"/>
      <c r="AL459" s="733"/>
      <c r="AM459" s="571"/>
      <c r="AN459" s="536"/>
    </row>
    <row r="460" spans="1:40" s="551" customFormat="1" ht="12.75" customHeight="1">
      <c r="A460" s="537"/>
      <c r="B460" s="14"/>
      <c r="C460" s="757"/>
      <c r="D460" s="724"/>
      <c r="E460" s="725"/>
      <c r="F460" s="2442"/>
      <c r="G460" s="2442"/>
      <c r="H460" s="2442"/>
      <c r="I460" s="2442"/>
      <c r="J460" s="2442"/>
      <c r="K460" s="2442"/>
      <c r="L460" s="2442"/>
      <c r="M460" s="2442"/>
      <c r="N460" s="2442"/>
      <c r="O460" s="2442"/>
      <c r="P460" s="2442"/>
      <c r="Q460" s="2442"/>
      <c r="R460" s="2442"/>
      <c r="S460" s="2442"/>
      <c r="T460" s="2442"/>
      <c r="U460" s="2442"/>
      <c r="V460" s="2442"/>
      <c r="W460" s="2442"/>
      <c r="X460" s="2442"/>
      <c r="Y460" s="2442"/>
      <c r="Z460" s="2442"/>
      <c r="AA460" s="2442"/>
      <c r="AB460" s="2442"/>
      <c r="AC460" s="2442"/>
      <c r="AD460" s="2442"/>
      <c r="AE460" s="2442"/>
      <c r="AF460" s="729"/>
      <c r="AG460" s="729"/>
      <c r="AH460" s="729"/>
      <c r="AI460" s="729"/>
      <c r="AJ460" s="729"/>
      <c r="AK460" s="729"/>
      <c r="AL460" s="758"/>
      <c r="AM460" s="571"/>
      <c r="AN460" s="598"/>
    </row>
    <row r="461" spans="1:40" s="551" customFormat="1" ht="12.75" customHeight="1">
      <c r="A461" s="537"/>
      <c r="B461" s="14"/>
      <c r="G461" s="604"/>
      <c r="H461" s="604"/>
      <c r="I461" s="604"/>
      <c r="J461" s="604"/>
      <c r="K461" s="604"/>
      <c r="L461" s="604"/>
      <c r="M461" s="604"/>
      <c r="N461" s="604"/>
      <c r="O461" s="604"/>
      <c r="P461" s="604"/>
      <c r="Q461" s="604"/>
      <c r="R461" s="604"/>
      <c r="S461" s="604"/>
      <c r="T461" s="604"/>
      <c r="U461" s="604"/>
      <c r="V461" s="604"/>
      <c r="W461" s="604"/>
      <c r="X461" s="604"/>
      <c r="Y461" s="604"/>
      <c r="Z461" s="604"/>
      <c r="AA461" s="604"/>
      <c r="AB461" s="604"/>
      <c r="AC461" s="604"/>
      <c r="AD461" s="604"/>
      <c r="AM461" s="571"/>
      <c r="AN461" s="598"/>
    </row>
    <row r="462" spans="1:40" s="551" customFormat="1" ht="12.75" customHeight="1">
      <c r="A462" s="537"/>
      <c r="B462" s="14"/>
      <c r="C462" s="714"/>
      <c r="D462" s="715"/>
      <c r="E462" s="716" t="s">
        <v>1506</v>
      </c>
      <c r="F462" s="2440" t="s">
        <v>1507</v>
      </c>
      <c r="G462" s="2440"/>
      <c r="H462" s="2440"/>
      <c r="I462" s="2440"/>
      <c r="J462" s="2440"/>
      <c r="K462" s="2440"/>
      <c r="L462" s="2440"/>
      <c r="M462" s="2440"/>
      <c r="N462" s="2440"/>
      <c r="O462" s="2440"/>
      <c r="P462" s="2440"/>
      <c r="Q462" s="2440"/>
      <c r="R462" s="2440"/>
      <c r="S462" s="2440"/>
      <c r="T462" s="2440"/>
      <c r="U462" s="2440"/>
      <c r="V462" s="2440"/>
      <c r="W462" s="2440"/>
      <c r="X462" s="2440"/>
      <c r="Y462" s="2440"/>
      <c r="Z462" s="2440"/>
      <c r="AA462" s="2440"/>
      <c r="AB462" s="2440"/>
      <c r="AC462" s="2440"/>
      <c r="AD462" s="2440"/>
      <c r="AE462" s="2440"/>
      <c r="AF462" s="2440"/>
      <c r="AG462" s="745"/>
      <c r="AH462" s="715"/>
      <c r="AI462" s="715"/>
      <c r="AJ462" s="715"/>
      <c r="AK462" s="715"/>
      <c r="AL462" s="746"/>
      <c r="AM462" s="571"/>
      <c r="AN462" s="598"/>
    </row>
    <row r="463" spans="1:40" s="551" customFormat="1" ht="12.75" customHeight="1">
      <c r="A463" s="537"/>
      <c r="B463" s="14"/>
      <c r="C463" s="732"/>
      <c r="D463" s="14"/>
      <c r="E463" s="692"/>
      <c r="F463" s="2441"/>
      <c r="G463" s="2441"/>
      <c r="H463" s="2441"/>
      <c r="I463" s="2441"/>
      <c r="J463" s="2441"/>
      <c r="K463" s="2441"/>
      <c r="L463" s="2441"/>
      <c r="M463" s="2441"/>
      <c r="N463" s="2441"/>
      <c r="O463" s="2441"/>
      <c r="P463" s="2441"/>
      <c r="Q463" s="2441"/>
      <c r="R463" s="2441"/>
      <c r="S463" s="2441"/>
      <c r="T463" s="2441"/>
      <c r="U463" s="2441"/>
      <c r="V463" s="2441"/>
      <c r="W463" s="2441"/>
      <c r="X463" s="2441"/>
      <c r="Y463" s="2441"/>
      <c r="Z463" s="2441"/>
      <c r="AA463" s="2441"/>
      <c r="AB463" s="2441"/>
      <c r="AC463" s="2441"/>
      <c r="AD463" s="2441"/>
      <c r="AE463" s="2441"/>
      <c r="AF463" s="2441"/>
      <c r="AL463" s="733"/>
      <c r="AM463" s="571"/>
      <c r="AN463" s="598"/>
    </row>
    <row r="464" spans="1:40" s="551" customFormat="1" ht="12.75" customHeight="1">
      <c r="A464" s="537"/>
      <c r="B464" s="14"/>
      <c r="C464" s="740"/>
      <c r="F464" s="2441"/>
      <c r="G464" s="2441"/>
      <c r="H464" s="2441"/>
      <c r="I464" s="2441"/>
      <c r="J464" s="2441"/>
      <c r="K464" s="2441"/>
      <c r="L464" s="2441"/>
      <c r="M464" s="2441"/>
      <c r="N464" s="2441"/>
      <c r="O464" s="2441"/>
      <c r="P464" s="2441"/>
      <c r="Q464" s="2441"/>
      <c r="R464" s="2441"/>
      <c r="S464" s="2441"/>
      <c r="T464" s="2441"/>
      <c r="U464" s="2441"/>
      <c r="V464" s="2441"/>
      <c r="W464" s="2441"/>
      <c r="X464" s="2441"/>
      <c r="Y464" s="2441"/>
      <c r="Z464" s="2441"/>
      <c r="AA464" s="2441"/>
      <c r="AB464" s="2441"/>
      <c r="AC464" s="2441"/>
      <c r="AD464" s="2441"/>
      <c r="AE464" s="2441"/>
      <c r="AF464" s="2441"/>
      <c r="AL464" s="733"/>
      <c r="AM464" s="571"/>
      <c r="AN464" s="598"/>
    </row>
    <row r="465" spans="1:58" s="551" customFormat="1" ht="12.75" customHeight="1">
      <c r="A465" s="537"/>
      <c r="B465" s="14"/>
      <c r="C465" s="740"/>
      <c r="F465" s="2441"/>
      <c r="G465" s="2441"/>
      <c r="H465" s="2441"/>
      <c r="I465" s="2441"/>
      <c r="J465" s="2441"/>
      <c r="K465" s="2441"/>
      <c r="L465" s="2441"/>
      <c r="M465" s="2441"/>
      <c r="N465" s="2441"/>
      <c r="O465" s="2441"/>
      <c r="P465" s="2441"/>
      <c r="Q465" s="2441"/>
      <c r="R465" s="2441"/>
      <c r="S465" s="2441"/>
      <c r="T465" s="2441"/>
      <c r="U465" s="2441"/>
      <c r="V465" s="2441"/>
      <c r="W465" s="2441"/>
      <c r="X465" s="2441"/>
      <c r="Y465" s="2441"/>
      <c r="Z465" s="2441"/>
      <c r="AA465" s="2441"/>
      <c r="AB465" s="2441"/>
      <c r="AC465" s="2441"/>
      <c r="AD465" s="2441"/>
      <c r="AE465" s="2441"/>
      <c r="AF465" s="2441"/>
      <c r="AL465" s="733"/>
      <c r="AM465" s="571"/>
      <c r="AN465" s="598"/>
    </row>
    <row r="466" spans="1:58" s="551" customFormat="1" ht="12.75" customHeight="1">
      <c r="A466" s="537"/>
      <c r="B466" s="14"/>
      <c r="C466" s="2450" t="s">
        <v>591</v>
      </c>
      <c r="D466" s="2451"/>
      <c r="E466" s="720"/>
      <c r="F466" s="722" t="s">
        <v>1479</v>
      </c>
      <c r="G466" s="604"/>
      <c r="H466" s="604"/>
      <c r="I466" s="604"/>
      <c r="J466" s="604"/>
      <c r="K466" s="604"/>
      <c r="L466" s="604"/>
      <c r="M466" s="604"/>
      <c r="N466" s="604"/>
      <c r="O466" s="604"/>
      <c r="P466" s="604"/>
      <c r="Q466" s="604"/>
      <c r="R466" s="604"/>
      <c r="S466" s="604"/>
      <c r="T466" s="604"/>
      <c r="U466" s="604"/>
      <c r="V466" s="604"/>
      <c r="W466" s="604"/>
      <c r="X466" s="604"/>
      <c r="Y466" s="604"/>
      <c r="Z466" s="604"/>
      <c r="AA466" s="604"/>
      <c r="AB466" s="604"/>
      <c r="AC466" s="604"/>
      <c r="AD466" s="604"/>
      <c r="AF466" s="2452" t="s">
        <v>1462</v>
      </c>
      <c r="AG466" s="2452"/>
      <c r="AH466" s="2452"/>
      <c r="AI466" s="2452"/>
      <c r="AJ466" s="2452"/>
      <c r="AK466" s="2452"/>
      <c r="AL466" s="2453"/>
      <c r="AM466" s="571"/>
      <c r="AN466" s="598"/>
    </row>
    <row r="467" spans="1:58" s="551" customFormat="1" ht="12.75" customHeight="1">
      <c r="A467" s="537"/>
      <c r="B467" s="14"/>
      <c r="C467" s="741"/>
      <c r="D467" s="734"/>
      <c r="E467" s="735"/>
      <c r="F467" s="728"/>
      <c r="G467" s="728"/>
      <c r="H467" s="728"/>
      <c r="I467" s="728"/>
      <c r="J467" s="728"/>
      <c r="K467" s="728"/>
      <c r="L467" s="728"/>
      <c r="M467" s="728"/>
      <c r="N467" s="728"/>
      <c r="O467" s="728"/>
      <c r="P467" s="728"/>
      <c r="Q467" s="728"/>
      <c r="R467" s="728"/>
      <c r="S467" s="728"/>
      <c r="T467" s="728"/>
      <c r="U467" s="728"/>
      <c r="V467" s="728"/>
      <c r="W467" s="728"/>
      <c r="X467" s="728"/>
      <c r="Y467" s="728"/>
      <c r="Z467" s="728"/>
      <c r="AA467" s="728"/>
      <c r="AB467" s="728"/>
      <c r="AC467" s="728"/>
      <c r="AD467" s="728"/>
      <c r="AE467" s="728"/>
      <c r="AF467" s="728"/>
      <c r="AG467" s="728"/>
      <c r="AH467" s="728"/>
      <c r="AI467" s="728"/>
      <c r="AJ467" s="728"/>
      <c r="AK467" s="728"/>
      <c r="AL467" s="743"/>
      <c r="AN467" s="598"/>
    </row>
    <row r="468" spans="1:58" s="551" customFormat="1" ht="12.75" customHeight="1">
      <c r="A468" s="537"/>
      <c r="B468" s="14"/>
      <c r="C468" s="1017"/>
      <c r="D468" s="571"/>
      <c r="F468" s="722"/>
      <c r="G468" s="604"/>
      <c r="H468" s="604"/>
      <c r="I468" s="604"/>
      <c r="J468" s="604"/>
      <c r="K468" s="604"/>
      <c r="L468" s="604"/>
      <c r="M468" s="604"/>
      <c r="N468" s="604"/>
      <c r="O468" s="604"/>
      <c r="P468" s="604"/>
      <c r="Q468" s="604"/>
      <c r="R468" s="604"/>
      <c r="S468" s="604"/>
      <c r="T468" s="604"/>
      <c r="U468" s="604"/>
      <c r="V468" s="604"/>
      <c r="W468" s="604"/>
      <c r="X468" s="604"/>
      <c r="Y468" s="604"/>
      <c r="Z468" s="604"/>
      <c r="AA468" s="604"/>
      <c r="AB468" s="604"/>
      <c r="AC468" s="604"/>
      <c r="AD468" s="604"/>
      <c r="AF468" s="614"/>
      <c r="AG468" s="614"/>
      <c r="AH468" s="614"/>
      <c r="AI468" s="614"/>
      <c r="AJ468" s="614"/>
      <c r="AK468" s="614"/>
      <c r="AL468" s="614"/>
      <c r="AN468" s="598"/>
    </row>
    <row r="469" spans="1:58" s="551" customFormat="1" ht="12.75" customHeight="1">
      <c r="A469" s="601"/>
      <c r="B469" s="858" t="s">
        <v>1508</v>
      </c>
      <c r="D469" s="678"/>
      <c r="E469" s="602"/>
      <c r="F469" s="602"/>
      <c r="G469" s="602"/>
      <c r="H469" s="602"/>
      <c r="I469" s="602"/>
      <c r="J469" s="602"/>
      <c r="K469" s="602"/>
      <c r="L469" s="602"/>
      <c r="M469" s="602"/>
      <c r="N469" s="602"/>
      <c r="O469" s="602"/>
      <c r="P469" s="602"/>
      <c r="Q469" s="602"/>
      <c r="R469" s="602"/>
      <c r="S469" s="602"/>
      <c r="T469" s="602"/>
      <c r="U469" s="602"/>
      <c r="V469" s="602"/>
      <c r="W469" s="602"/>
      <c r="X469" s="602"/>
      <c r="Y469" s="602"/>
      <c r="Z469" s="602"/>
      <c r="AA469" s="602"/>
      <c r="AB469" s="602"/>
      <c r="AC469" s="602"/>
      <c r="AD469" s="602"/>
      <c r="AE469" s="565"/>
      <c r="AF469" s="565"/>
      <c r="AG469" s="565"/>
      <c r="AH469" s="565"/>
      <c r="AI469" s="566"/>
      <c r="AJ469" s="566" t="s">
        <v>1509</v>
      </c>
      <c r="AK469" s="2437">
        <f>IF(Application!D214="N/A",AS358,AS360)</f>
        <v>10</v>
      </c>
      <c r="AL469" s="2438"/>
      <c r="AM469" s="2439"/>
      <c r="AN469" s="598"/>
    </row>
    <row r="470" spans="1:58" s="551" customFormat="1" ht="12.75" customHeight="1" thickBot="1">
      <c r="A470" s="760"/>
      <c r="B470" s="760"/>
      <c r="C470" s="760"/>
      <c r="D470" s="760"/>
      <c r="E470" s="760"/>
      <c r="F470" s="760"/>
      <c r="G470" s="760"/>
      <c r="H470" s="760"/>
      <c r="I470" s="760"/>
      <c r="J470" s="760"/>
      <c r="K470" s="760"/>
      <c r="L470" s="760"/>
      <c r="M470" s="760"/>
      <c r="N470" s="760"/>
      <c r="O470" s="760"/>
      <c r="P470" s="760"/>
      <c r="Q470" s="760"/>
      <c r="R470" s="760"/>
      <c r="S470" s="760"/>
      <c r="T470" s="760"/>
      <c r="U470" s="760"/>
      <c r="V470" s="760"/>
      <c r="W470" s="760"/>
      <c r="X470" s="760"/>
      <c r="Y470" s="760"/>
      <c r="Z470" s="760"/>
      <c r="AA470" s="760"/>
      <c r="AB470" s="760"/>
      <c r="AC470" s="760"/>
      <c r="AD470" s="760"/>
      <c r="AE470" s="760"/>
      <c r="AF470" s="760"/>
      <c r="AG470" s="760"/>
      <c r="AH470" s="760"/>
      <c r="AI470" s="760"/>
      <c r="AJ470" s="760"/>
      <c r="AK470" s="760"/>
      <c r="AL470" s="760"/>
      <c r="AM470" s="761"/>
      <c r="AN470" s="598"/>
    </row>
    <row r="471" spans="1:58" s="551" customFormat="1" ht="12.75" hidden="1" customHeight="1" thickTop="1">
      <c r="A471" s="86"/>
      <c r="B471" s="572"/>
      <c r="C471" s="573"/>
      <c r="D471" s="573"/>
      <c r="E471" s="573"/>
      <c r="F471" s="573"/>
      <c r="G471" s="573"/>
      <c r="H471" s="573"/>
      <c r="I471" s="574"/>
      <c r="J471" s="574"/>
      <c r="K471" s="574"/>
      <c r="L471" s="574"/>
      <c r="M471" s="574"/>
      <c r="N471" s="574"/>
      <c r="O471" s="574"/>
      <c r="P471" s="574"/>
      <c r="Q471" s="574"/>
      <c r="R471" s="571"/>
      <c r="S471" s="540"/>
      <c r="T471" s="540"/>
      <c r="U471" s="540"/>
      <c r="V471" s="540"/>
      <c r="W471" s="540"/>
      <c r="X471" s="540"/>
      <c r="Y471" s="540"/>
      <c r="Z471" s="540"/>
      <c r="AA471" s="540"/>
      <c r="AB471" s="540"/>
      <c r="AC471" s="540"/>
      <c r="AD471" s="540"/>
      <c r="AE471" s="540"/>
      <c r="AF471" s="571"/>
      <c r="AG471" s="540"/>
      <c r="AH471" s="540"/>
      <c r="AI471" s="540"/>
      <c r="AJ471" s="540"/>
      <c r="AM471" s="14"/>
      <c r="AN471" s="598"/>
      <c r="AO471" s="551" t="s">
        <v>591</v>
      </c>
      <c r="AP471" s="551">
        <v>0</v>
      </c>
      <c r="AT471" s="551" t="s">
        <v>591</v>
      </c>
      <c r="AU471" s="551">
        <v>0</v>
      </c>
      <c r="AV471" s="753"/>
    </row>
    <row r="472" spans="1:58" s="551" customFormat="1" ht="12.75" hidden="1" customHeight="1">
      <c r="A472" s="540" t="s">
        <v>1510</v>
      </c>
      <c r="C472" s="540"/>
      <c r="E472" s="597"/>
      <c r="AE472" s="2452" t="s">
        <v>1511</v>
      </c>
      <c r="AF472" s="2452"/>
      <c r="AG472" s="2452"/>
      <c r="AH472" s="2452"/>
      <c r="AI472" s="2452"/>
      <c r="AJ472" s="2452"/>
      <c r="AK472" s="2452"/>
      <c r="AL472" s="592"/>
      <c r="AN472" s="598"/>
      <c r="AO472" s="551" t="s">
        <v>1489</v>
      </c>
      <c r="AP472" s="551">
        <v>5</v>
      </c>
      <c r="AT472" s="551" t="s">
        <v>1489</v>
      </c>
      <c r="AU472" s="551">
        <v>5</v>
      </c>
      <c r="AV472" s="753"/>
    </row>
    <row r="473" spans="1:58" s="551" customFormat="1" ht="12.75" hidden="1" customHeight="1">
      <c r="A473" s="540"/>
      <c r="B473" s="537" t="s">
        <v>1512</v>
      </c>
      <c r="C473" s="540"/>
      <c r="E473" s="597"/>
      <c r="AE473" s="592"/>
      <c r="AF473" s="592"/>
      <c r="AG473" s="592"/>
      <c r="AH473" s="592"/>
      <c r="AI473" s="592"/>
      <c r="AJ473" s="592"/>
      <c r="AK473" s="592"/>
      <c r="AL473" s="592"/>
      <c r="AN473" s="598"/>
      <c r="AO473" s="551" t="s">
        <v>1513</v>
      </c>
      <c r="AP473" s="551">
        <v>5</v>
      </c>
      <c r="AT473" s="551" t="s">
        <v>1490</v>
      </c>
      <c r="AU473" s="551">
        <v>5</v>
      </c>
      <c r="AV473" s="753"/>
    </row>
    <row r="474" spans="1:58" s="551" customFormat="1" ht="12.75" hidden="1" customHeight="1">
      <c r="A474" s="540"/>
      <c r="B474" s="540" t="s">
        <v>1514</v>
      </c>
      <c r="C474" s="540"/>
      <c r="E474" s="597"/>
      <c r="AE474" s="592"/>
      <c r="AF474" s="592"/>
      <c r="AG474" s="592"/>
      <c r="AH474" s="592"/>
      <c r="AI474" s="592"/>
      <c r="AJ474" s="592"/>
      <c r="AK474" s="592"/>
      <c r="AL474" s="592"/>
      <c r="AN474" s="598"/>
      <c r="AO474" s="551" t="s">
        <v>1491</v>
      </c>
      <c r="AP474" s="551">
        <v>5</v>
      </c>
      <c r="AQ474" s="540"/>
      <c r="AR474" s="540"/>
      <c r="AS474" s="756"/>
      <c r="AT474" s="551" t="s">
        <v>1491</v>
      </c>
      <c r="AU474" s="551">
        <v>5</v>
      </c>
      <c r="AV474" s="537"/>
    </row>
    <row r="475" spans="1:58" s="551" customFormat="1" ht="12.75" hidden="1" customHeight="1">
      <c r="A475" s="540"/>
      <c r="B475" s="540" t="s">
        <v>1515</v>
      </c>
      <c r="C475" s="540"/>
      <c r="E475" s="597"/>
      <c r="AE475" s="592"/>
      <c r="AF475" s="592"/>
      <c r="AG475" s="592"/>
      <c r="AH475" s="592"/>
      <c r="AI475" s="592"/>
      <c r="AJ475" s="592"/>
      <c r="AK475" s="592"/>
      <c r="AL475" s="592"/>
      <c r="AN475" s="598"/>
      <c r="AO475" s="551" t="s">
        <v>1493</v>
      </c>
      <c r="AP475" s="551">
        <v>5</v>
      </c>
      <c r="AQ475" s="540"/>
      <c r="AR475" s="540"/>
      <c r="AT475" s="551" t="s">
        <v>1493</v>
      </c>
      <c r="AU475" s="551">
        <v>5</v>
      </c>
    </row>
    <row r="476" spans="1:58" s="551" customFormat="1" ht="12.75" hidden="1" customHeight="1">
      <c r="A476" s="540"/>
      <c r="C476" s="540"/>
      <c r="E476" s="597"/>
      <c r="AE476" s="592"/>
      <c r="AF476" s="592"/>
      <c r="AG476" s="592"/>
      <c r="AH476" s="592"/>
      <c r="AI476" s="592"/>
      <c r="AJ476" s="592"/>
      <c r="AK476" s="592"/>
      <c r="AL476" s="592"/>
      <c r="AN476" s="598"/>
      <c r="AO476" s="551" t="s">
        <v>1494</v>
      </c>
      <c r="AP476" s="551">
        <v>5</v>
      </c>
      <c r="AQ476" s="540"/>
      <c r="AR476" s="540"/>
      <c r="AT476" s="551" t="s">
        <v>1494</v>
      </c>
      <c r="AU476" s="551">
        <v>5</v>
      </c>
    </row>
    <row r="477" spans="1:58" s="551" customFormat="1" ht="12.75" hidden="1" customHeight="1">
      <c r="A477" s="540"/>
      <c r="C477" s="713" t="s">
        <v>1516</v>
      </c>
      <c r="D477" s="571"/>
      <c r="AE477" s="592"/>
      <c r="AF477" s="592"/>
      <c r="AG477" s="597"/>
      <c r="AH477" s="597"/>
      <c r="AI477" s="597"/>
      <c r="AJ477" s="597"/>
      <c r="AK477" s="597"/>
      <c r="AL477" s="597"/>
      <c r="AN477" s="598"/>
      <c r="AO477" s="551" t="s">
        <v>1495</v>
      </c>
      <c r="AP477" s="551">
        <v>5</v>
      </c>
      <c r="AT477" s="551" t="s">
        <v>1495</v>
      </c>
      <c r="AU477" s="551">
        <v>5</v>
      </c>
    </row>
    <row r="478" spans="1:58" s="551" customFormat="1" ht="12.75" hidden="1" customHeight="1">
      <c r="A478" s="540"/>
      <c r="C478" s="2459" t="s">
        <v>591</v>
      </c>
      <c r="D478" s="2460"/>
      <c r="E478" s="762" t="s">
        <v>507</v>
      </c>
      <c r="F478" s="2537" t="s">
        <v>1517</v>
      </c>
      <c r="G478" s="2537"/>
      <c r="H478" s="2537"/>
      <c r="I478" s="2537"/>
      <c r="J478" s="2537"/>
      <c r="K478" s="2537"/>
      <c r="L478" s="2537"/>
      <c r="M478" s="2537"/>
      <c r="N478" s="2537"/>
      <c r="O478" s="2537"/>
      <c r="P478" s="2537"/>
      <c r="Q478" s="2537"/>
      <c r="R478" s="2537"/>
      <c r="S478" s="2537"/>
      <c r="T478" s="2537"/>
      <c r="U478" s="2537"/>
      <c r="V478" s="2537"/>
      <c r="W478" s="2537"/>
      <c r="X478" s="2537"/>
      <c r="Y478" s="2537"/>
      <c r="Z478" s="2537"/>
      <c r="AA478" s="2537"/>
      <c r="AB478" s="2537"/>
      <c r="AC478" s="2537"/>
      <c r="AD478" s="2537"/>
      <c r="AE478" s="2537"/>
      <c r="AF478" s="715"/>
      <c r="AG478" s="715"/>
      <c r="AH478" s="715"/>
      <c r="AI478" s="715"/>
      <c r="AJ478" s="715"/>
      <c r="AK478" s="746"/>
      <c r="AN478" s="598"/>
      <c r="AO478" s="551" t="s">
        <v>1518</v>
      </c>
      <c r="AP478" s="551">
        <v>5</v>
      </c>
      <c r="AS478" s="759"/>
      <c r="AT478" s="551" t="s">
        <v>1496</v>
      </c>
      <c r="AU478" s="551">
        <v>5</v>
      </c>
    </row>
    <row r="479" spans="1:58" s="551" customFormat="1" ht="12.75" hidden="1" customHeight="1">
      <c r="C479" s="763"/>
      <c r="E479" s="764"/>
      <c r="F479" s="2538"/>
      <c r="G479" s="2538"/>
      <c r="H479" s="2538"/>
      <c r="I479" s="2538"/>
      <c r="J479" s="2538"/>
      <c r="K479" s="2538"/>
      <c r="L479" s="2538"/>
      <c r="M479" s="2538"/>
      <c r="N479" s="2538"/>
      <c r="O479" s="2538"/>
      <c r="P479" s="2538"/>
      <c r="Q479" s="2538"/>
      <c r="R479" s="2538"/>
      <c r="S479" s="2538"/>
      <c r="T479" s="2538"/>
      <c r="U479" s="2538"/>
      <c r="V479" s="2538"/>
      <c r="W479" s="2538"/>
      <c r="X479" s="2538"/>
      <c r="Y479" s="2538"/>
      <c r="Z479" s="2538"/>
      <c r="AA479" s="2538"/>
      <c r="AB479" s="2538"/>
      <c r="AC479" s="2538"/>
      <c r="AD479" s="2538"/>
      <c r="AE479" s="2538"/>
      <c r="AG479" s="552"/>
      <c r="AH479" s="552"/>
      <c r="AI479" s="552"/>
      <c r="AJ479" s="552"/>
      <c r="AK479" s="733"/>
      <c r="AN479" s="598"/>
      <c r="AO479" s="551" t="s">
        <v>1499</v>
      </c>
      <c r="AP479" s="551">
        <v>1</v>
      </c>
      <c r="AT479" s="551" t="s">
        <v>1499</v>
      </c>
      <c r="AU479" s="551">
        <v>1</v>
      </c>
    </row>
    <row r="480" spans="1:58" s="551" customFormat="1" ht="12.75" hidden="1" customHeight="1">
      <c r="C480" s="765"/>
      <c r="D480" s="728"/>
      <c r="E480" s="766"/>
      <c r="F480" s="2465" t="s">
        <v>591</v>
      </c>
      <c r="G480" s="2465"/>
      <c r="H480" s="2465"/>
      <c r="I480" s="2465"/>
      <c r="J480" s="2465"/>
      <c r="K480" s="2465"/>
      <c r="L480" s="2465"/>
      <c r="M480" s="2465"/>
      <c r="N480" s="2465"/>
      <c r="O480" s="2465"/>
      <c r="P480" s="2465"/>
      <c r="Q480" s="2465"/>
      <c r="R480" s="2465"/>
      <c r="S480" s="2465"/>
      <c r="T480" s="2465"/>
      <c r="U480" s="2465"/>
      <c r="V480" s="2465"/>
      <c r="W480" s="2465"/>
      <c r="X480" s="2465"/>
      <c r="Y480" s="2465"/>
      <c r="Z480" s="2465"/>
      <c r="AA480" s="767"/>
      <c r="AB480" s="659"/>
      <c r="AC480" s="659"/>
      <c r="AD480" s="728"/>
      <c r="AE480" s="728"/>
      <c r="AF480" s="728"/>
      <c r="AG480" s="768">
        <f>IF($C$478="Yes",(VLOOKUP($F$480,$AT$471:$AU$479,2,FALSE)),0)</f>
        <v>0</v>
      </c>
      <c r="AH480" s="769" t="s">
        <v>1328</v>
      </c>
      <c r="AI480" s="768"/>
      <c r="AJ480" s="768"/>
      <c r="AK480" s="743"/>
      <c r="AN480" s="598"/>
      <c r="AS480" s="756"/>
      <c r="AX480" s="756"/>
      <c r="BB480" s="756" t="s">
        <v>1500</v>
      </c>
      <c r="BF480" s="756" t="s">
        <v>1501</v>
      </c>
    </row>
    <row r="481" spans="1:81" s="551" customFormat="1" ht="12.75" hidden="1" customHeight="1">
      <c r="C481" s="552"/>
      <c r="E481" s="764"/>
      <c r="F481" s="594"/>
      <c r="G481" s="594"/>
      <c r="H481" s="594"/>
      <c r="I481" s="594"/>
      <c r="J481" s="594"/>
      <c r="K481" s="594"/>
      <c r="L481" s="594"/>
      <c r="M481" s="594"/>
      <c r="N481" s="594"/>
      <c r="O481" s="594"/>
      <c r="P481" s="594"/>
      <c r="Q481" s="594"/>
      <c r="R481" s="594"/>
      <c r="S481" s="594"/>
      <c r="T481" s="594"/>
      <c r="U481" s="594"/>
      <c r="V481" s="594"/>
      <c r="W481" s="594"/>
      <c r="X481" s="594"/>
      <c r="Y481" s="594"/>
      <c r="Z481" s="594"/>
      <c r="AA481" s="571"/>
      <c r="AB481" s="552"/>
      <c r="AC481" s="552"/>
      <c r="AG481" s="552"/>
      <c r="AH481" s="552"/>
      <c r="AI481" s="552"/>
      <c r="AJ481" s="552"/>
      <c r="AN481" s="598"/>
      <c r="AO481" s="551" t="s">
        <v>591</v>
      </c>
      <c r="AP481" s="638">
        <v>0</v>
      </c>
      <c r="AT481" s="551" t="s">
        <v>591</v>
      </c>
      <c r="AU481" s="638">
        <v>0</v>
      </c>
      <c r="AW481" s="551" t="s">
        <v>591</v>
      </c>
      <c r="AX481" s="638">
        <v>0</v>
      </c>
      <c r="AY481" s="594"/>
      <c r="BB481" s="551" t="s">
        <v>591</v>
      </c>
      <c r="BC481" s="594">
        <v>0</v>
      </c>
      <c r="BF481" s="551" t="s">
        <v>591</v>
      </c>
      <c r="BG481" s="594">
        <v>0</v>
      </c>
    </row>
    <row r="482" spans="1:81" s="551" customFormat="1" ht="12.75" hidden="1" customHeight="1">
      <c r="C482" s="2466" t="s">
        <v>545</v>
      </c>
      <c r="D482" s="2467"/>
      <c r="E482" s="762" t="s">
        <v>757</v>
      </c>
      <c r="F482" s="770" t="s">
        <v>1519</v>
      </c>
      <c r="G482" s="650"/>
      <c r="H482" s="650"/>
      <c r="I482" s="650"/>
      <c r="J482" s="650"/>
      <c r="K482" s="650"/>
      <c r="L482" s="650"/>
      <c r="M482" s="650"/>
      <c r="N482" s="650"/>
      <c r="O482" s="650"/>
      <c r="P482" s="650"/>
      <c r="Q482" s="650"/>
      <c r="R482" s="650"/>
      <c r="S482" s="650"/>
      <c r="T482" s="650"/>
      <c r="U482" s="650"/>
      <c r="V482" s="650"/>
      <c r="W482" s="650"/>
      <c r="X482" s="650"/>
      <c r="Y482" s="650"/>
      <c r="Z482" s="650"/>
      <c r="AA482" s="650"/>
      <c r="AB482" s="650"/>
      <c r="AC482" s="650"/>
      <c r="AD482" s="715"/>
      <c r="AE482" s="715"/>
      <c r="AF482" s="715"/>
      <c r="AG482" s="650"/>
      <c r="AH482" s="650"/>
      <c r="AI482" s="650"/>
      <c r="AJ482" s="650"/>
      <c r="AK482" s="746"/>
      <c r="AN482" s="598"/>
      <c r="AO482" s="759">
        <v>0.15</v>
      </c>
      <c r="AP482" s="638">
        <v>3</v>
      </c>
      <c r="AT482" s="759">
        <v>7.0000000000000007E-2</v>
      </c>
      <c r="AU482" s="638">
        <v>3</v>
      </c>
      <c r="AW482" s="551" t="s">
        <v>1502</v>
      </c>
      <c r="AX482" s="638">
        <v>3</v>
      </c>
      <c r="AY482" s="594"/>
      <c r="BB482" s="759">
        <v>0.4</v>
      </c>
      <c r="BC482" s="594">
        <v>3</v>
      </c>
      <c r="BF482" s="759">
        <v>0.4</v>
      </c>
      <c r="BG482" s="594">
        <v>4</v>
      </c>
    </row>
    <row r="483" spans="1:81" s="551" customFormat="1" ht="12.75" hidden="1" customHeight="1">
      <c r="C483" s="771" t="s">
        <v>1520</v>
      </c>
      <c r="F483" s="772" t="s">
        <v>1521</v>
      </c>
      <c r="G483" s="552"/>
      <c r="H483" s="552"/>
      <c r="I483" s="552"/>
      <c r="J483" s="552"/>
      <c r="K483" s="552"/>
      <c r="L483" s="552"/>
      <c r="M483" s="552"/>
      <c r="N483" s="552"/>
      <c r="O483" s="552"/>
      <c r="P483" s="552"/>
      <c r="Q483" s="552"/>
      <c r="R483" s="552"/>
      <c r="S483" s="552"/>
      <c r="T483" s="552"/>
      <c r="U483" s="552"/>
      <c r="V483" s="552"/>
      <c r="W483" s="552"/>
      <c r="X483" s="552"/>
      <c r="Y483" s="552"/>
      <c r="Z483" s="552"/>
      <c r="AA483" s="552"/>
      <c r="AB483" s="552"/>
      <c r="AC483" s="592"/>
      <c r="AG483" s="614"/>
      <c r="AH483" s="614"/>
      <c r="AI483" s="614"/>
      <c r="AJ483" s="614"/>
      <c r="AK483" s="733"/>
      <c r="AN483" s="598"/>
      <c r="AO483" s="759">
        <v>0.2</v>
      </c>
      <c r="AP483" s="638">
        <v>5</v>
      </c>
      <c r="AT483" s="759">
        <v>0.12</v>
      </c>
      <c r="AU483" s="638">
        <v>5</v>
      </c>
      <c r="AW483" s="551" t="s">
        <v>1505</v>
      </c>
      <c r="AX483" s="638">
        <v>5</v>
      </c>
      <c r="AY483" s="594"/>
      <c r="BB483" s="759">
        <v>0.6</v>
      </c>
      <c r="BC483" s="594">
        <v>4</v>
      </c>
      <c r="BF483" s="759">
        <v>0.6</v>
      </c>
      <c r="BG483" s="594">
        <v>5</v>
      </c>
    </row>
    <row r="484" spans="1:81" s="551" customFormat="1" ht="12.75" hidden="1" customHeight="1">
      <c r="C484" s="752"/>
      <c r="D484" s="731"/>
      <c r="E484" s="773"/>
      <c r="F484" s="772" t="s">
        <v>1522</v>
      </c>
      <c r="G484" s="772"/>
      <c r="H484" s="772"/>
      <c r="I484" s="772"/>
      <c r="J484" s="772"/>
      <c r="K484" s="772"/>
      <c r="L484" s="772"/>
      <c r="M484" s="772"/>
      <c r="N484" s="772"/>
      <c r="O484" s="772"/>
      <c r="P484" s="772"/>
      <c r="Q484" s="772"/>
      <c r="R484" s="772"/>
      <c r="S484" s="772"/>
      <c r="T484" s="772"/>
      <c r="U484" s="772"/>
      <c r="V484" s="772"/>
      <c r="W484" s="772"/>
      <c r="X484" s="772"/>
      <c r="Y484" s="772"/>
      <c r="Z484" s="772"/>
      <c r="AA484" s="772"/>
      <c r="AB484" s="772"/>
      <c r="AC484" s="774"/>
      <c r="AD484" s="610"/>
      <c r="AE484" s="610"/>
      <c r="AF484" s="610"/>
      <c r="AG484" s="775"/>
      <c r="AH484" s="614"/>
      <c r="AI484" s="614"/>
      <c r="AJ484" s="614"/>
      <c r="AK484" s="733"/>
      <c r="AN484" s="679"/>
      <c r="AO484" s="759"/>
      <c r="AP484" s="594"/>
      <c r="AT484" s="759"/>
      <c r="AU484" s="594"/>
      <c r="AX484" s="759"/>
      <c r="AY484" s="594"/>
      <c r="BB484" s="759">
        <v>0.8</v>
      </c>
      <c r="BC484" s="594">
        <v>5</v>
      </c>
      <c r="BF484" s="759"/>
      <c r="BG484" s="594"/>
    </row>
    <row r="485" spans="1:81" s="597" customFormat="1" ht="12.75" hidden="1" customHeight="1">
      <c r="A485" s="638"/>
      <c r="B485" s="551"/>
      <c r="C485" s="763"/>
      <c r="D485" s="551"/>
      <c r="E485" s="764"/>
      <c r="F485" s="776" t="s">
        <v>1523</v>
      </c>
      <c r="G485" s="551"/>
      <c r="H485" s="551"/>
      <c r="I485" s="772"/>
      <c r="J485" s="772"/>
      <c r="K485" s="772"/>
      <c r="L485" s="772"/>
      <c r="M485" s="772"/>
      <c r="N485" s="772"/>
      <c r="O485" s="772"/>
      <c r="P485" s="772"/>
      <c r="Q485" s="772"/>
      <c r="R485" s="772"/>
      <c r="S485" s="772"/>
      <c r="T485" s="772"/>
      <c r="U485" s="772"/>
      <c r="V485" s="2445" t="s">
        <v>591</v>
      </c>
      <c r="W485" s="2445"/>
      <c r="X485" s="2445"/>
      <c r="Y485" s="772"/>
      <c r="Z485" s="772"/>
      <c r="AA485" s="772"/>
      <c r="AB485" s="772"/>
      <c r="AC485" s="772"/>
      <c r="AD485" s="610"/>
      <c r="AE485" s="610"/>
      <c r="AF485" s="610"/>
      <c r="AG485" s="614">
        <f>IF(AND($C$482="Yes",$V$487="N/A",$V$492="N/A",$V$496="N/A",$V$498="N/A"),(VLOOKUP(V485,$AW$481:$AX$483,2,FALSE)),0)</f>
        <v>0</v>
      </c>
      <c r="AH485" s="641" t="s">
        <v>1328</v>
      </c>
      <c r="AI485" s="552"/>
      <c r="AJ485" s="552"/>
      <c r="AK485" s="733"/>
      <c r="AL485" s="551"/>
      <c r="AM485" s="551"/>
      <c r="AN485" s="598"/>
      <c r="AT485" s="551" t="s">
        <v>591</v>
      </c>
      <c r="AU485" s="638">
        <v>0</v>
      </c>
      <c r="AV485" s="551"/>
      <c r="AW485" s="551"/>
      <c r="AX485" s="551"/>
      <c r="AY485" s="551"/>
      <c r="AZ485" s="551"/>
      <c r="BA485" s="551"/>
      <c r="BB485" s="759"/>
      <c r="BC485" s="594"/>
      <c r="BD485" s="551"/>
      <c r="BE485" s="551"/>
      <c r="BF485" s="551"/>
      <c r="BG485" s="551"/>
    </row>
    <row r="486" spans="1:81" s="597" customFormat="1" ht="12.75" hidden="1" customHeight="1">
      <c r="A486" s="638"/>
      <c r="B486" s="551"/>
      <c r="C486" s="763"/>
      <c r="D486" s="551"/>
      <c r="E486" s="764"/>
      <c r="F486" s="776"/>
      <c r="G486" s="551"/>
      <c r="H486" s="551"/>
      <c r="I486" s="772"/>
      <c r="J486" s="772"/>
      <c r="K486" s="772"/>
      <c r="L486" s="772"/>
      <c r="M486" s="772"/>
      <c r="N486" s="772"/>
      <c r="O486" s="772"/>
      <c r="P486" s="772"/>
      <c r="Q486" s="772"/>
      <c r="R486" s="772"/>
      <c r="S486" s="772"/>
      <c r="T486" s="772"/>
      <c r="U486" s="772"/>
      <c r="V486" s="772"/>
      <c r="W486" s="772"/>
      <c r="X486" s="772"/>
      <c r="Y486" s="772"/>
      <c r="Z486" s="772"/>
      <c r="AA486" s="772"/>
      <c r="AB486" s="772"/>
      <c r="AC486" s="772"/>
      <c r="AD486" s="610"/>
      <c r="AE486" s="610"/>
      <c r="AF486" s="610"/>
      <c r="AG486" s="614"/>
      <c r="AH486" s="641"/>
      <c r="AI486" s="552"/>
      <c r="AJ486" s="552"/>
      <c r="AK486" s="733"/>
      <c r="AL486" s="551"/>
      <c r="AM486" s="551"/>
      <c r="AN486" s="598"/>
      <c r="AT486" s="759">
        <v>0.09</v>
      </c>
      <c r="AU486" s="638">
        <v>3</v>
      </c>
      <c r="AV486" s="551"/>
      <c r="AW486" s="551"/>
      <c r="AX486" s="756"/>
      <c r="AY486" s="551"/>
      <c r="AZ486" s="551"/>
      <c r="BA486" s="551"/>
      <c r="BB486" s="551"/>
      <c r="BC486" s="551"/>
      <c r="BD486" s="551"/>
      <c r="BE486" s="551"/>
      <c r="BF486" s="551"/>
      <c r="BG486" s="551"/>
    </row>
    <row r="487" spans="1:81" s="597" customFormat="1" ht="12.75" hidden="1" customHeight="1">
      <c r="A487" s="638"/>
      <c r="B487" s="551"/>
      <c r="C487" s="763"/>
      <c r="D487" s="551"/>
      <c r="E487" s="764"/>
      <c r="F487" s="776" t="s">
        <v>1524</v>
      </c>
      <c r="G487" s="551"/>
      <c r="H487" s="551"/>
      <c r="I487" s="772"/>
      <c r="J487" s="772"/>
      <c r="K487" s="772"/>
      <c r="L487" s="772"/>
      <c r="M487" s="772"/>
      <c r="N487" s="772"/>
      <c r="O487" s="772"/>
      <c r="P487" s="772"/>
      <c r="Q487" s="772"/>
      <c r="R487" s="772"/>
      <c r="S487" s="772"/>
      <c r="T487" s="772"/>
      <c r="U487" s="772"/>
      <c r="V487" s="2445" t="s">
        <v>591</v>
      </c>
      <c r="W487" s="2445"/>
      <c r="X487" s="2445"/>
      <c r="Y487" s="772"/>
      <c r="Z487" s="772"/>
      <c r="AA487" s="772"/>
      <c r="AB487" s="772"/>
      <c r="AC487" s="772"/>
      <c r="AD487" s="610"/>
      <c r="AE487" s="610"/>
      <c r="AF487" s="610"/>
      <c r="AG487" s="614">
        <f>IF(AND($C$482="Yes",$V$485="N/A", $V$492="N/A",$V$496="N/A",$V$498="N/A"),(VLOOKUP(V487,$AT$481:$AU$483,2,FALSE)),0)</f>
        <v>0</v>
      </c>
      <c r="AH487" s="641" t="s">
        <v>1328</v>
      </c>
      <c r="AI487" s="552"/>
      <c r="AJ487" s="552"/>
      <c r="AK487" s="733"/>
      <c r="AL487" s="551"/>
      <c r="AM487" s="551"/>
      <c r="AN487" s="598"/>
      <c r="AT487" s="759">
        <v>0.15</v>
      </c>
      <c r="AU487" s="638">
        <v>5</v>
      </c>
      <c r="AV487" s="551"/>
      <c r="AW487" s="551"/>
      <c r="AX487" s="551"/>
      <c r="AY487" s="551"/>
      <c r="AZ487" s="551"/>
      <c r="BA487" s="551"/>
      <c r="BB487" s="551"/>
      <c r="BC487" s="551"/>
      <c r="BD487" s="551"/>
      <c r="BE487" s="551"/>
      <c r="BF487" s="551"/>
      <c r="BG487" s="551"/>
    </row>
    <row r="488" spans="1:81" s="551" customFormat="1" ht="12.75" hidden="1" customHeight="1">
      <c r="C488" s="763"/>
      <c r="E488" s="764"/>
      <c r="F488" s="597"/>
      <c r="G488" s="777"/>
      <c r="H488" s="777"/>
      <c r="I488" s="777"/>
      <c r="J488" s="777"/>
      <c r="K488" s="777"/>
      <c r="L488" s="777"/>
      <c r="M488" s="777"/>
      <c r="N488" s="777"/>
      <c r="O488" s="777"/>
      <c r="P488" s="777"/>
      <c r="Q488" s="552"/>
      <c r="R488" s="552"/>
      <c r="S488" s="552"/>
      <c r="T488" s="552"/>
      <c r="U488" s="552"/>
      <c r="V488" s="552"/>
      <c r="W488" s="552"/>
      <c r="X488" s="552"/>
      <c r="Y488" s="552"/>
      <c r="Z488" s="552"/>
      <c r="AA488" s="552"/>
      <c r="AB488" s="552"/>
      <c r="AC488" s="552"/>
      <c r="AG488" s="597"/>
      <c r="AH488" s="597"/>
      <c r="AI488" s="597"/>
      <c r="AJ488" s="597"/>
      <c r="AK488" s="733"/>
      <c r="AN488" s="598"/>
      <c r="AO488" s="551" t="s">
        <v>591</v>
      </c>
      <c r="AP488" s="551">
        <v>0</v>
      </c>
    </row>
    <row r="489" spans="1:81" s="551" customFormat="1" ht="12.75" hidden="1" customHeight="1">
      <c r="C489" s="763"/>
      <c r="E489" s="764"/>
      <c r="F489" s="777" t="s">
        <v>1525</v>
      </c>
      <c r="I489" s="764"/>
      <c r="J489" s="764"/>
      <c r="K489" s="764"/>
      <c r="L489" s="764"/>
      <c r="M489" s="764"/>
      <c r="N489" s="764"/>
      <c r="O489" s="764"/>
      <c r="P489" s="764"/>
      <c r="Q489" s="552"/>
      <c r="R489" s="552"/>
      <c r="S489" s="552"/>
      <c r="T489" s="552"/>
      <c r="U489" s="552"/>
      <c r="V489" s="552"/>
      <c r="W489" s="552"/>
      <c r="X489" s="552"/>
      <c r="Y489" s="552"/>
      <c r="Z489" s="552"/>
      <c r="AA489" s="552"/>
      <c r="AB489" s="552"/>
      <c r="AC489" s="552"/>
      <c r="AJ489" s="552"/>
      <c r="AK489" s="733"/>
      <c r="AN489" s="598"/>
      <c r="AO489" s="551" t="s">
        <v>1526</v>
      </c>
      <c r="AP489" s="638">
        <v>2</v>
      </c>
    </row>
    <row r="490" spans="1:81" s="551" customFormat="1" ht="12.75" hidden="1" customHeight="1">
      <c r="C490" s="763"/>
      <c r="F490" s="610" t="s">
        <v>1527</v>
      </c>
      <c r="M490" s="764"/>
      <c r="N490" s="764"/>
      <c r="O490" s="764"/>
      <c r="P490" s="764"/>
      <c r="Q490" s="552"/>
      <c r="R490" s="552"/>
      <c r="S490" s="552"/>
      <c r="T490" s="552"/>
      <c r="U490" s="552"/>
      <c r="V490" s="552"/>
      <c r="W490" s="552"/>
      <c r="X490" s="552"/>
      <c r="Y490" s="552"/>
      <c r="Z490" s="552"/>
      <c r="AA490" s="552"/>
      <c r="AB490" s="552"/>
      <c r="AC490" s="552"/>
      <c r="AG490" s="614"/>
      <c r="AH490" s="641"/>
      <c r="AI490" s="552"/>
      <c r="AJ490" s="552"/>
      <c r="AK490" s="733"/>
      <c r="AN490" s="598"/>
      <c r="AO490" s="551" t="s">
        <v>1528</v>
      </c>
      <c r="AP490" s="551">
        <v>2</v>
      </c>
    </row>
    <row r="491" spans="1:81" s="597" customFormat="1" ht="12.75" hidden="1" customHeight="1">
      <c r="A491" s="551"/>
      <c r="B491" s="551"/>
      <c r="C491" s="740"/>
      <c r="D491" s="571"/>
      <c r="E491" s="571"/>
      <c r="F491" s="610" t="s">
        <v>1529</v>
      </c>
      <c r="G491" s="551"/>
      <c r="H491" s="551"/>
      <c r="I491" s="551"/>
      <c r="J491" s="551"/>
      <c r="K491" s="551"/>
      <c r="L491" s="551"/>
      <c r="M491" s="764"/>
      <c r="N491" s="764"/>
      <c r="O491" s="764"/>
      <c r="P491" s="764"/>
      <c r="Q491" s="552"/>
      <c r="R491" s="552"/>
      <c r="S491" s="552"/>
      <c r="T491" s="552"/>
      <c r="U491" s="552"/>
      <c r="V491" s="552"/>
      <c r="W491" s="552"/>
      <c r="X491" s="552"/>
      <c r="Y491" s="552"/>
      <c r="Z491" s="552"/>
      <c r="AA491" s="552"/>
      <c r="AB491" s="552"/>
      <c r="AC491" s="552"/>
      <c r="AD491" s="551"/>
      <c r="AE491" s="551"/>
      <c r="AF491" s="551"/>
      <c r="AG491" s="614"/>
      <c r="AH491" s="641"/>
      <c r="AI491" s="552"/>
      <c r="AJ491" s="552"/>
      <c r="AK491" s="733"/>
      <c r="AL491" s="551"/>
      <c r="AM491" s="551"/>
      <c r="AN491" s="679"/>
      <c r="AO491" s="551" t="s">
        <v>1530</v>
      </c>
      <c r="AP491" s="551">
        <v>2</v>
      </c>
    </row>
    <row r="492" spans="1:81" s="551" customFormat="1" ht="12.75" hidden="1" customHeight="1">
      <c r="C492" s="778"/>
      <c r="F492" s="776" t="s">
        <v>1531</v>
      </c>
      <c r="M492" s="764"/>
      <c r="N492" s="764"/>
      <c r="O492" s="764"/>
      <c r="P492" s="764"/>
      <c r="Q492" s="552"/>
      <c r="R492" s="552"/>
      <c r="S492" s="552"/>
      <c r="T492" s="552"/>
      <c r="U492" s="552"/>
      <c r="V492" s="2445" t="s">
        <v>591</v>
      </c>
      <c r="W492" s="2445"/>
      <c r="X492" s="2445"/>
      <c r="Y492" s="552"/>
      <c r="Z492" s="552"/>
      <c r="AA492" s="552"/>
      <c r="AB492" s="552"/>
      <c r="AC492" s="552"/>
      <c r="AG492" s="614">
        <f>IF(AND($C$482="Yes",$V$485="N/A",$V$487="N/A", $V$496="N/A",$V$498="N/A"),(VLOOKUP($V$492,$AT$485:$AU$487,2,FALSE)),0)</f>
        <v>0</v>
      </c>
      <c r="AH492" s="641" t="s">
        <v>1328</v>
      </c>
      <c r="AI492" s="552"/>
      <c r="AJ492" s="552"/>
      <c r="AK492" s="733"/>
      <c r="AN492" s="536"/>
    </row>
    <row r="493" spans="1:81" s="551" customFormat="1" ht="12.75" hidden="1" customHeight="1">
      <c r="C493" s="763"/>
      <c r="M493" s="764"/>
      <c r="N493" s="764"/>
      <c r="O493" s="764"/>
      <c r="P493" s="764"/>
      <c r="Q493" s="552"/>
      <c r="R493" s="552"/>
      <c r="S493" s="552"/>
      <c r="T493" s="552"/>
      <c r="U493" s="552"/>
      <c r="V493" s="552"/>
      <c r="W493" s="552"/>
      <c r="X493" s="552"/>
      <c r="Y493" s="552"/>
      <c r="Z493" s="552"/>
      <c r="AA493" s="552"/>
      <c r="AB493" s="552"/>
      <c r="AC493" s="552"/>
      <c r="AJ493" s="552"/>
      <c r="AK493" s="733"/>
      <c r="AN493" s="779"/>
    </row>
    <row r="494" spans="1:81" s="597" customFormat="1" ht="12.75" hidden="1" customHeight="1">
      <c r="A494" s="551"/>
      <c r="B494" s="551"/>
      <c r="C494" s="780" t="s">
        <v>1532</v>
      </c>
      <c r="D494" s="715"/>
      <c r="E494" s="715"/>
      <c r="F494" s="781" t="s">
        <v>1533</v>
      </c>
      <c r="G494" s="715"/>
      <c r="H494" s="715"/>
      <c r="I494" s="715"/>
      <c r="J494" s="715"/>
      <c r="K494" s="715"/>
      <c r="L494" s="715"/>
      <c r="M494" s="715"/>
      <c r="N494" s="715"/>
      <c r="O494" s="715"/>
      <c r="P494" s="715"/>
      <c r="Q494" s="715"/>
      <c r="R494" s="715"/>
      <c r="S494" s="715"/>
      <c r="T494" s="715"/>
      <c r="U494" s="715"/>
      <c r="V494" s="715"/>
      <c r="W494" s="715"/>
      <c r="X494" s="715"/>
      <c r="Y494" s="715"/>
      <c r="Z494" s="715"/>
      <c r="AA494" s="715"/>
      <c r="AB494" s="715"/>
      <c r="AC494" s="715"/>
      <c r="AD494" s="715"/>
      <c r="AE494" s="715"/>
      <c r="AF494" s="715"/>
      <c r="AG494" s="715"/>
      <c r="AH494" s="715"/>
      <c r="AI494" s="715"/>
      <c r="AJ494" s="715"/>
      <c r="AK494" s="746"/>
      <c r="AL494" s="551"/>
      <c r="AM494" s="551"/>
      <c r="AN494" s="593"/>
      <c r="AO494" s="551" t="s">
        <v>591</v>
      </c>
      <c r="AP494" s="551">
        <v>0</v>
      </c>
      <c r="AQ494" s="540"/>
    </row>
    <row r="495" spans="1:81" s="597" customFormat="1" ht="12.75" hidden="1" customHeight="1">
      <c r="A495" s="551"/>
      <c r="B495" s="551"/>
      <c r="C495" s="782"/>
      <c r="D495" s="2464"/>
      <c r="E495" s="2464"/>
      <c r="F495" s="772" t="s">
        <v>1534</v>
      </c>
      <c r="I495" s="551"/>
      <c r="J495" s="551"/>
      <c r="K495" s="551"/>
      <c r="L495" s="551"/>
      <c r="M495" s="551"/>
      <c r="N495" s="551"/>
      <c r="O495" s="551"/>
      <c r="P495" s="551"/>
      <c r="Q495" s="551"/>
      <c r="R495" s="551"/>
      <c r="S495" s="551"/>
      <c r="T495" s="551"/>
      <c r="U495" s="551"/>
      <c r="Y495" s="551"/>
      <c r="Z495" s="551"/>
      <c r="AA495" s="551"/>
      <c r="AB495" s="551"/>
      <c r="AC495" s="551"/>
      <c r="AD495" s="551"/>
      <c r="AE495" s="551"/>
      <c r="AF495" s="551"/>
      <c r="AK495" s="733"/>
      <c r="AL495" s="551"/>
      <c r="AM495" s="551"/>
      <c r="AN495" s="593"/>
      <c r="AO495" s="551" t="s">
        <v>1535</v>
      </c>
      <c r="AP495" s="638">
        <v>5</v>
      </c>
      <c r="AQ495" s="540"/>
    </row>
    <row r="496" spans="1:81" s="571" customFormat="1" ht="12.75" hidden="1" customHeight="1">
      <c r="A496" s="680"/>
      <c r="B496" s="551"/>
      <c r="C496" s="763"/>
      <c r="D496" s="551"/>
      <c r="E496" s="551"/>
      <c r="F496" s="783" t="s">
        <v>1523</v>
      </c>
      <c r="G496" s="551"/>
      <c r="H496" s="551"/>
      <c r="I496" s="551"/>
      <c r="J496" s="551"/>
      <c r="K496" s="551"/>
      <c r="L496" s="551"/>
      <c r="M496" s="551"/>
      <c r="N496" s="551"/>
      <c r="O496" s="551"/>
      <c r="P496" s="551"/>
      <c r="Q496" s="551"/>
      <c r="R496" s="551"/>
      <c r="S496" s="551"/>
      <c r="T496" s="551"/>
      <c r="U496" s="551"/>
      <c r="V496" s="2445" t="s">
        <v>591</v>
      </c>
      <c r="W496" s="2445"/>
      <c r="X496" s="2445"/>
      <c r="Y496" s="551"/>
      <c r="Z496" s="551"/>
      <c r="AA496" s="551"/>
      <c r="AB496" s="551"/>
      <c r="AC496" s="551"/>
      <c r="AD496" s="551"/>
      <c r="AE496" s="551"/>
      <c r="AF496" s="551"/>
      <c r="AG496" s="614">
        <f>IF(AND($C$482="Yes",$V$485="N/A",V487="N/A",$V$492="N/A",$V$498="N/A"),(VLOOKUP($V$496,$BB$481:$BC$484,2,FALSE)),0)</f>
        <v>0</v>
      </c>
      <c r="AH496" s="641" t="s">
        <v>1328</v>
      </c>
      <c r="AI496" s="552"/>
      <c r="AJ496" s="551"/>
      <c r="AK496" s="733"/>
      <c r="AL496" s="551"/>
      <c r="AM496" s="551"/>
      <c r="AN496" s="685"/>
      <c r="AO496" s="551" t="s">
        <v>1536</v>
      </c>
      <c r="AP496" s="551">
        <v>5</v>
      </c>
      <c r="AS496" s="551"/>
      <c r="AT496" s="551"/>
      <c r="AU496" s="551"/>
      <c r="AV496" s="551"/>
      <c r="AW496" s="551"/>
      <c r="AX496" s="551"/>
      <c r="AY496" s="551"/>
      <c r="AZ496" s="551"/>
      <c r="BA496" s="551"/>
      <c r="BB496" s="551"/>
      <c r="BO496" s="551"/>
      <c r="BP496" s="551"/>
      <c r="BQ496" s="551"/>
      <c r="BR496" s="551"/>
      <c r="BS496" s="551"/>
      <c r="BT496" s="551"/>
      <c r="BU496" s="551"/>
      <c r="BV496" s="551"/>
      <c r="BW496" s="551"/>
      <c r="BX496" s="551"/>
      <c r="BY496" s="551"/>
      <c r="BZ496" s="551"/>
      <c r="CA496" s="551"/>
      <c r="CB496" s="551"/>
      <c r="CC496" s="551"/>
    </row>
    <row r="497" spans="1:81" s="571" customFormat="1" ht="12.75" hidden="1" customHeight="1">
      <c r="A497" s="680"/>
      <c r="B497" s="551"/>
      <c r="C497" s="763"/>
      <c r="D497" s="551"/>
      <c r="E497" s="551"/>
      <c r="I497" s="551"/>
      <c r="J497" s="551"/>
      <c r="K497" s="551"/>
      <c r="L497" s="551"/>
      <c r="M497" s="551"/>
      <c r="N497" s="551"/>
      <c r="O497" s="551"/>
      <c r="P497" s="551"/>
      <c r="Q497" s="551"/>
      <c r="R497" s="551"/>
      <c r="S497" s="551"/>
      <c r="T497" s="551"/>
      <c r="U497" s="551"/>
      <c r="V497" s="551"/>
      <c r="W497" s="551"/>
      <c r="X497" s="551"/>
      <c r="Y497" s="551"/>
      <c r="Z497" s="551"/>
      <c r="AA497" s="551"/>
      <c r="AB497" s="551"/>
      <c r="AC497" s="551"/>
      <c r="AD497" s="551"/>
      <c r="AE497" s="551"/>
      <c r="AF497" s="551"/>
      <c r="AK497" s="733"/>
      <c r="AL497" s="551"/>
      <c r="AM497" s="551"/>
      <c r="AN497" s="685"/>
      <c r="AO497" s="551" t="s">
        <v>1537</v>
      </c>
      <c r="AP497" s="551">
        <v>5</v>
      </c>
      <c r="AS497" s="551"/>
      <c r="AT497" s="551"/>
      <c r="AU497" s="551"/>
      <c r="AV497" s="551"/>
      <c r="AW497" s="551"/>
      <c r="AX497" s="551"/>
      <c r="AY497" s="551"/>
      <c r="AZ497" s="551"/>
      <c r="BA497" s="551"/>
      <c r="BB497" s="551"/>
      <c r="BC497" s="551"/>
      <c r="BD497" s="551"/>
      <c r="BE497" s="551"/>
      <c r="BF497" s="551"/>
      <c r="BG497" s="551"/>
      <c r="BH497" s="551"/>
      <c r="BI497" s="551"/>
      <c r="BJ497" s="551"/>
      <c r="BK497" s="551"/>
      <c r="BL497" s="551"/>
      <c r="BM497" s="551"/>
      <c r="BN497" s="551"/>
      <c r="BO497" s="551"/>
      <c r="BP497" s="551"/>
      <c r="BQ497" s="551"/>
      <c r="BR497" s="551"/>
      <c r="BS497" s="551"/>
      <c r="BT497" s="551"/>
      <c r="BU497" s="551"/>
      <c r="BV497" s="551"/>
      <c r="BW497" s="551"/>
      <c r="BX497" s="551"/>
      <c r="BY497" s="551"/>
      <c r="BZ497" s="551"/>
      <c r="CA497" s="551"/>
      <c r="CB497" s="551"/>
      <c r="CC497" s="551"/>
    </row>
    <row r="498" spans="1:81" s="540" customFormat="1" ht="12.75" hidden="1" customHeight="1">
      <c r="A498" s="680"/>
      <c r="B498" s="551"/>
      <c r="C498" s="765"/>
      <c r="D498" s="728"/>
      <c r="E498" s="728"/>
      <c r="F498" s="776" t="s">
        <v>1524</v>
      </c>
      <c r="G498" s="767"/>
      <c r="H498" s="767"/>
      <c r="I498" s="728"/>
      <c r="J498" s="728"/>
      <c r="K498" s="728"/>
      <c r="L498" s="728"/>
      <c r="M498" s="728"/>
      <c r="N498" s="728"/>
      <c r="O498" s="728"/>
      <c r="P498" s="728"/>
      <c r="Q498" s="728"/>
      <c r="R498" s="728"/>
      <c r="S498" s="728"/>
      <c r="T498" s="728"/>
      <c r="U498" s="728"/>
      <c r="V498" s="2445" t="s">
        <v>591</v>
      </c>
      <c r="W498" s="2445"/>
      <c r="X498" s="2445"/>
      <c r="Y498" s="728"/>
      <c r="Z498" s="728"/>
      <c r="AA498" s="728"/>
      <c r="AB498" s="728"/>
      <c r="AC498" s="728"/>
      <c r="AD498" s="728"/>
      <c r="AE498" s="728"/>
      <c r="AF498" s="728"/>
      <c r="AG498" s="784">
        <f>IF(AND($C$482="Yes",$V$485="N/A",$V$487="N/A",$V$492="N/A",$V$496="N/A"),(VLOOKUP($V$498,$BF$481:$BG$483,2,FALSE)),0)</f>
        <v>0</v>
      </c>
      <c r="AH498" s="769" t="s">
        <v>1328</v>
      </c>
      <c r="AI498" s="728"/>
      <c r="AJ498" s="728"/>
      <c r="AK498" s="743"/>
      <c r="AL498" s="551"/>
      <c r="AM498" s="551"/>
      <c r="AN498" s="785"/>
      <c r="AP498" s="597"/>
      <c r="AQ498" s="597"/>
      <c r="AR498" s="597"/>
      <c r="AS498" s="597"/>
      <c r="AT498" s="597"/>
      <c r="AU498" s="597"/>
      <c r="AV498" s="597"/>
      <c r="AW498" s="597"/>
      <c r="AX498" s="597"/>
      <c r="AY498" s="597"/>
      <c r="AZ498" s="597"/>
      <c r="BA498" s="597"/>
      <c r="BB498" s="597"/>
      <c r="BC498" s="597"/>
      <c r="BE498" s="597"/>
      <c r="BF498" s="597"/>
      <c r="BG498" s="597"/>
      <c r="BH498" s="597"/>
      <c r="BI498" s="597"/>
      <c r="BJ498" s="597"/>
      <c r="BK498" s="597"/>
      <c r="BL498" s="597"/>
      <c r="BM498" s="597"/>
      <c r="BN498" s="597"/>
      <c r="BO498" s="597"/>
      <c r="BP498" s="597"/>
      <c r="BQ498" s="597"/>
      <c r="BR498" s="597"/>
    </row>
    <row r="499" spans="1:81" s="540" customFormat="1" ht="12.75" hidden="1" customHeight="1">
      <c r="A499" s="680"/>
      <c r="B499" s="551"/>
      <c r="C499" s="552"/>
      <c r="D499" s="551"/>
      <c r="E499" s="764"/>
      <c r="F499" s="551"/>
      <c r="G499" s="551"/>
      <c r="H499" s="551"/>
      <c r="I499" s="551"/>
      <c r="J499" s="551"/>
      <c r="K499" s="551"/>
      <c r="L499" s="551"/>
      <c r="M499" s="551"/>
      <c r="N499" s="551"/>
      <c r="O499" s="551"/>
      <c r="P499" s="551"/>
      <c r="Q499" s="551"/>
      <c r="R499" s="551"/>
      <c r="S499" s="551"/>
      <c r="T499" s="551"/>
      <c r="U499" s="551"/>
      <c r="V499" s="551"/>
      <c r="W499" s="551"/>
      <c r="X499" s="551"/>
      <c r="Y499" s="551"/>
      <c r="Z499" s="551"/>
      <c r="AA499" s="551"/>
      <c r="AB499" s="551"/>
      <c r="AC499" s="551"/>
      <c r="AD499" s="551"/>
      <c r="AE499" s="551"/>
      <c r="AF499" s="551"/>
      <c r="AG499" s="551"/>
      <c r="AH499" s="551"/>
      <c r="AI499" s="551"/>
      <c r="AJ499" s="551"/>
      <c r="AK499" s="551"/>
      <c r="AL499" s="551"/>
      <c r="AM499" s="551"/>
      <c r="AN499" s="785"/>
      <c r="AO499" s="786"/>
      <c r="AP499" s="551"/>
      <c r="AQ499" s="551"/>
      <c r="AR499" s="551"/>
      <c r="AS499" s="551"/>
      <c r="AT499" s="551"/>
      <c r="AU499" s="787"/>
      <c r="AV499" s="787"/>
      <c r="AW499" s="787"/>
      <c r="AX499" s="787"/>
      <c r="AY499" s="787"/>
      <c r="AZ499" s="787"/>
      <c r="BA499" s="787"/>
      <c r="BB499" s="597"/>
      <c r="BC499" s="597"/>
      <c r="BE499" s="551"/>
      <c r="BF499" s="551"/>
      <c r="BG499" s="551"/>
      <c r="BH499" s="551"/>
      <c r="BI499" s="551"/>
      <c r="BJ499" s="787"/>
      <c r="BK499" s="787"/>
      <c r="BL499" s="787"/>
      <c r="BM499" s="787"/>
      <c r="BN499" s="787"/>
      <c r="BO499" s="787"/>
      <c r="BP499" s="787"/>
      <c r="BQ499" s="597"/>
      <c r="BR499" s="551"/>
    </row>
    <row r="500" spans="1:81" s="540" customFormat="1" ht="12.75" hidden="1" customHeight="1">
      <c r="A500" s="680"/>
      <c r="B500" s="551"/>
      <c r="C500" s="713" t="s">
        <v>1538</v>
      </c>
      <c r="D500" s="551"/>
      <c r="E500" s="764"/>
      <c r="F500" s="552"/>
      <c r="G500" s="552"/>
      <c r="H500" s="552"/>
      <c r="I500" s="552"/>
      <c r="J500" s="552"/>
      <c r="K500" s="552"/>
      <c r="L500" s="552"/>
      <c r="M500" s="552"/>
      <c r="N500" s="552"/>
      <c r="O500" s="552"/>
      <c r="P500" s="552"/>
      <c r="Q500" s="552"/>
      <c r="R500" s="552"/>
      <c r="S500" s="552"/>
      <c r="T500" s="552"/>
      <c r="U500" s="552"/>
      <c r="V500" s="552"/>
      <c r="W500" s="552"/>
      <c r="X500" s="552"/>
      <c r="Y500" s="552"/>
      <c r="Z500" s="552"/>
      <c r="AA500" s="552"/>
      <c r="AB500" s="552"/>
      <c r="AC500" s="552"/>
      <c r="AD500" s="551"/>
      <c r="AE500" s="551"/>
      <c r="AF500" s="551"/>
      <c r="AG500" s="552"/>
      <c r="AH500" s="552"/>
      <c r="AI500" s="552"/>
      <c r="AJ500" s="552"/>
      <c r="AK500" s="551"/>
      <c r="AL500" s="551"/>
      <c r="AM500" s="551"/>
      <c r="AN500" s="785"/>
      <c r="AO500" s="786"/>
      <c r="AP500" s="551"/>
      <c r="AQ500" s="551"/>
      <c r="AR500" s="551"/>
      <c r="AS500" s="551"/>
      <c r="AT500" s="551"/>
      <c r="AU500" s="787"/>
      <c r="AV500" s="787"/>
      <c r="AW500" s="787"/>
      <c r="AX500" s="787"/>
      <c r="AY500" s="787"/>
      <c r="AZ500" s="787"/>
      <c r="BA500" s="787"/>
      <c r="BB500" s="597"/>
      <c r="BC500" s="597"/>
      <c r="BE500" s="551"/>
      <c r="BF500" s="551"/>
      <c r="BG500" s="551"/>
      <c r="BH500" s="551"/>
      <c r="BI500" s="551"/>
      <c r="BJ500" s="787"/>
      <c r="BK500" s="787"/>
      <c r="BL500" s="787"/>
      <c r="BM500" s="787"/>
      <c r="BN500" s="787"/>
      <c r="BO500" s="787"/>
      <c r="BP500" s="787"/>
      <c r="BQ500" s="597"/>
      <c r="BR500" s="551"/>
    </row>
    <row r="501" spans="1:81" s="571" customFormat="1" ht="12.75" hidden="1" customHeight="1">
      <c r="A501" s="680"/>
      <c r="B501" s="551"/>
      <c r="C501" s="2459" t="s">
        <v>591</v>
      </c>
      <c r="D501" s="2460"/>
      <c r="E501" s="762" t="s">
        <v>507</v>
      </c>
      <c r="F501" s="2537" t="s">
        <v>1517</v>
      </c>
      <c r="G501" s="2537"/>
      <c r="H501" s="2537"/>
      <c r="I501" s="2537"/>
      <c r="J501" s="2537"/>
      <c r="K501" s="2537"/>
      <c r="L501" s="2537"/>
      <c r="M501" s="2537"/>
      <c r="N501" s="2537"/>
      <c r="O501" s="2537"/>
      <c r="P501" s="2537"/>
      <c r="Q501" s="2537"/>
      <c r="R501" s="2537"/>
      <c r="S501" s="2537"/>
      <c r="T501" s="2537"/>
      <c r="U501" s="2537"/>
      <c r="V501" s="2537"/>
      <c r="W501" s="2537"/>
      <c r="X501" s="2537"/>
      <c r="Y501" s="2537"/>
      <c r="Z501" s="2537"/>
      <c r="AA501" s="2537"/>
      <c r="AB501" s="2537"/>
      <c r="AC501" s="2537"/>
      <c r="AD501" s="2537"/>
      <c r="AE501" s="2537"/>
      <c r="AF501" s="715"/>
      <c r="AG501" s="717"/>
      <c r="AH501" s="717"/>
      <c r="AI501" s="717"/>
      <c r="AJ501" s="717"/>
      <c r="AK501" s="746"/>
      <c r="AL501" s="551"/>
      <c r="AM501" s="551"/>
      <c r="AN501" s="535"/>
      <c r="AO501" s="30"/>
      <c r="AP501" s="551"/>
      <c r="AQ501" s="551"/>
      <c r="AR501" s="551"/>
      <c r="AS501" s="551"/>
      <c r="AT501" s="551"/>
      <c r="AU501" s="788"/>
      <c r="AV501" s="788"/>
      <c r="AW501" s="788"/>
      <c r="AX501" s="788"/>
      <c r="AY501" s="788"/>
      <c r="AZ501" s="788"/>
      <c r="BA501" s="788"/>
      <c r="BB501" s="551"/>
      <c r="BC501" s="551"/>
      <c r="BD501" s="537"/>
      <c r="BE501" s="551"/>
      <c r="BF501" s="551"/>
      <c r="BG501" s="551"/>
      <c r="BH501" s="551"/>
      <c r="BI501" s="551"/>
      <c r="BJ501" s="788"/>
      <c r="BK501" s="788"/>
      <c r="BL501" s="788"/>
      <c r="BM501" s="788"/>
      <c r="BN501" s="788"/>
      <c r="BO501" s="788"/>
      <c r="BP501" s="788"/>
      <c r="BQ501" s="551"/>
      <c r="BR501" s="551"/>
      <c r="BS501" s="537"/>
      <c r="BT501" s="537"/>
      <c r="BU501" s="537"/>
      <c r="BV501" s="537"/>
      <c r="BW501" s="537"/>
      <c r="BX501" s="537"/>
      <c r="BY501" s="537"/>
      <c r="BZ501" s="537"/>
      <c r="CA501" s="537"/>
      <c r="CB501" s="537"/>
      <c r="CC501" s="537"/>
    </row>
    <row r="502" spans="1:81" s="571" customFormat="1" ht="12.75" hidden="1" customHeight="1">
      <c r="A502" s="680"/>
      <c r="B502" s="551"/>
      <c r="C502" s="763"/>
      <c r="D502" s="551"/>
      <c r="E502" s="764"/>
      <c r="F502" s="2538"/>
      <c r="G502" s="2538"/>
      <c r="H502" s="2538"/>
      <c r="I502" s="2538"/>
      <c r="J502" s="2538"/>
      <c r="K502" s="2538"/>
      <c r="L502" s="2538"/>
      <c r="M502" s="2538"/>
      <c r="N502" s="2538"/>
      <c r="O502" s="2538"/>
      <c r="P502" s="2538"/>
      <c r="Q502" s="2538"/>
      <c r="R502" s="2538"/>
      <c r="S502" s="2538"/>
      <c r="T502" s="2538"/>
      <c r="U502" s="2538"/>
      <c r="V502" s="2538"/>
      <c r="W502" s="2538"/>
      <c r="X502" s="2538"/>
      <c r="Y502" s="2538"/>
      <c r="Z502" s="2538"/>
      <c r="AA502" s="2538"/>
      <c r="AB502" s="2538"/>
      <c r="AC502" s="2538"/>
      <c r="AD502" s="2538"/>
      <c r="AE502" s="2538"/>
      <c r="AF502" s="551"/>
      <c r="AG502" s="552"/>
      <c r="AH502" s="552"/>
      <c r="AI502" s="552"/>
      <c r="AJ502" s="552"/>
      <c r="AK502" s="733"/>
      <c r="AL502" s="551"/>
      <c r="AM502" s="551"/>
      <c r="AN502" s="535"/>
      <c r="AO502" s="30"/>
      <c r="AP502" s="789"/>
      <c r="AQ502" s="789"/>
      <c r="AR502" s="789"/>
      <c r="AS502" s="680"/>
      <c r="AT502" s="551"/>
      <c r="AU502" s="790"/>
      <c r="AV502" s="790"/>
      <c r="AW502" s="790"/>
      <c r="AX502" s="790"/>
      <c r="AY502" s="790"/>
      <c r="AZ502" s="790"/>
      <c r="BA502" s="790"/>
      <c r="BB502" s="14"/>
      <c r="BC502" s="14"/>
      <c r="BD502" s="537"/>
      <c r="BE502" s="789"/>
      <c r="BF502" s="789"/>
      <c r="BG502" s="789"/>
      <c r="BH502" s="680"/>
      <c r="BI502" s="551"/>
      <c r="BJ502" s="791"/>
      <c r="BK502" s="790"/>
      <c r="BL502" s="790"/>
      <c r="BM502" s="790"/>
      <c r="BN502" s="790"/>
      <c r="BO502" s="790"/>
      <c r="BP502" s="790"/>
      <c r="BQ502" s="14"/>
      <c r="BR502" s="551"/>
      <c r="BS502" s="537"/>
      <c r="BT502" s="537"/>
      <c r="BU502" s="537"/>
      <c r="BV502" s="537"/>
      <c r="BW502" s="537"/>
      <c r="BX502" s="537"/>
      <c r="BY502" s="537"/>
      <c r="BZ502" s="537"/>
      <c r="CA502" s="537"/>
      <c r="CB502" s="537"/>
      <c r="CC502" s="537"/>
    </row>
    <row r="503" spans="1:81" s="571" customFormat="1" ht="12.75" hidden="1" customHeight="1">
      <c r="A503" s="680"/>
      <c r="B503" s="551"/>
      <c r="C503" s="765"/>
      <c r="D503" s="728"/>
      <c r="E503" s="766"/>
      <c r="F503" s="2458" t="s">
        <v>591</v>
      </c>
      <c r="G503" s="2458"/>
      <c r="H503" s="2458"/>
      <c r="I503" s="2458"/>
      <c r="J503" s="2458"/>
      <c r="K503" s="2458"/>
      <c r="L503" s="2458"/>
      <c r="M503" s="2458"/>
      <c r="N503" s="2458"/>
      <c r="O503" s="2458"/>
      <c r="P503" s="2458"/>
      <c r="Q503" s="2458"/>
      <c r="R503" s="2458"/>
      <c r="S503" s="2458"/>
      <c r="T503" s="2458"/>
      <c r="U503" s="2458"/>
      <c r="V503" s="2458"/>
      <c r="W503" s="2458"/>
      <c r="X503" s="2458"/>
      <c r="Y503" s="2458"/>
      <c r="Z503" s="2458"/>
      <c r="AA503" s="767"/>
      <c r="AB503" s="659"/>
      <c r="AC503" s="659"/>
      <c r="AD503" s="728"/>
      <c r="AE503" s="728"/>
      <c r="AF503" s="728"/>
      <c r="AG503" s="768">
        <f>IF($C$501="Yes",(VLOOKUP($F$503,$AO$471:$AP$479,2,FALSE)),0)</f>
        <v>0</v>
      </c>
      <c r="AH503" s="769" t="s">
        <v>1328</v>
      </c>
      <c r="AI503" s="768"/>
      <c r="AJ503" s="659"/>
      <c r="AK503" s="743"/>
      <c r="AL503" s="551"/>
      <c r="AM503" s="551"/>
      <c r="AN503" s="535"/>
      <c r="AO503" s="30"/>
      <c r="AP503" s="789"/>
      <c r="AQ503" s="789"/>
      <c r="AR503" s="789"/>
      <c r="AS503" s="680"/>
      <c r="AT503" s="551"/>
      <c r="AU503" s="790"/>
      <c r="AV503" s="790"/>
      <c r="AW503" s="790"/>
      <c r="AX503" s="790"/>
      <c r="AY503" s="790"/>
      <c r="AZ503" s="790"/>
      <c r="BA503" s="790"/>
      <c r="BB503" s="14"/>
      <c r="BC503" s="14"/>
      <c r="BD503" s="537"/>
      <c r="BE503" s="789"/>
      <c r="BF503" s="789"/>
      <c r="BG503" s="789"/>
      <c r="BH503" s="680"/>
      <c r="BI503" s="551"/>
      <c r="BJ503" s="791"/>
      <c r="BK503" s="790"/>
      <c r="BL503" s="790"/>
      <c r="BM503" s="790"/>
      <c r="BN503" s="790"/>
      <c r="BO503" s="790"/>
      <c r="BP503" s="790"/>
      <c r="BQ503" s="14"/>
      <c r="BR503" s="551"/>
      <c r="BS503" s="537"/>
      <c r="BT503" s="537"/>
      <c r="BU503" s="537"/>
      <c r="BV503" s="537"/>
      <c r="BW503" s="537"/>
      <c r="BX503" s="537"/>
      <c r="BY503" s="537"/>
      <c r="BZ503" s="537"/>
      <c r="CA503" s="537"/>
      <c r="CB503" s="537"/>
      <c r="CC503" s="537"/>
    </row>
    <row r="504" spans="1:81" s="571" customFormat="1" ht="12.75" hidden="1" customHeight="1">
      <c r="A504" s="680"/>
      <c r="B504" s="551"/>
      <c r="C504" s="713"/>
      <c r="D504" s="551"/>
      <c r="E504" s="764"/>
      <c r="F504" s="552"/>
      <c r="G504" s="552"/>
      <c r="H504" s="552"/>
      <c r="I504" s="552"/>
      <c r="J504" s="552"/>
      <c r="K504" s="552"/>
      <c r="L504" s="552"/>
      <c r="M504" s="552"/>
      <c r="N504" s="552"/>
      <c r="O504" s="552"/>
      <c r="P504" s="552"/>
      <c r="Q504" s="552"/>
      <c r="R504" s="552"/>
      <c r="S504" s="552"/>
      <c r="T504" s="552"/>
      <c r="U504" s="552"/>
      <c r="V504" s="552"/>
      <c r="W504" s="552"/>
      <c r="X504" s="552"/>
      <c r="Y504" s="552"/>
      <c r="Z504" s="552"/>
      <c r="AA504" s="552"/>
      <c r="AB504" s="552"/>
      <c r="AC504" s="552"/>
      <c r="AD504" s="551"/>
      <c r="AE504" s="551"/>
      <c r="AF504" s="551"/>
      <c r="AG504" s="552"/>
      <c r="AH504" s="552"/>
      <c r="AI504" s="552"/>
      <c r="AJ504" s="552"/>
      <c r="AK504" s="551"/>
      <c r="AL504" s="551"/>
      <c r="AM504" s="551"/>
      <c r="AN504" s="535"/>
      <c r="AO504" s="30"/>
      <c r="AP504" s="789"/>
      <c r="AQ504" s="789"/>
      <c r="AR504" s="789"/>
      <c r="AS504" s="680"/>
      <c r="AT504" s="551"/>
      <c r="AU504" s="790"/>
      <c r="AV504" s="790"/>
      <c r="AW504" s="790"/>
      <c r="AX504" s="790"/>
      <c r="AY504" s="790"/>
      <c r="AZ504" s="790"/>
      <c r="BA504" s="790"/>
      <c r="BB504" s="14"/>
      <c r="BC504" s="14"/>
      <c r="BD504" s="537"/>
      <c r="BE504" s="789"/>
      <c r="BF504" s="789"/>
      <c r="BG504" s="789"/>
      <c r="BH504" s="680"/>
      <c r="BI504" s="551"/>
      <c r="BJ504" s="791"/>
      <c r="BK504" s="790"/>
      <c r="BL504" s="790"/>
      <c r="BM504" s="790"/>
      <c r="BN504" s="790"/>
      <c r="BO504" s="790"/>
      <c r="BP504" s="790"/>
      <c r="BQ504" s="14"/>
      <c r="BR504" s="551"/>
      <c r="BS504" s="537"/>
      <c r="BT504" s="537"/>
      <c r="BU504" s="537"/>
      <c r="BV504" s="537"/>
      <c r="BW504" s="537"/>
      <c r="BX504" s="537"/>
      <c r="BY504" s="537"/>
      <c r="BZ504" s="537"/>
      <c r="CA504" s="537"/>
      <c r="CB504" s="537"/>
      <c r="CC504" s="537"/>
    </row>
    <row r="505" spans="1:81" s="571" customFormat="1" ht="12.75" hidden="1" customHeight="1">
      <c r="A505" s="551"/>
      <c r="B505" s="551"/>
      <c r="C505" s="2459" t="s">
        <v>591</v>
      </c>
      <c r="D505" s="2460"/>
      <c r="E505" s="762" t="s">
        <v>757</v>
      </c>
      <c r="F505" s="2461" t="s">
        <v>1539</v>
      </c>
      <c r="G505" s="2461"/>
      <c r="H505" s="2461"/>
      <c r="I505" s="2461"/>
      <c r="J505" s="2461"/>
      <c r="K505" s="2461"/>
      <c r="L505" s="2461"/>
      <c r="M505" s="2461"/>
      <c r="N505" s="2461"/>
      <c r="O505" s="2461"/>
      <c r="P505" s="2461"/>
      <c r="Q505" s="2461"/>
      <c r="R505" s="2461"/>
      <c r="S505" s="2461"/>
      <c r="T505" s="2461"/>
      <c r="U505" s="2461"/>
      <c r="V505" s="2461"/>
      <c r="W505" s="2461"/>
      <c r="X505" s="2461"/>
      <c r="Y505" s="2461"/>
      <c r="Z505" s="2461"/>
      <c r="AA505" s="2461"/>
      <c r="AB505" s="2461"/>
      <c r="AC505" s="2461"/>
      <c r="AD505" s="2461"/>
      <c r="AE505" s="2461"/>
      <c r="AF505" s="715"/>
      <c r="AG505" s="650"/>
      <c r="AH505" s="650"/>
      <c r="AI505" s="650"/>
      <c r="AJ505" s="650"/>
      <c r="AK505" s="746"/>
      <c r="AL505" s="551"/>
      <c r="AM505" s="551"/>
      <c r="AN505" s="535"/>
      <c r="AO505" s="30"/>
      <c r="AP505" s="789"/>
      <c r="AQ505" s="789"/>
      <c r="AR505" s="789"/>
      <c r="AS505" s="680"/>
      <c r="AT505" s="551"/>
      <c r="AU505" s="790"/>
      <c r="AV505" s="790"/>
      <c r="AW505" s="790"/>
      <c r="AX505" s="790"/>
      <c r="AY505" s="790"/>
      <c r="AZ505" s="790"/>
      <c r="BA505" s="790"/>
      <c r="BB505" s="14"/>
      <c r="BC505" s="14"/>
      <c r="BD505" s="537"/>
      <c r="BE505" s="789"/>
      <c r="BF505" s="789"/>
      <c r="BG505" s="789"/>
      <c r="BH505" s="680"/>
      <c r="BI505" s="551"/>
      <c r="BJ505" s="791"/>
      <c r="BK505" s="790"/>
      <c r="BL505" s="790"/>
      <c r="BM505" s="790"/>
      <c r="BN505" s="790"/>
      <c r="BO505" s="790"/>
      <c r="BP505" s="790"/>
      <c r="BQ505" s="14"/>
      <c r="BR505" s="551"/>
      <c r="BS505" s="537"/>
      <c r="BT505" s="537"/>
      <c r="BU505" s="537"/>
      <c r="BV505" s="537"/>
      <c r="BW505" s="537"/>
      <c r="BX505" s="537"/>
      <c r="BY505" s="537"/>
      <c r="BZ505" s="537"/>
      <c r="CA505" s="537"/>
      <c r="CB505" s="537"/>
      <c r="CC505" s="537"/>
    </row>
    <row r="506" spans="1:81" s="571" customFormat="1" ht="12.75" hidden="1" customHeight="1">
      <c r="A506" s="551"/>
      <c r="B506" s="551"/>
      <c r="C506" s="763"/>
      <c r="D506" s="551"/>
      <c r="E506" s="764"/>
      <c r="F506" s="2462"/>
      <c r="G506" s="2462"/>
      <c r="H506" s="2462"/>
      <c r="I506" s="2462"/>
      <c r="J506" s="2462"/>
      <c r="K506" s="2462"/>
      <c r="L506" s="2462"/>
      <c r="M506" s="2462"/>
      <c r="N506" s="2462"/>
      <c r="O506" s="2462"/>
      <c r="P506" s="2462"/>
      <c r="Q506" s="2462"/>
      <c r="R506" s="2462"/>
      <c r="S506" s="2462"/>
      <c r="T506" s="2462"/>
      <c r="U506" s="2462"/>
      <c r="V506" s="2462"/>
      <c r="W506" s="2462"/>
      <c r="X506" s="2462"/>
      <c r="Y506" s="2462"/>
      <c r="Z506" s="2462"/>
      <c r="AA506" s="2462"/>
      <c r="AB506" s="2462"/>
      <c r="AC506" s="2462"/>
      <c r="AD506" s="2462"/>
      <c r="AE506" s="2462"/>
      <c r="AF506" s="551"/>
      <c r="AG506" s="552"/>
      <c r="AH506" s="552"/>
      <c r="AI506" s="552"/>
      <c r="AJ506" s="552"/>
      <c r="AK506" s="733"/>
      <c r="AL506" s="551"/>
      <c r="AM506" s="551"/>
      <c r="AN506" s="535"/>
      <c r="AO506" s="30"/>
      <c r="AP506" s="789"/>
      <c r="AQ506" s="789"/>
      <c r="AR506" s="789"/>
      <c r="AS506" s="680"/>
      <c r="AT506" s="551"/>
      <c r="AU506" s="790"/>
      <c r="AV506" s="790"/>
      <c r="AW506" s="790"/>
      <c r="AX506" s="790"/>
      <c r="AY506" s="790"/>
      <c r="AZ506" s="790"/>
      <c r="BA506" s="790"/>
      <c r="BB506" s="14"/>
      <c r="BC506" s="14"/>
      <c r="BD506" s="537"/>
      <c r="BE506" s="789"/>
      <c r="BF506" s="789"/>
      <c r="BG506" s="789"/>
      <c r="BH506" s="680"/>
      <c r="BI506" s="551"/>
      <c r="BJ506" s="791"/>
      <c r="BK506" s="790"/>
      <c r="BL506" s="790"/>
      <c r="BM506" s="790"/>
      <c r="BN506" s="790"/>
      <c r="BO506" s="790"/>
      <c r="BP506" s="790"/>
      <c r="BQ506" s="14"/>
      <c r="BR506" s="551"/>
      <c r="BS506" s="537"/>
      <c r="BT506" s="537"/>
      <c r="BU506" s="537"/>
      <c r="BV506" s="537"/>
      <c r="BW506" s="537"/>
      <c r="BX506" s="537"/>
      <c r="BY506" s="537"/>
      <c r="BZ506" s="537"/>
      <c r="CA506" s="537"/>
      <c r="CB506" s="537"/>
      <c r="CC506" s="537"/>
    </row>
    <row r="507" spans="1:81" s="571" customFormat="1" ht="12.75" hidden="1" customHeight="1">
      <c r="A507" s="551"/>
      <c r="B507" s="551"/>
      <c r="C507" s="740"/>
      <c r="D507" s="551"/>
      <c r="E507" s="551"/>
      <c r="F507" s="783" t="s">
        <v>1540</v>
      </c>
      <c r="G507" s="552"/>
      <c r="H507" s="552"/>
      <c r="I507" s="552"/>
      <c r="J507" s="552"/>
      <c r="K507" s="552"/>
      <c r="L507" s="552"/>
      <c r="M507" s="552"/>
      <c r="N507" s="552"/>
      <c r="O507" s="552"/>
      <c r="P507" s="552"/>
      <c r="Q507" s="552"/>
      <c r="R507" s="552"/>
      <c r="S507" s="552"/>
      <c r="T507" s="552"/>
      <c r="U507" s="552"/>
      <c r="V507" s="552"/>
      <c r="W507" s="552"/>
      <c r="X507" s="552"/>
      <c r="Y507" s="552"/>
      <c r="Z507" s="552"/>
      <c r="AA507" s="552"/>
      <c r="AB507" s="552"/>
      <c r="AC507" s="592"/>
      <c r="AD507" s="551"/>
      <c r="AE507" s="551"/>
      <c r="AF507" s="551"/>
      <c r="AG507" s="614"/>
      <c r="AH507" s="614"/>
      <c r="AI507" s="614"/>
      <c r="AJ507" s="614"/>
      <c r="AK507" s="733"/>
      <c r="AL507" s="551"/>
      <c r="AM507" s="551"/>
      <c r="AN507" s="535"/>
      <c r="AO507" s="537"/>
      <c r="AP507" s="789"/>
      <c r="AQ507" s="789"/>
      <c r="AR507" s="789"/>
      <c r="AS507" s="680"/>
      <c r="AT507" s="551"/>
      <c r="AU507" s="790"/>
      <c r="AV507" s="790"/>
      <c r="AW507" s="790"/>
      <c r="AX507" s="790"/>
      <c r="AY507" s="790"/>
      <c r="AZ507" s="790"/>
      <c r="BA507" s="790"/>
      <c r="BB507" s="537"/>
      <c r="BC507" s="537"/>
      <c r="BD507" s="537"/>
      <c r="BE507" s="789"/>
      <c r="BF507" s="789"/>
      <c r="BG507" s="789"/>
      <c r="BH507" s="680"/>
      <c r="BI507" s="551"/>
      <c r="BJ507" s="791"/>
      <c r="BK507" s="790"/>
      <c r="BL507" s="790"/>
      <c r="BM507" s="790"/>
      <c r="BN507" s="790"/>
      <c r="BO507" s="790"/>
      <c r="BP507" s="790"/>
      <c r="BQ507" s="537"/>
      <c r="BR507" s="551"/>
      <c r="BS507" s="537"/>
      <c r="BT507" s="537"/>
      <c r="BU507" s="537"/>
      <c r="BV507" s="537"/>
      <c r="BW507" s="537"/>
      <c r="BX507" s="537"/>
      <c r="BY507" s="537"/>
      <c r="BZ507" s="537"/>
      <c r="CA507" s="537"/>
      <c r="CB507" s="537"/>
      <c r="CC507" s="537"/>
    </row>
    <row r="508" spans="1:81" s="571" customFormat="1" hidden="1">
      <c r="A508" s="551"/>
      <c r="B508" s="551"/>
      <c r="C508" s="765"/>
      <c r="D508" s="728"/>
      <c r="E508" s="766"/>
      <c r="F508" s="2463" t="s">
        <v>591</v>
      </c>
      <c r="G508" s="2463"/>
      <c r="H508" s="2463"/>
      <c r="I508" s="659"/>
      <c r="J508" s="659"/>
      <c r="K508" s="659"/>
      <c r="L508" s="659"/>
      <c r="M508" s="659"/>
      <c r="N508" s="659"/>
      <c r="O508" s="659"/>
      <c r="P508" s="659"/>
      <c r="Q508" s="659"/>
      <c r="R508" s="659"/>
      <c r="S508" s="659"/>
      <c r="T508" s="659"/>
      <c r="U508" s="659"/>
      <c r="V508" s="659"/>
      <c r="W508" s="659"/>
      <c r="X508" s="659"/>
      <c r="Y508" s="659"/>
      <c r="Z508" s="659"/>
      <c r="AA508" s="659"/>
      <c r="AB508" s="659"/>
      <c r="AC508" s="659"/>
      <c r="AD508" s="728"/>
      <c r="AE508" s="728"/>
      <c r="AF508" s="728"/>
      <c r="AG508" s="768">
        <f>IF($C$505="Yes",(VLOOKUP($F$508,$AO$481:$AP$483,2,FALSE)),0)</f>
        <v>0</v>
      </c>
      <c r="AH508" s="769" t="s">
        <v>1328</v>
      </c>
      <c r="AI508" s="659"/>
      <c r="AJ508" s="659"/>
      <c r="AK508" s="743"/>
      <c r="AL508" s="551"/>
      <c r="AM508" s="551"/>
      <c r="AN508" s="535"/>
      <c r="AO508" s="537"/>
      <c r="AP508" s="789"/>
      <c r="AQ508" s="789"/>
      <c r="AR508" s="789"/>
      <c r="AS508" s="788"/>
      <c r="AT508" s="551"/>
      <c r="AU508" s="790"/>
      <c r="AV508" s="790"/>
      <c r="AW508" s="790"/>
      <c r="AX508" s="790"/>
      <c r="AY508" s="790"/>
      <c r="AZ508" s="790"/>
      <c r="BA508" s="790"/>
      <c r="BB508" s="537"/>
      <c r="BC508" s="537"/>
      <c r="BD508" s="537"/>
      <c r="BE508" s="789"/>
      <c r="BF508" s="789"/>
      <c r="BG508" s="789"/>
      <c r="BH508" s="788"/>
      <c r="BI508" s="551"/>
      <c r="BJ508" s="791"/>
      <c r="BK508" s="790"/>
      <c r="BL508" s="790"/>
      <c r="BM508" s="790"/>
      <c r="BN508" s="790"/>
      <c r="BO508" s="790"/>
      <c r="BP508" s="790"/>
      <c r="BQ508" s="537"/>
      <c r="BR508" s="551"/>
      <c r="BS508" s="537"/>
      <c r="BT508" s="537"/>
      <c r="BU508" s="537"/>
      <c r="BV508" s="537"/>
      <c r="BW508" s="537"/>
      <c r="BX508" s="537"/>
      <c r="BY508" s="537"/>
      <c r="BZ508" s="537"/>
      <c r="CA508" s="537"/>
      <c r="CB508" s="537"/>
      <c r="CC508" s="537"/>
    </row>
    <row r="509" spans="1:81" s="571" customFormat="1" hidden="1">
      <c r="A509" s="552"/>
      <c r="B509" s="552"/>
      <c r="C509" s="552"/>
      <c r="D509" s="552"/>
      <c r="E509" s="552"/>
      <c r="F509" s="552"/>
      <c r="G509" s="552"/>
      <c r="H509" s="552"/>
      <c r="I509" s="552"/>
      <c r="J509" s="552"/>
      <c r="K509" s="552"/>
      <c r="L509" s="552"/>
      <c r="M509" s="552"/>
      <c r="N509" s="552"/>
      <c r="O509" s="552"/>
      <c r="P509" s="552"/>
      <c r="Q509" s="552"/>
      <c r="R509" s="552"/>
      <c r="S509" s="552"/>
      <c r="T509" s="552"/>
      <c r="U509" s="552"/>
      <c r="V509" s="552"/>
      <c r="W509" s="552"/>
      <c r="X509" s="552"/>
      <c r="Y509" s="552"/>
      <c r="Z509" s="552"/>
      <c r="AA509" s="552"/>
      <c r="AB509" s="552"/>
      <c r="AC509" s="552"/>
      <c r="AD509" s="552"/>
      <c r="AE509" s="551"/>
      <c r="AF509" s="551"/>
      <c r="AG509" s="614"/>
      <c r="AH509" s="641"/>
      <c r="AI509" s="552"/>
      <c r="AJ509" s="552"/>
      <c r="AK509" s="551"/>
      <c r="AL509" s="551"/>
      <c r="AM509" s="551"/>
      <c r="AN509" s="535"/>
      <c r="AO509" s="537"/>
      <c r="AP509" s="789"/>
      <c r="AQ509" s="789"/>
      <c r="AR509" s="789"/>
      <c r="AS509" s="788"/>
      <c r="AT509" s="551"/>
      <c r="AU509" s="790"/>
      <c r="AV509" s="790"/>
      <c r="AW509" s="790"/>
      <c r="AX509" s="790"/>
      <c r="AY509" s="790"/>
      <c r="AZ509" s="790"/>
      <c r="BA509" s="790"/>
      <c r="BB509" s="537"/>
      <c r="BC509" s="537"/>
      <c r="BD509" s="537"/>
      <c r="BE509" s="789"/>
      <c r="BF509" s="789"/>
      <c r="BG509" s="789"/>
      <c r="BH509" s="788"/>
      <c r="BI509" s="551"/>
      <c r="BJ509" s="791"/>
      <c r="BK509" s="790"/>
      <c r="BL509" s="790"/>
      <c r="BM509" s="790"/>
      <c r="BN509" s="790"/>
      <c r="BO509" s="790"/>
      <c r="BP509" s="790"/>
      <c r="BQ509" s="537"/>
      <c r="BR509" s="551"/>
      <c r="BS509" s="537"/>
      <c r="BT509" s="537"/>
      <c r="BU509" s="537"/>
      <c r="BV509" s="537"/>
      <c r="BW509" s="537"/>
      <c r="BX509" s="537"/>
      <c r="BY509" s="537"/>
      <c r="BZ509" s="537"/>
      <c r="CA509" s="537"/>
      <c r="CB509" s="537"/>
      <c r="CC509" s="537"/>
    </row>
    <row r="510" spans="1:81" s="571" customFormat="1" hidden="1">
      <c r="A510" s="551"/>
      <c r="B510" s="551"/>
      <c r="C510" s="2459" t="s">
        <v>591</v>
      </c>
      <c r="D510" s="2460"/>
      <c r="E510" s="762" t="s">
        <v>1541</v>
      </c>
      <c r="F510" s="781" t="s">
        <v>1542</v>
      </c>
      <c r="G510" s="650"/>
      <c r="H510" s="650"/>
      <c r="I510" s="650"/>
      <c r="J510" s="650"/>
      <c r="K510" s="650"/>
      <c r="L510" s="650"/>
      <c r="M510" s="650"/>
      <c r="N510" s="650"/>
      <c r="O510" s="650"/>
      <c r="P510" s="650"/>
      <c r="Q510" s="650"/>
      <c r="R510" s="650"/>
      <c r="S510" s="650"/>
      <c r="T510" s="650"/>
      <c r="U510" s="650"/>
      <c r="V510" s="650"/>
      <c r="W510" s="650"/>
      <c r="X510" s="650"/>
      <c r="Y510" s="650"/>
      <c r="Z510" s="650"/>
      <c r="AA510" s="650"/>
      <c r="AB510" s="650"/>
      <c r="AC510" s="792"/>
      <c r="AD510" s="715"/>
      <c r="AE510" s="715"/>
      <c r="AF510" s="715"/>
      <c r="AG510" s="793"/>
      <c r="AH510" s="793"/>
      <c r="AI510" s="793"/>
      <c r="AJ510" s="793"/>
      <c r="AK510" s="746"/>
      <c r="AL510" s="551"/>
      <c r="AM510" s="551"/>
      <c r="AN510" s="535"/>
      <c r="AO510" s="537"/>
      <c r="AP510" s="789"/>
      <c r="AQ510" s="789"/>
      <c r="AR510" s="789"/>
      <c r="AS510" s="788"/>
      <c r="AT510" s="551"/>
      <c r="AU510" s="790"/>
      <c r="AV510" s="790"/>
      <c r="AW510" s="790"/>
      <c r="AX510" s="790"/>
      <c r="AY510" s="790"/>
      <c r="AZ510" s="790"/>
      <c r="BA510" s="790"/>
      <c r="BB510" s="537"/>
      <c r="BC510" s="537"/>
      <c r="BD510" s="537"/>
      <c r="BE510" s="789"/>
      <c r="BF510" s="789"/>
      <c r="BG510" s="789"/>
      <c r="BH510" s="788"/>
      <c r="BI510" s="551"/>
      <c r="BJ510" s="791"/>
      <c r="BK510" s="790"/>
      <c r="BL510" s="790"/>
      <c r="BM510" s="790"/>
      <c r="BN510" s="790"/>
      <c r="BO510" s="790"/>
      <c r="BP510" s="790"/>
      <c r="BQ510" s="537"/>
      <c r="BR510" s="551"/>
      <c r="BS510" s="537"/>
      <c r="BT510" s="537"/>
      <c r="BU510" s="537"/>
      <c r="BV510" s="537"/>
      <c r="BW510" s="537"/>
      <c r="BX510" s="537"/>
      <c r="BY510" s="537"/>
      <c r="BZ510" s="537"/>
      <c r="CA510" s="537"/>
      <c r="CB510" s="537"/>
      <c r="CC510" s="537"/>
    </row>
    <row r="511" spans="1:81" s="571" customFormat="1" hidden="1">
      <c r="A511" s="551"/>
      <c r="B511" s="551"/>
      <c r="C511" s="763"/>
      <c r="D511" s="551"/>
      <c r="E511" s="764"/>
      <c r="F511" s="552"/>
      <c r="G511" s="552"/>
      <c r="H511" s="552"/>
      <c r="I511" s="552"/>
      <c r="J511" s="552"/>
      <c r="K511" s="552"/>
      <c r="L511" s="552"/>
      <c r="M511" s="552"/>
      <c r="N511" s="552"/>
      <c r="O511" s="552"/>
      <c r="P511" s="552"/>
      <c r="Q511" s="552"/>
      <c r="R511" s="552"/>
      <c r="S511" s="552"/>
      <c r="T511" s="552"/>
      <c r="U511" s="552"/>
      <c r="V511" s="552"/>
      <c r="W511" s="552"/>
      <c r="X511" s="552"/>
      <c r="Y511" s="552"/>
      <c r="Z511" s="552"/>
      <c r="AA511" s="552"/>
      <c r="AB511" s="552"/>
      <c r="AC511" s="552"/>
      <c r="AD511" s="551"/>
      <c r="AE511" s="551"/>
      <c r="AF511" s="551"/>
      <c r="AG511" s="552"/>
      <c r="AH511" s="552"/>
      <c r="AI511" s="552"/>
      <c r="AJ511" s="552"/>
      <c r="AK511" s="733"/>
      <c r="AL511" s="551"/>
      <c r="AM511" s="551"/>
      <c r="AN511" s="535"/>
      <c r="AO511" s="537"/>
      <c r="AP511" s="789"/>
      <c r="AQ511" s="789"/>
      <c r="AR511" s="789"/>
      <c r="AS511" s="788"/>
      <c r="AT511" s="551"/>
      <c r="AU511" s="790"/>
      <c r="AV511" s="790"/>
      <c r="AW511" s="790"/>
      <c r="AX511" s="790"/>
      <c r="AY511" s="790"/>
      <c r="AZ511" s="790"/>
      <c r="BA511" s="790"/>
      <c r="BB511" s="537"/>
      <c r="BC511" s="537"/>
      <c r="BD511" s="537"/>
      <c r="BE511" s="789"/>
      <c r="BF511" s="789"/>
      <c r="BG511" s="789"/>
      <c r="BH511" s="788"/>
      <c r="BI511" s="551"/>
      <c r="BJ511" s="791"/>
      <c r="BK511" s="790"/>
      <c r="BL511" s="790"/>
      <c r="BM511" s="790"/>
      <c r="BN511" s="790"/>
      <c r="BO511" s="790"/>
      <c r="BP511" s="790"/>
      <c r="BQ511" s="537"/>
      <c r="BR511" s="14"/>
      <c r="BS511" s="537"/>
      <c r="BT511" s="537"/>
      <c r="BU511" s="537"/>
      <c r="BV511" s="537"/>
      <c r="BW511" s="537"/>
      <c r="BX511" s="537"/>
      <c r="BY511" s="537"/>
      <c r="BZ511" s="537"/>
      <c r="CA511" s="537"/>
      <c r="CB511" s="537"/>
      <c r="CC511" s="537"/>
    </row>
    <row r="512" spans="1:81" s="571" customFormat="1" hidden="1">
      <c r="A512" s="551"/>
      <c r="B512" s="551"/>
      <c r="C512" s="2479"/>
      <c r="D512" s="2464"/>
      <c r="E512" s="773"/>
      <c r="F512" s="552" t="s">
        <v>1543</v>
      </c>
      <c r="G512" s="552"/>
      <c r="H512" s="552"/>
      <c r="I512" s="552"/>
      <c r="J512" s="552"/>
      <c r="K512" s="552"/>
      <c r="L512" s="552"/>
      <c r="M512" s="552"/>
      <c r="N512" s="552"/>
      <c r="O512" s="552"/>
      <c r="P512" s="552"/>
      <c r="Q512" s="552"/>
      <c r="R512" s="552"/>
      <c r="S512" s="552"/>
      <c r="T512" s="552"/>
      <c r="U512" s="552"/>
      <c r="V512" s="552"/>
      <c r="W512" s="552"/>
      <c r="X512" s="552"/>
      <c r="Y512" s="552"/>
      <c r="Z512" s="552"/>
      <c r="AA512" s="552"/>
      <c r="AB512" s="552"/>
      <c r="AC512" s="592"/>
      <c r="AD512" s="551"/>
      <c r="AE512" s="551"/>
      <c r="AF512" s="551"/>
      <c r="AG512" s="614">
        <f>IF($C$510="Yes",(VLOOKUP($G$513,$AO$488:$AP$491,2,FALSE)),0)</f>
        <v>0</v>
      </c>
      <c r="AH512" s="641" t="s">
        <v>1328</v>
      </c>
      <c r="AI512" s="552"/>
      <c r="AJ512" s="614"/>
      <c r="AK512" s="733"/>
      <c r="AL512" s="551"/>
      <c r="AM512" s="551"/>
      <c r="AN512" s="535"/>
      <c r="AO512" s="537"/>
      <c r="AP512" s="789"/>
      <c r="AQ512" s="789"/>
      <c r="AR512" s="789"/>
      <c r="AS512" s="788"/>
      <c r="AT512" s="551"/>
      <c r="AU512" s="790"/>
      <c r="AV512" s="790"/>
      <c r="AW512" s="790"/>
      <c r="AX512" s="790"/>
      <c r="AY512" s="790"/>
      <c r="AZ512" s="790"/>
      <c r="BA512" s="790"/>
      <c r="BB512" s="537"/>
      <c r="BC512" s="537"/>
      <c r="BD512" s="537"/>
      <c r="BE512" s="789"/>
      <c r="BF512" s="789"/>
      <c r="BG512" s="789"/>
      <c r="BH512" s="788"/>
      <c r="BI512" s="551"/>
      <c r="BJ512" s="791"/>
      <c r="BK512" s="790"/>
      <c r="BL512" s="790"/>
      <c r="BM512" s="790"/>
      <c r="BN512" s="790"/>
      <c r="BO512" s="790"/>
      <c r="BP512" s="790"/>
      <c r="BQ512" s="537"/>
      <c r="BR512" s="551"/>
      <c r="BS512" s="537"/>
      <c r="BT512" s="537"/>
      <c r="BU512" s="537"/>
      <c r="BV512" s="537"/>
      <c r="BW512" s="537"/>
      <c r="BX512" s="537"/>
      <c r="BY512" s="537"/>
      <c r="BZ512" s="537"/>
      <c r="CA512" s="537"/>
      <c r="CB512" s="537"/>
      <c r="CC512" s="537"/>
    </row>
    <row r="513" spans="1:81" s="571" customFormat="1" hidden="1">
      <c r="A513" s="551"/>
      <c r="B513" s="551"/>
      <c r="C513" s="763"/>
      <c r="D513" s="551"/>
      <c r="E513" s="764"/>
      <c r="F513" s="552"/>
      <c r="G513" s="2480" t="s">
        <v>591</v>
      </c>
      <c r="H513" s="2480"/>
      <c r="I513" s="2480"/>
      <c r="J513" s="2480"/>
      <c r="K513" s="2480"/>
      <c r="L513" s="2480"/>
      <c r="M513" s="2480"/>
      <c r="N513" s="2480"/>
      <c r="O513" s="2480"/>
      <c r="P513" s="2480"/>
      <c r="Q513" s="2480"/>
      <c r="R513" s="2480"/>
      <c r="S513" s="2480"/>
      <c r="T513" s="2480"/>
      <c r="U513" s="2480"/>
      <c r="V513" s="2480"/>
      <c r="W513" s="2480"/>
      <c r="X513" s="2480"/>
      <c r="Y513" s="2480"/>
      <c r="Z513" s="2480"/>
      <c r="AA513" s="2480"/>
      <c r="AB513" s="2480"/>
      <c r="AC513" s="2480"/>
      <c r="AD513" s="2480"/>
      <c r="AE513" s="2480"/>
      <c r="AF513" s="2480"/>
      <c r="AG513" s="551"/>
      <c r="AH513" s="551"/>
      <c r="AI513" s="551"/>
      <c r="AJ513" s="552"/>
      <c r="AK513" s="733"/>
      <c r="AL513" s="551"/>
      <c r="AM513" s="551"/>
      <c r="AN513" s="535"/>
      <c r="AO513" s="537"/>
      <c r="AP513" s="789"/>
      <c r="AQ513" s="789"/>
      <c r="AR513" s="789"/>
      <c r="AS513" s="788"/>
      <c r="AT513" s="551"/>
      <c r="AU513" s="790"/>
      <c r="AV513" s="790"/>
      <c r="AW513" s="790"/>
      <c r="AX513" s="790"/>
      <c r="AY513" s="790"/>
      <c r="AZ513" s="790"/>
      <c r="BA513" s="790"/>
      <c r="BB513" s="537"/>
      <c r="BC513" s="537"/>
      <c r="BD513" s="537"/>
      <c r="BE513" s="789"/>
      <c r="BF513" s="789"/>
      <c r="BG513" s="789"/>
      <c r="BH513" s="788"/>
      <c r="BI513" s="551"/>
      <c r="BJ513" s="791"/>
      <c r="BK513" s="790"/>
      <c r="BL513" s="790"/>
      <c r="BM513" s="790"/>
      <c r="BN513" s="790"/>
      <c r="BO513" s="790"/>
      <c r="BP513" s="790"/>
      <c r="BQ513" s="537"/>
      <c r="BR513" s="551"/>
      <c r="BS513" s="537"/>
      <c r="BT513" s="537"/>
      <c r="BU513" s="537"/>
      <c r="BV513" s="537"/>
      <c r="BW513" s="537"/>
      <c r="BX513" s="537"/>
      <c r="BY513" s="537"/>
      <c r="BZ513" s="537"/>
      <c r="CA513" s="537"/>
      <c r="CB513" s="537"/>
      <c r="CC513" s="537"/>
    </row>
    <row r="514" spans="1:81" s="571" customFormat="1" hidden="1">
      <c r="A514" s="551"/>
      <c r="B514" s="551"/>
      <c r="C514" s="732"/>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1"/>
      <c r="AE514" s="551"/>
      <c r="AF514" s="551"/>
      <c r="AG514" s="14"/>
      <c r="AH514" s="14"/>
      <c r="AI514" s="14"/>
      <c r="AJ514" s="14"/>
      <c r="AK514" s="733"/>
      <c r="AL514" s="551"/>
      <c r="AM514" s="551"/>
      <c r="AN514" s="535"/>
      <c r="AO514" s="537"/>
      <c r="AP514" s="789"/>
      <c r="AQ514" s="789"/>
      <c r="AR514" s="789"/>
      <c r="AS514" s="788"/>
      <c r="AT514" s="551"/>
      <c r="AU514" s="790"/>
      <c r="AV514" s="790"/>
      <c r="AW514" s="790"/>
      <c r="AX514" s="790"/>
      <c r="AY514" s="790"/>
      <c r="AZ514" s="790"/>
      <c r="BA514" s="790"/>
      <c r="BB514" s="537"/>
      <c r="BC514" s="537"/>
      <c r="BD514" s="537"/>
      <c r="BE514" s="789"/>
      <c r="BF514" s="789"/>
      <c r="BG514" s="789"/>
      <c r="BH514" s="788"/>
      <c r="BI514" s="551"/>
      <c r="BJ514" s="791"/>
      <c r="BK514" s="790"/>
      <c r="BL514" s="790"/>
      <c r="BM514" s="790"/>
      <c r="BN514" s="790"/>
      <c r="BO514" s="790"/>
      <c r="BP514" s="790"/>
      <c r="BQ514" s="537"/>
      <c r="BR514" s="551"/>
      <c r="BS514" s="537"/>
      <c r="BT514" s="537"/>
      <c r="BU514" s="537"/>
      <c r="BV514" s="537"/>
      <c r="BW514" s="537"/>
      <c r="BX514" s="537"/>
      <c r="BY514" s="537"/>
      <c r="BZ514" s="537"/>
      <c r="CA514" s="537"/>
      <c r="CB514" s="537"/>
      <c r="CC514" s="537"/>
    </row>
    <row r="515" spans="1:81" s="571" customFormat="1" ht="12.75" hidden="1" customHeight="1">
      <c r="A515" s="14"/>
      <c r="B515" s="551"/>
      <c r="C515" s="2531" t="s">
        <v>591</v>
      </c>
      <c r="D515" s="2532"/>
      <c r="F515" s="552" t="s">
        <v>1544</v>
      </c>
      <c r="G515" s="552"/>
      <c r="H515" s="552"/>
      <c r="I515" s="552"/>
      <c r="J515" s="552"/>
      <c r="K515" s="552"/>
      <c r="L515" s="552"/>
      <c r="M515" s="552"/>
      <c r="N515" s="552"/>
      <c r="O515" s="552"/>
      <c r="P515" s="552"/>
      <c r="Q515" s="552"/>
      <c r="R515" s="552"/>
      <c r="S515" s="552"/>
      <c r="T515" s="552"/>
      <c r="U515" s="552"/>
      <c r="V515" s="552"/>
      <c r="W515" s="552"/>
      <c r="X515" s="552"/>
      <c r="Y515" s="552"/>
      <c r="Z515" s="552"/>
      <c r="AA515" s="552"/>
      <c r="AB515" s="552"/>
      <c r="AC515" s="592"/>
      <c r="AD515" s="551"/>
      <c r="AE515" s="551"/>
      <c r="AF515" s="551"/>
      <c r="AG515" s="614">
        <f>IF(AND($C$515="Yes",$C$510="Yes"),2,0)</f>
        <v>0</v>
      </c>
      <c r="AH515" s="641" t="s">
        <v>1328</v>
      </c>
      <c r="AI515" s="552"/>
      <c r="AJ515" s="595"/>
      <c r="AK515" s="733"/>
      <c r="AL515" s="551"/>
      <c r="AM515" s="551"/>
      <c r="AN515" s="535"/>
      <c r="AO515" s="537"/>
      <c r="AP515" s="789"/>
      <c r="AQ515" s="789"/>
      <c r="AR515" s="789"/>
      <c r="AS515" s="788"/>
      <c r="AT515" s="551"/>
      <c r="AU515" s="790"/>
      <c r="AV515" s="790"/>
      <c r="AW515" s="790"/>
      <c r="AX515" s="790"/>
      <c r="AY515" s="790"/>
      <c r="AZ515" s="790"/>
      <c r="BA515" s="790"/>
      <c r="BB515" s="537"/>
      <c r="BC515" s="537"/>
      <c r="BD515" s="537"/>
      <c r="BE515" s="789"/>
      <c r="BF515" s="789"/>
      <c r="BG515" s="789"/>
      <c r="BH515" s="788"/>
      <c r="BI515" s="551"/>
      <c r="BJ515" s="791"/>
      <c r="BK515" s="790"/>
      <c r="BL515" s="790"/>
      <c r="BM515" s="790"/>
      <c r="BN515" s="790"/>
      <c r="BO515" s="790"/>
      <c r="BP515" s="790"/>
      <c r="BQ515" s="537"/>
      <c r="BR515" s="551"/>
      <c r="BS515" s="537"/>
      <c r="BT515" s="537"/>
      <c r="BU515" s="537"/>
      <c r="BV515" s="537"/>
      <c r="BW515" s="537"/>
      <c r="BX515" s="537"/>
      <c r="BY515" s="537"/>
      <c r="BZ515" s="537"/>
      <c r="CA515" s="537"/>
      <c r="CB515" s="537"/>
      <c r="CC515" s="537"/>
    </row>
    <row r="516" spans="1:81" s="571" customFormat="1" hidden="1">
      <c r="A516" s="14"/>
      <c r="B516" s="551"/>
      <c r="C516" s="782"/>
      <c r="D516" s="731"/>
      <c r="E516" s="731"/>
      <c r="F516" s="552"/>
      <c r="G516" s="552" t="s">
        <v>1545</v>
      </c>
      <c r="H516" s="552"/>
      <c r="I516" s="552"/>
      <c r="J516" s="552"/>
      <c r="K516" s="552"/>
      <c r="L516" s="552"/>
      <c r="M516" s="552"/>
      <c r="N516" s="552"/>
      <c r="O516" s="552"/>
      <c r="P516" s="552"/>
      <c r="Q516" s="552"/>
      <c r="R516" s="552"/>
      <c r="S516" s="552"/>
      <c r="T516" s="552"/>
      <c r="U516" s="552"/>
      <c r="V516" s="552"/>
      <c r="W516" s="552"/>
      <c r="X516" s="552"/>
      <c r="Y516" s="552"/>
      <c r="Z516" s="552"/>
      <c r="AA516" s="552"/>
      <c r="AB516" s="552"/>
      <c r="AC516" s="592"/>
      <c r="AD516" s="551"/>
      <c r="AE516" s="551"/>
      <c r="AF516" s="551"/>
      <c r="AG516" s="595"/>
      <c r="AH516" s="595"/>
      <c r="AI516" s="595"/>
      <c r="AJ516" s="595"/>
      <c r="AK516" s="733"/>
      <c r="AL516" s="551"/>
      <c r="AM516" s="551"/>
      <c r="AN516" s="598"/>
      <c r="AO516" s="537"/>
      <c r="AP516" s="789"/>
      <c r="AQ516" s="789"/>
      <c r="AR516" s="789"/>
      <c r="AS516" s="788"/>
      <c r="AT516" s="551"/>
      <c r="AU516" s="790"/>
      <c r="AV516" s="790"/>
      <c r="AW516" s="790"/>
      <c r="AX516" s="790"/>
      <c r="AY516" s="790"/>
      <c r="AZ516" s="790"/>
      <c r="BA516" s="790"/>
      <c r="BB516" s="537"/>
      <c r="BC516" s="537"/>
      <c r="BD516" s="537"/>
      <c r="BE516" s="789"/>
      <c r="BF516" s="789"/>
      <c r="BG516" s="789"/>
      <c r="BH516" s="788"/>
      <c r="BI516" s="551"/>
      <c r="BJ516" s="791"/>
      <c r="BK516" s="790"/>
      <c r="BL516" s="790"/>
      <c r="BM516" s="790"/>
      <c r="BN516" s="790"/>
      <c r="BO516" s="790"/>
      <c r="BP516" s="790"/>
      <c r="BQ516" s="537"/>
      <c r="BR516" s="551"/>
      <c r="BS516" s="537"/>
      <c r="BT516" s="537"/>
      <c r="BU516" s="537"/>
      <c r="BV516" s="537"/>
      <c r="BW516" s="537"/>
      <c r="BX516" s="537"/>
      <c r="BY516" s="537"/>
      <c r="BZ516" s="537"/>
      <c r="CA516" s="537"/>
      <c r="CB516" s="537"/>
      <c r="CC516" s="537"/>
    </row>
    <row r="517" spans="1:81" s="551" customFormat="1" ht="12.75" hidden="1" customHeight="1">
      <c r="A517" s="14"/>
      <c r="C517" s="782"/>
      <c r="D517" s="731"/>
      <c r="E517" s="731"/>
      <c r="F517" s="552"/>
      <c r="G517" s="552" t="s">
        <v>1546</v>
      </c>
      <c r="H517" s="552"/>
      <c r="I517" s="552"/>
      <c r="J517" s="552"/>
      <c r="K517" s="552"/>
      <c r="L517" s="552"/>
      <c r="M517" s="552"/>
      <c r="N517" s="552"/>
      <c r="O517" s="552"/>
      <c r="P517" s="552"/>
      <c r="Q517" s="552"/>
      <c r="R517" s="552"/>
      <c r="S517" s="552"/>
      <c r="T517" s="552"/>
      <c r="U517" s="552"/>
      <c r="V517" s="552"/>
      <c r="W517" s="552"/>
      <c r="X517" s="552"/>
      <c r="Y517" s="552"/>
      <c r="Z517" s="552"/>
      <c r="AA517" s="552"/>
      <c r="AB517" s="552"/>
      <c r="AC517" s="592"/>
      <c r="AG517" s="595"/>
      <c r="AH517" s="595"/>
      <c r="AI517" s="595"/>
      <c r="AJ517" s="595"/>
      <c r="AK517" s="733"/>
      <c r="AN517" s="536"/>
      <c r="AP517" s="537"/>
      <c r="AQ517" s="537"/>
      <c r="AR517" s="537"/>
    </row>
    <row r="518" spans="1:81" s="551" customFormat="1" ht="12.75" hidden="1" customHeight="1">
      <c r="A518" s="638"/>
      <c r="B518" s="14"/>
      <c r="C518" s="794"/>
      <c r="D518" s="14"/>
      <c r="G518" s="612"/>
      <c r="H518" s="612"/>
      <c r="I518" s="612"/>
      <c r="J518" s="612"/>
      <c r="K518" s="612"/>
      <c r="L518" s="612"/>
      <c r="M518" s="612"/>
      <c r="N518" s="612"/>
      <c r="O518" s="612"/>
      <c r="P518" s="612"/>
      <c r="Q518" s="612"/>
      <c r="R518" s="612"/>
      <c r="S518" s="612"/>
      <c r="T518" s="612"/>
      <c r="U518" s="612"/>
      <c r="V518" s="612"/>
      <c r="W518" s="612"/>
      <c r="X518" s="612"/>
      <c r="Y518" s="612"/>
      <c r="Z518" s="612"/>
      <c r="AA518" s="612"/>
      <c r="AB518" s="612"/>
      <c r="AC518" s="612"/>
      <c r="AD518" s="612"/>
      <c r="AE518" s="612"/>
      <c r="AF518" s="612"/>
      <c r="AG518" s="592"/>
      <c r="AH518" s="592"/>
      <c r="AI518" s="592"/>
      <c r="AJ518" s="592"/>
      <c r="AK518" s="795"/>
      <c r="AL518" s="14"/>
      <c r="AM518" s="14"/>
      <c r="AN518" s="536"/>
      <c r="AO518" s="537"/>
      <c r="AP518" s="537"/>
      <c r="AQ518" s="537"/>
      <c r="AR518" s="537"/>
    </row>
    <row r="519" spans="1:81" s="551" customFormat="1" ht="12.75" hidden="1" customHeight="1">
      <c r="A519" s="638"/>
      <c r="C519" s="2531" t="s">
        <v>591</v>
      </c>
      <c r="D519" s="2532"/>
      <c r="F519" s="796" t="s">
        <v>1547</v>
      </c>
      <c r="G519" s="2441" t="s">
        <v>1548</v>
      </c>
      <c r="H519" s="2441"/>
      <c r="I519" s="2441"/>
      <c r="J519" s="2441"/>
      <c r="K519" s="2441"/>
      <c r="L519" s="2441"/>
      <c r="M519" s="2441"/>
      <c r="N519" s="2441"/>
      <c r="O519" s="2441"/>
      <c r="P519" s="2441"/>
      <c r="Q519" s="2441"/>
      <c r="R519" s="2441"/>
      <c r="S519" s="2441"/>
      <c r="T519" s="2441"/>
      <c r="U519" s="2441"/>
      <c r="V519" s="2441"/>
      <c r="W519" s="2441"/>
      <c r="X519" s="2441"/>
      <c r="Y519" s="2441"/>
      <c r="Z519" s="2441"/>
      <c r="AA519" s="2441"/>
      <c r="AB519" s="2441"/>
      <c r="AC519" s="2441"/>
      <c r="AD519" s="2441"/>
      <c r="AE519" s="2441"/>
      <c r="AF519" s="2441"/>
      <c r="AG519" s="614">
        <f>IF(AND($C$519="Yes",$C$510="Yes"),2,0)</f>
        <v>0</v>
      </c>
      <c r="AH519" s="641" t="s">
        <v>1328</v>
      </c>
      <c r="AI519" s="552"/>
      <c r="AJ519" s="595"/>
      <c r="AK519" s="733"/>
      <c r="AN519" s="536"/>
      <c r="AZ519" s="540"/>
      <c r="BC519" s="544"/>
      <c r="BD519" s="540"/>
      <c r="BE519" s="540"/>
      <c r="BF519" s="540"/>
      <c r="BM519" s="537"/>
      <c r="BN519" s="540"/>
      <c r="BO519" s="537"/>
      <c r="BP519" s="540"/>
      <c r="BQ519" s="540"/>
      <c r="BR519" s="540"/>
      <c r="BS519" s="540"/>
      <c r="BT519" s="540"/>
      <c r="BU519" s="540"/>
      <c r="BV519" s="537"/>
      <c r="BW519" s="537"/>
      <c r="BX519" s="537"/>
      <c r="BY519" s="537"/>
      <c r="BZ519" s="537"/>
      <c r="CA519" s="537"/>
      <c r="CB519" s="537"/>
      <c r="CC519" s="537"/>
    </row>
    <row r="520" spans="1:81" s="551" customFormat="1" ht="12.75" hidden="1" customHeight="1">
      <c r="C520" s="797"/>
      <c r="D520" s="728"/>
      <c r="E520" s="766"/>
      <c r="F520" s="727"/>
      <c r="G520" s="2442"/>
      <c r="H520" s="2442"/>
      <c r="I520" s="2442"/>
      <c r="J520" s="2442"/>
      <c r="K520" s="2442"/>
      <c r="L520" s="2442"/>
      <c r="M520" s="2442"/>
      <c r="N520" s="2442"/>
      <c r="O520" s="2442"/>
      <c r="P520" s="2442"/>
      <c r="Q520" s="2442"/>
      <c r="R520" s="2442"/>
      <c r="S520" s="2442"/>
      <c r="T520" s="2442"/>
      <c r="U520" s="2442"/>
      <c r="V520" s="2442"/>
      <c r="W520" s="2442"/>
      <c r="X520" s="2442"/>
      <c r="Y520" s="2442"/>
      <c r="Z520" s="2442"/>
      <c r="AA520" s="2442"/>
      <c r="AB520" s="2442"/>
      <c r="AC520" s="2442"/>
      <c r="AD520" s="2442"/>
      <c r="AE520" s="2442"/>
      <c r="AF520" s="2442"/>
      <c r="AG520" s="659"/>
      <c r="AH520" s="659"/>
      <c r="AI520" s="659"/>
      <c r="AJ520" s="659"/>
      <c r="AK520" s="743"/>
      <c r="AN520" s="536"/>
      <c r="AZ520" s="540"/>
      <c r="BC520" s="544"/>
      <c r="BD520" s="540"/>
      <c r="BE520" s="540"/>
      <c r="BF520" s="540"/>
      <c r="BM520" s="596"/>
      <c r="BN520" s="596"/>
      <c r="BO520" s="596"/>
      <c r="BP520" s="596"/>
      <c r="BQ520" s="596"/>
      <c r="BR520" s="596"/>
      <c r="BS520" s="596"/>
      <c r="BT520" s="596"/>
      <c r="BU520" s="596"/>
      <c r="BV520" s="596"/>
      <c r="BW520" s="596"/>
      <c r="BX520" s="596"/>
      <c r="BY520" s="596"/>
      <c r="BZ520" s="596"/>
      <c r="CA520" s="596"/>
      <c r="CB520" s="596"/>
      <c r="CC520" s="596"/>
    </row>
    <row r="521" spans="1:81" s="551" customFormat="1" ht="12.75" hidden="1" customHeight="1">
      <c r="C521" s="537"/>
      <c r="E521" s="764"/>
      <c r="F521" s="604"/>
      <c r="G521" s="574"/>
      <c r="H521" s="574"/>
      <c r="I521" s="574"/>
      <c r="J521" s="574"/>
      <c r="K521" s="574"/>
      <c r="L521" s="574"/>
      <c r="M521" s="574"/>
      <c r="N521" s="574"/>
      <c r="O521" s="574"/>
      <c r="P521" s="574"/>
      <c r="Q521" s="574"/>
      <c r="R521" s="574"/>
      <c r="S521" s="574"/>
      <c r="T521" s="574"/>
      <c r="U521" s="574"/>
      <c r="V521" s="574"/>
      <c r="W521" s="574"/>
      <c r="X521" s="574"/>
      <c r="Y521" s="574"/>
      <c r="Z521" s="574"/>
      <c r="AA521" s="574"/>
      <c r="AB521" s="574"/>
      <c r="AC521" s="574"/>
      <c r="AD521" s="574"/>
      <c r="AE521" s="574"/>
      <c r="AF521" s="574"/>
      <c r="AG521" s="552"/>
      <c r="AH521" s="552"/>
      <c r="AI521" s="552"/>
      <c r="AJ521" s="552"/>
      <c r="AN521" s="536"/>
      <c r="AP521" s="540"/>
      <c r="AQ521" s="540"/>
      <c r="AR521" s="540"/>
      <c r="AS521" s="540"/>
      <c r="AT521" s="540"/>
      <c r="AU521" s="540"/>
      <c r="AV521" s="540"/>
      <c r="AW521" s="540"/>
      <c r="AX521" s="540"/>
      <c r="AY521" s="540"/>
      <c r="AZ521" s="540"/>
      <c r="BA521" s="540"/>
      <c r="BB521" s="540"/>
      <c r="BC521" s="540"/>
      <c r="BD521" s="540"/>
      <c r="BE521" s="540"/>
      <c r="BF521" s="540"/>
      <c r="BG521" s="540"/>
      <c r="BH521" s="540"/>
      <c r="BI521" s="544"/>
      <c r="BJ521" s="798"/>
      <c r="BK521" s="798"/>
      <c r="BM521" s="596"/>
      <c r="BN521" s="596"/>
      <c r="BO521" s="596"/>
      <c r="BP521" s="596"/>
      <c r="BQ521" s="596"/>
      <c r="BR521" s="596"/>
      <c r="BS521" s="596"/>
      <c r="BT521" s="596"/>
      <c r="BU521" s="596"/>
      <c r="BV521" s="596"/>
      <c r="BW521" s="596"/>
      <c r="BX521" s="596"/>
      <c r="BY521" s="596"/>
      <c r="BZ521" s="596"/>
      <c r="CA521" s="596"/>
      <c r="CB521" s="596"/>
      <c r="CC521" s="596"/>
    </row>
    <row r="522" spans="1:81" s="551" customFormat="1" ht="12.75" hidden="1" customHeight="1">
      <c r="C522" s="799" t="s">
        <v>1549</v>
      </c>
      <c r="D522" s="715"/>
      <c r="E522" s="800"/>
      <c r="F522" s="801"/>
      <c r="G522" s="802"/>
      <c r="H522" s="802"/>
      <c r="I522" s="802"/>
      <c r="J522" s="802"/>
      <c r="K522" s="802"/>
      <c r="L522" s="802"/>
      <c r="M522" s="802"/>
      <c r="N522" s="802"/>
      <c r="O522" s="802"/>
      <c r="P522" s="802"/>
      <c r="Q522" s="802"/>
      <c r="R522" s="802"/>
      <c r="S522" s="802"/>
      <c r="T522" s="802"/>
      <c r="U522" s="802"/>
      <c r="V522" s="802"/>
      <c r="W522" s="802"/>
      <c r="X522" s="802"/>
      <c r="Y522" s="802"/>
      <c r="Z522" s="802"/>
      <c r="AA522" s="802"/>
      <c r="AB522" s="802"/>
      <c r="AC522" s="802"/>
      <c r="AD522" s="802"/>
      <c r="AE522" s="802"/>
      <c r="AF522" s="802"/>
      <c r="AG522" s="650"/>
      <c r="AH522" s="650"/>
      <c r="AI522" s="650"/>
      <c r="AJ522" s="650"/>
      <c r="AK522" s="746"/>
      <c r="AN522" s="598"/>
      <c r="AP522" s="540"/>
      <c r="AQ522" s="540"/>
      <c r="AR522" s="540"/>
      <c r="AS522" s="540"/>
      <c r="AT522" s="540"/>
      <c r="AU522" s="540"/>
      <c r="AV522" s="540"/>
      <c r="AW522" s="540"/>
      <c r="AX522" s="540"/>
      <c r="AY522" s="540"/>
      <c r="AZ522" s="540"/>
      <c r="BA522" s="540"/>
      <c r="BB522" s="540"/>
      <c r="BC522" s="540"/>
      <c r="BD522" s="540"/>
      <c r="BE522" s="540"/>
      <c r="BF522" s="540"/>
      <c r="BG522" s="540"/>
      <c r="BH522" s="540"/>
      <c r="BI522" s="638"/>
      <c r="BJ522" s="798"/>
      <c r="BK522" s="798"/>
      <c r="BM522" s="596"/>
      <c r="BN522" s="596"/>
      <c r="BO522" s="596"/>
      <c r="BP522" s="596"/>
      <c r="BQ522" s="596"/>
      <c r="BR522" s="596"/>
      <c r="BS522" s="596"/>
      <c r="BT522" s="596"/>
      <c r="BU522" s="596"/>
      <c r="BV522" s="596"/>
      <c r="BW522" s="596"/>
      <c r="BX522" s="596"/>
      <c r="BY522" s="596"/>
      <c r="BZ522" s="596"/>
      <c r="CA522" s="596"/>
      <c r="CB522" s="596"/>
      <c r="CC522" s="596"/>
    </row>
    <row r="523" spans="1:81" s="551" customFormat="1" ht="12.75" hidden="1" customHeight="1">
      <c r="C523" s="2533" t="s">
        <v>591</v>
      </c>
      <c r="D523" s="2534"/>
      <c r="E523" s="803" t="s">
        <v>1550</v>
      </c>
      <c r="F523" s="772" t="s">
        <v>1551</v>
      </c>
      <c r="G523" s="574"/>
      <c r="H523" s="574"/>
      <c r="I523" s="574"/>
      <c r="J523" s="574"/>
      <c r="K523" s="574"/>
      <c r="L523" s="574"/>
      <c r="M523" s="574"/>
      <c r="N523" s="574"/>
      <c r="O523" s="574"/>
      <c r="P523" s="574"/>
      <c r="Q523" s="574"/>
      <c r="R523" s="574"/>
      <c r="S523" s="574"/>
      <c r="T523" s="574"/>
      <c r="U523" s="574"/>
      <c r="V523" s="574"/>
      <c r="W523" s="574"/>
      <c r="X523" s="574"/>
      <c r="Y523" s="574"/>
      <c r="Z523" s="574"/>
      <c r="AA523" s="574"/>
      <c r="AB523" s="574"/>
      <c r="AC523" s="574"/>
      <c r="AD523" s="574"/>
      <c r="AE523" s="574"/>
      <c r="AF523" s="574"/>
      <c r="AG523" s="614">
        <f>IF(C$523="Yes",(VLOOKUP(F$524,$AO$494:$AP$497,2,FALSE)),0)</f>
        <v>0</v>
      </c>
      <c r="AH523" s="641" t="s">
        <v>1328</v>
      </c>
      <c r="AI523" s="552"/>
      <c r="AJ523" s="552"/>
      <c r="AK523" s="733"/>
      <c r="AN523" s="598"/>
      <c r="AP523" s="540"/>
      <c r="AQ523" s="540"/>
      <c r="AR523" s="540"/>
      <c r="AS523" s="540"/>
      <c r="AT523" s="540"/>
      <c r="AU523" s="540"/>
      <c r="AV523" s="540"/>
      <c r="AW523" s="540"/>
      <c r="AX523" s="540"/>
      <c r="AY523" s="540"/>
      <c r="AZ523" s="540"/>
      <c r="BA523" s="540"/>
      <c r="BB523" s="540"/>
      <c r="BC523" s="540"/>
      <c r="BD523" s="540"/>
      <c r="BE523" s="540"/>
      <c r="BF523" s="540"/>
      <c r="BG523" s="540"/>
      <c r="BH523" s="540"/>
      <c r="BI523" s="638"/>
      <c r="BJ523" s="798"/>
      <c r="BK523" s="798"/>
      <c r="BM523" s="537"/>
      <c r="BN523" s="537"/>
      <c r="BO523" s="537"/>
      <c r="BP523" s="537"/>
      <c r="BQ523" s="537"/>
      <c r="BR523" s="537"/>
      <c r="BS523" s="537"/>
      <c r="BT523" s="537"/>
      <c r="BU523" s="537"/>
      <c r="BV523" s="537"/>
      <c r="BW523" s="537"/>
      <c r="BX523" s="537"/>
      <c r="BY523" s="537"/>
      <c r="BZ523" s="537"/>
      <c r="CA523" s="537"/>
      <c r="CB523" s="537"/>
      <c r="CC523" s="537"/>
    </row>
    <row r="524" spans="1:81" s="551" customFormat="1" ht="12.75" hidden="1" customHeight="1">
      <c r="C524" s="719"/>
      <c r="E524" s="764"/>
      <c r="F524" s="2535" t="s">
        <v>591</v>
      </c>
      <c r="G524" s="2535"/>
      <c r="H524" s="2535"/>
      <c r="I524" s="2535"/>
      <c r="J524" s="2535"/>
      <c r="K524" s="2535"/>
      <c r="L524" s="2535"/>
      <c r="M524" s="2535"/>
      <c r="N524" s="2535"/>
      <c r="O524" s="2535"/>
      <c r="P524" s="2535"/>
      <c r="Q524" s="2535"/>
      <c r="R524" s="2535"/>
      <c r="S524" s="2535"/>
      <c r="T524" s="2535"/>
      <c r="U524" s="2535"/>
      <c r="V524" s="2535"/>
      <c r="W524" s="2535"/>
      <c r="X524" s="2535"/>
      <c r="Y524" s="2535"/>
      <c r="Z524" s="2535"/>
      <c r="AA524" s="2535"/>
      <c r="AB524" s="2535"/>
      <c r="AC524" s="2535"/>
      <c r="AD524" s="2535"/>
      <c r="AE524" s="2535"/>
      <c r="AF524" s="2535"/>
      <c r="AG524" s="552"/>
      <c r="AH524" s="552"/>
      <c r="AI524" s="552"/>
      <c r="AJ524" s="552"/>
      <c r="AK524" s="733"/>
      <c r="AN524" s="598"/>
      <c r="BM524" s="537"/>
      <c r="BN524" s="537"/>
      <c r="BO524" s="537"/>
      <c r="BP524" s="537"/>
      <c r="BQ524" s="537"/>
      <c r="BR524" s="537"/>
      <c r="BS524" s="537"/>
      <c r="BT524" s="537"/>
      <c r="BU524" s="537"/>
      <c r="BV524" s="537"/>
      <c r="BW524" s="537"/>
      <c r="BX524" s="537"/>
      <c r="BY524" s="537"/>
      <c r="BZ524" s="537"/>
      <c r="CA524" s="537"/>
      <c r="CB524" s="537"/>
      <c r="CC524" s="537"/>
    </row>
    <row r="525" spans="1:81" s="551" customFormat="1" ht="12.75" hidden="1" customHeight="1">
      <c r="C525" s="797"/>
      <c r="D525" s="728"/>
      <c r="E525" s="766"/>
      <c r="F525" s="2536"/>
      <c r="G525" s="2536"/>
      <c r="H525" s="2536"/>
      <c r="I525" s="2536"/>
      <c r="J525" s="2536"/>
      <c r="K525" s="2536"/>
      <c r="L525" s="2536"/>
      <c r="M525" s="2536"/>
      <c r="N525" s="2536"/>
      <c r="O525" s="2536"/>
      <c r="P525" s="2536"/>
      <c r="Q525" s="2536"/>
      <c r="R525" s="2536"/>
      <c r="S525" s="2536"/>
      <c r="T525" s="2536"/>
      <c r="U525" s="2536"/>
      <c r="V525" s="2536"/>
      <c r="W525" s="2536"/>
      <c r="X525" s="2536"/>
      <c r="Y525" s="2536"/>
      <c r="Z525" s="2536"/>
      <c r="AA525" s="2536"/>
      <c r="AB525" s="2536"/>
      <c r="AC525" s="2536"/>
      <c r="AD525" s="2536"/>
      <c r="AE525" s="2536"/>
      <c r="AF525" s="2536"/>
      <c r="AG525" s="659"/>
      <c r="AH525" s="659"/>
      <c r="AI525" s="659"/>
      <c r="AJ525" s="659"/>
      <c r="AK525" s="743"/>
      <c r="AN525" s="598"/>
      <c r="BM525" s="537"/>
      <c r="BN525" s="537"/>
      <c r="BO525" s="537"/>
      <c r="BP525" s="537"/>
      <c r="BQ525" s="537"/>
      <c r="BR525" s="537"/>
      <c r="BS525" s="537"/>
      <c r="BT525" s="537"/>
      <c r="BU525" s="537"/>
      <c r="BV525" s="537"/>
      <c r="BW525" s="537"/>
      <c r="BX525" s="537"/>
      <c r="BY525" s="537"/>
      <c r="BZ525" s="537"/>
      <c r="CA525" s="537"/>
      <c r="CB525" s="537"/>
      <c r="CC525" s="537"/>
    </row>
    <row r="526" spans="1:81" s="551" customFormat="1" ht="12.75" hidden="1" customHeight="1">
      <c r="A526" s="638"/>
      <c r="C526" s="552"/>
      <c r="E526" s="552"/>
      <c r="F526" s="772"/>
      <c r="G526" s="552"/>
      <c r="H526" s="552"/>
      <c r="I526" s="552"/>
      <c r="J526" s="552"/>
      <c r="K526" s="552"/>
      <c r="L526" s="552"/>
      <c r="M526" s="552"/>
      <c r="N526" s="552"/>
      <c r="O526" s="552"/>
      <c r="P526" s="552"/>
      <c r="Q526" s="552"/>
      <c r="R526" s="552"/>
      <c r="S526" s="552"/>
      <c r="T526" s="552"/>
      <c r="U526" s="552"/>
      <c r="V526" s="552"/>
      <c r="W526" s="552"/>
      <c r="X526" s="552"/>
      <c r="Y526" s="552"/>
      <c r="Z526" s="552"/>
      <c r="AA526" s="552"/>
      <c r="AB526" s="552"/>
      <c r="AC526" s="552"/>
      <c r="AD526" s="617"/>
      <c r="AE526" s="552"/>
      <c r="AF526" s="552"/>
      <c r="AG526" s="552"/>
      <c r="AH526" s="552"/>
      <c r="AN526" s="598"/>
      <c r="BM526" s="537"/>
      <c r="BN526" s="537"/>
      <c r="BO526" s="537"/>
      <c r="BP526" s="537"/>
      <c r="BQ526" s="537"/>
      <c r="BR526" s="537"/>
      <c r="BS526" s="537"/>
      <c r="BT526" s="537"/>
      <c r="BU526" s="537"/>
      <c r="BV526" s="537"/>
      <c r="BW526" s="537"/>
      <c r="BX526" s="537"/>
      <c r="BY526" s="537"/>
      <c r="BZ526" s="537"/>
      <c r="CA526" s="537"/>
      <c r="CB526" s="537"/>
      <c r="CC526" s="537"/>
    </row>
    <row r="527" spans="1:81" s="551" customFormat="1" ht="12.75" hidden="1" customHeight="1">
      <c r="A527" s="638"/>
      <c r="B527" s="551" t="s">
        <v>1552</v>
      </c>
      <c r="C527" s="552"/>
      <c r="E527" s="552"/>
      <c r="F527" s="552"/>
      <c r="G527" s="552"/>
      <c r="H527" s="552"/>
      <c r="I527" s="552"/>
      <c r="J527" s="552"/>
      <c r="K527" s="552"/>
      <c r="L527" s="552"/>
      <c r="M527" s="552"/>
      <c r="N527" s="552"/>
      <c r="O527" s="552"/>
      <c r="P527" s="552"/>
      <c r="Q527" s="552"/>
      <c r="R527" s="552"/>
      <c r="S527" s="552"/>
      <c r="T527" s="552"/>
      <c r="U527" s="552"/>
      <c r="V527" s="552"/>
      <c r="W527" s="552"/>
      <c r="X527" s="552"/>
      <c r="Y527" s="552"/>
      <c r="Z527" s="552"/>
      <c r="AA527" s="552"/>
      <c r="AB527" s="552"/>
      <c r="AC527" s="552"/>
      <c r="AD527" s="617"/>
      <c r="AE527" s="552"/>
      <c r="AF527" s="552"/>
      <c r="AG527" s="552"/>
      <c r="AH527" s="552"/>
      <c r="AN527" s="598"/>
      <c r="AP527" s="787"/>
      <c r="AQ527" s="787"/>
      <c r="AR527" s="787"/>
      <c r="AS527" s="787"/>
      <c r="AT527" s="787"/>
      <c r="AU527" s="787"/>
      <c r="AV527" s="787"/>
      <c r="AW527" s="787"/>
      <c r="AX527" s="787"/>
      <c r="AY527" s="787"/>
      <c r="BM527" s="537"/>
      <c r="BN527" s="537"/>
      <c r="BO527" s="537"/>
      <c r="BP527" s="537"/>
      <c r="BQ527" s="537"/>
      <c r="BR527" s="537"/>
      <c r="BS527" s="537"/>
      <c r="BT527" s="537"/>
      <c r="BU527" s="537"/>
      <c r="BV527" s="537"/>
      <c r="BW527" s="537"/>
      <c r="BX527" s="537"/>
      <c r="BY527" s="537"/>
      <c r="BZ527" s="537"/>
      <c r="CA527" s="537"/>
      <c r="CB527" s="537"/>
      <c r="CC527" s="537"/>
    </row>
    <row r="528" spans="1:81" s="551" customFormat="1" ht="12.75" hidden="1" customHeight="1">
      <c r="A528" s="638"/>
      <c r="B528" s="551" t="s">
        <v>1553</v>
      </c>
      <c r="C528" s="552"/>
      <c r="E528" s="552"/>
      <c r="F528" s="552"/>
      <c r="G528" s="552"/>
      <c r="H528" s="552"/>
      <c r="I528" s="552"/>
      <c r="J528" s="552"/>
      <c r="K528" s="552"/>
      <c r="L528" s="552"/>
      <c r="M528" s="552"/>
      <c r="N528" s="552"/>
      <c r="O528" s="552"/>
      <c r="P528" s="552"/>
      <c r="Q528" s="552"/>
      <c r="R528" s="552"/>
      <c r="S528" s="552"/>
      <c r="T528" s="552"/>
      <c r="U528" s="552"/>
      <c r="V528" s="552"/>
      <c r="W528" s="552"/>
      <c r="X528" s="552"/>
      <c r="Y528" s="552"/>
      <c r="Z528" s="552"/>
      <c r="AA528" s="552"/>
      <c r="AB528" s="552"/>
      <c r="AC528" s="552"/>
      <c r="AD528" s="617"/>
      <c r="AE528" s="552"/>
      <c r="AF528" s="552"/>
      <c r="AG528" s="552"/>
      <c r="AH528" s="552"/>
      <c r="AN528" s="598"/>
      <c r="AP528" s="804"/>
      <c r="AQ528" s="804"/>
      <c r="AR528" s="804"/>
      <c r="AS528" s="804"/>
      <c r="AT528" s="804"/>
      <c r="AU528" s="804"/>
      <c r="AV528" s="804"/>
      <c r="AW528" s="804"/>
      <c r="AX528" s="804"/>
      <c r="AY528" s="804"/>
      <c r="BM528" s="537"/>
      <c r="BN528" s="537"/>
      <c r="BO528" s="537"/>
      <c r="BP528" s="537"/>
      <c r="BQ528" s="537"/>
      <c r="BR528" s="537"/>
      <c r="BS528" s="537"/>
      <c r="BT528" s="537"/>
      <c r="BU528" s="537"/>
      <c r="BV528" s="537"/>
      <c r="BW528" s="537"/>
      <c r="BX528" s="537"/>
      <c r="BY528" s="537"/>
      <c r="BZ528" s="537"/>
      <c r="CA528" s="537"/>
      <c r="CB528" s="537"/>
      <c r="CC528" s="537"/>
    </row>
    <row r="529" spans="1:81" s="551" customFormat="1" ht="12.75" hidden="1" customHeight="1">
      <c r="A529" s="638"/>
      <c r="B529" s="551" t="s">
        <v>2030</v>
      </c>
      <c r="C529" s="552"/>
      <c r="E529" s="552"/>
      <c r="F529" s="552"/>
      <c r="G529" s="552"/>
      <c r="H529" s="552"/>
      <c r="I529" s="552"/>
      <c r="J529" s="552"/>
      <c r="K529" s="552"/>
      <c r="L529" s="552"/>
      <c r="M529" s="552"/>
      <c r="N529" s="552"/>
      <c r="O529" s="552"/>
      <c r="P529" s="552"/>
      <c r="Q529" s="552"/>
      <c r="R529" s="552"/>
      <c r="S529" s="552"/>
      <c r="T529" s="552"/>
      <c r="U529" s="552"/>
      <c r="V529" s="552"/>
      <c r="W529" s="552"/>
      <c r="X529" s="552"/>
      <c r="Y529" s="552"/>
      <c r="Z529" s="552"/>
      <c r="AA529" s="552"/>
      <c r="AB529" s="552"/>
      <c r="AC529" s="552"/>
      <c r="AD529" s="617"/>
      <c r="AE529" s="552"/>
      <c r="AF529" s="552"/>
      <c r="AG529" s="552"/>
      <c r="AH529" s="552"/>
      <c r="AN529" s="598"/>
      <c r="AP529" s="804"/>
      <c r="AQ529" s="804"/>
      <c r="AR529" s="804"/>
      <c r="AS529" s="804"/>
      <c r="AT529" s="804"/>
      <c r="AU529" s="804"/>
      <c r="AV529" s="804"/>
      <c r="AW529" s="804"/>
      <c r="AX529" s="804"/>
      <c r="AY529" s="804"/>
      <c r="BM529" s="537"/>
      <c r="BN529" s="537"/>
      <c r="BO529" s="537"/>
      <c r="BP529" s="537"/>
      <c r="BQ529" s="537"/>
      <c r="BR529" s="537"/>
      <c r="BS529" s="537"/>
      <c r="BT529" s="537"/>
      <c r="BU529" s="537"/>
      <c r="BV529" s="537"/>
      <c r="BW529" s="537"/>
      <c r="BX529" s="537"/>
      <c r="BY529" s="537"/>
      <c r="BZ529" s="537"/>
      <c r="CA529" s="537"/>
      <c r="CB529" s="537"/>
      <c r="CC529" s="537"/>
    </row>
    <row r="530" spans="1:81" s="551" customFormat="1" ht="12.75" hidden="1" customHeight="1">
      <c r="A530" s="638"/>
      <c r="B530" s="551" t="s">
        <v>1554</v>
      </c>
      <c r="C530" s="552"/>
      <c r="E530" s="552"/>
      <c r="F530" s="552"/>
      <c r="G530" s="552"/>
      <c r="H530" s="552"/>
      <c r="I530" s="552"/>
      <c r="J530" s="552"/>
      <c r="K530" s="552"/>
      <c r="L530" s="552"/>
      <c r="M530" s="552"/>
      <c r="N530" s="552"/>
      <c r="O530" s="552"/>
      <c r="P530" s="552"/>
      <c r="Q530" s="552"/>
      <c r="R530" s="552"/>
      <c r="S530" s="552"/>
      <c r="T530" s="552"/>
      <c r="U530" s="552"/>
      <c r="V530" s="552"/>
      <c r="W530" s="552"/>
      <c r="X530" s="552"/>
      <c r="Y530" s="552"/>
      <c r="Z530" s="552"/>
      <c r="AA530" s="552"/>
      <c r="AB530" s="552"/>
      <c r="AC530" s="552"/>
      <c r="AD530" s="617"/>
      <c r="AE530" s="552"/>
      <c r="AF530" s="552"/>
      <c r="AG530" s="552"/>
      <c r="AH530" s="552"/>
      <c r="AN530" s="598"/>
      <c r="AP530" s="804"/>
      <c r="AQ530" s="804"/>
      <c r="AR530" s="804"/>
      <c r="AS530" s="804"/>
      <c r="AT530" s="804"/>
      <c r="AU530" s="804"/>
      <c r="AV530" s="804"/>
      <c r="AW530" s="804"/>
      <c r="AX530" s="804"/>
      <c r="AY530" s="804"/>
      <c r="BM530" s="537"/>
      <c r="BN530" s="537"/>
      <c r="BO530" s="537"/>
      <c r="BP530" s="537"/>
      <c r="BQ530" s="537"/>
      <c r="BR530" s="537"/>
      <c r="BS530" s="537"/>
      <c r="BT530" s="537"/>
      <c r="BU530" s="537"/>
      <c r="BV530" s="537"/>
      <c r="BW530" s="537"/>
      <c r="BX530" s="537"/>
      <c r="BY530" s="537"/>
      <c r="BZ530" s="537"/>
      <c r="CA530" s="537"/>
      <c r="CB530" s="537"/>
      <c r="CC530" s="537"/>
    </row>
    <row r="531" spans="1:81" s="551" customFormat="1" ht="12.75" hidden="1" customHeight="1">
      <c r="A531" s="638"/>
      <c r="B531" s="551" t="s">
        <v>2031</v>
      </c>
      <c r="C531" s="552"/>
      <c r="E531" s="552"/>
      <c r="F531" s="552"/>
      <c r="G531" s="552"/>
      <c r="H531" s="552"/>
      <c r="I531" s="552"/>
      <c r="J531" s="552"/>
      <c r="K531" s="552"/>
      <c r="L531" s="552"/>
      <c r="M531" s="552"/>
      <c r="N531" s="552"/>
      <c r="O531" s="552"/>
      <c r="P531" s="552"/>
      <c r="Q531" s="552"/>
      <c r="R531" s="552"/>
      <c r="S531" s="552"/>
      <c r="T531" s="552"/>
      <c r="U531" s="552"/>
      <c r="V531" s="552"/>
      <c r="W531" s="552"/>
      <c r="X531" s="552"/>
      <c r="Y531" s="552"/>
      <c r="Z531" s="552"/>
      <c r="AA531" s="552"/>
      <c r="AB531" s="552"/>
      <c r="AC531" s="552"/>
      <c r="AD531" s="617"/>
      <c r="AE531" s="552"/>
      <c r="AF531" s="552"/>
      <c r="AG531" s="552"/>
      <c r="AH531" s="552"/>
      <c r="AN531" s="598"/>
      <c r="AP531" s="804"/>
      <c r="AQ531" s="804"/>
      <c r="AR531" s="804"/>
      <c r="AS531" s="804"/>
      <c r="AT531" s="804"/>
      <c r="AU531" s="804"/>
      <c r="AV531" s="804"/>
      <c r="AW531" s="804"/>
      <c r="AX531" s="804"/>
      <c r="AY531" s="804"/>
      <c r="BM531" s="537"/>
      <c r="BN531" s="537"/>
      <c r="BO531" s="537"/>
      <c r="BP531" s="537"/>
      <c r="BQ531" s="537"/>
      <c r="BR531" s="537"/>
      <c r="BS531" s="537"/>
      <c r="BT531" s="537"/>
      <c r="BU531" s="537"/>
      <c r="BV531" s="537"/>
      <c r="BW531" s="537"/>
      <c r="BX531" s="537"/>
      <c r="BY531" s="537"/>
      <c r="BZ531" s="537"/>
      <c r="CA531" s="537"/>
      <c r="CB531" s="537"/>
      <c r="CC531" s="537"/>
    </row>
    <row r="532" spans="1:81" s="551" customFormat="1" ht="12.75" hidden="1" customHeight="1">
      <c r="A532" s="638"/>
      <c r="B532" s="551" t="s">
        <v>1555</v>
      </c>
      <c r="C532" s="552"/>
      <c r="E532" s="552"/>
      <c r="F532" s="552"/>
      <c r="G532" s="552"/>
      <c r="H532" s="552"/>
      <c r="I532" s="552"/>
      <c r="J532" s="552"/>
      <c r="K532" s="552"/>
      <c r="L532" s="552"/>
      <c r="M532" s="552"/>
      <c r="N532" s="552"/>
      <c r="O532" s="552"/>
      <c r="P532" s="552"/>
      <c r="Q532" s="552"/>
      <c r="R532" s="552"/>
      <c r="S532" s="552"/>
      <c r="T532" s="552"/>
      <c r="U532" s="552"/>
      <c r="V532" s="552"/>
      <c r="W532" s="552"/>
      <c r="X532" s="552"/>
      <c r="Y532" s="552"/>
      <c r="Z532" s="552"/>
      <c r="AA532" s="552"/>
      <c r="AB532" s="552"/>
      <c r="AC532" s="552"/>
      <c r="AD532" s="617"/>
      <c r="AE532" s="552"/>
      <c r="AF532" s="552"/>
      <c r="AG532" s="552"/>
      <c r="AH532" s="552"/>
      <c r="AN532" s="598"/>
      <c r="AP532" s="804"/>
      <c r="AQ532" s="804"/>
      <c r="AR532" s="804"/>
      <c r="AS532" s="804"/>
      <c r="AT532" s="804"/>
      <c r="AU532" s="804"/>
      <c r="AV532" s="804"/>
      <c r="AW532" s="804"/>
      <c r="AX532" s="804"/>
      <c r="AY532" s="804"/>
      <c r="BM532" s="537"/>
      <c r="BN532" s="537"/>
      <c r="BO532" s="537"/>
      <c r="BP532" s="537"/>
      <c r="BQ532" s="537"/>
      <c r="BR532" s="537"/>
      <c r="BS532" s="537"/>
      <c r="BT532" s="537"/>
      <c r="BU532" s="537"/>
      <c r="BV532" s="537"/>
      <c r="BW532" s="537"/>
      <c r="BX532" s="537"/>
      <c r="BY532" s="537"/>
      <c r="BZ532" s="537"/>
      <c r="CA532" s="537"/>
      <c r="CB532" s="537"/>
      <c r="CC532" s="537"/>
    </row>
    <row r="533" spans="1:81" s="551" customFormat="1" ht="12.75" hidden="1" customHeight="1">
      <c r="A533" s="638"/>
      <c r="B533" s="551" t="s">
        <v>1556</v>
      </c>
      <c r="C533" s="552"/>
      <c r="E533" s="552"/>
      <c r="F533" s="552"/>
      <c r="G533" s="552"/>
      <c r="H533" s="552"/>
      <c r="I533" s="552"/>
      <c r="J533" s="552"/>
      <c r="K533" s="552"/>
      <c r="L533" s="552"/>
      <c r="M533" s="552"/>
      <c r="N533" s="552"/>
      <c r="O533" s="552"/>
      <c r="P533" s="552"/>
      <c r="Q533" s="552"/>
      <c r="R533" s="552"/>
      <c r="S533" s="552"/>
      <c r="T533" s="552"/>
      <c r="U533" s="552"/>
      <c r="V533" s="552"/>
      <c r="W533" s="552"/>
      <c r="X533" s="552"/>
      <c r="Y533" s="552"/>
      <c r="Z533" s="552"/>
      <c r="AA533" s="552"/>
      <c r="AB533" s="552"/>
      <c r="AC533" s="552"/>
      <c r="AD533" s="617"/>
      <c r="AE533" s="552"/>
      <c r="AF533" s="552"/>
      <c r="AG533" s="552"/>
      <c r="AH533" s="552"/>
      <c r="AN533" s="598"/>
    </row>
    <row r="534" spans="1:81" s="551" customFormat="1" ht="12.75" hidden="1" customHeight="1">
      <c r="A534" s="805"/>
      <c r="C534" s="552"/>
      <c r="E534" s="552"/>
      <c r="F534" s="552"/>
      <c r="G534" s="552"/>
      <c r="H534" s="552"/>
      <c r="I534" s="552"/>
      <c r="J534" s="552"/>
      <c r="K534" s="552"/>
      <c r="L534" s="552"/>
      <c r="M534" s="552"/>
      <c r="N534" s="552"/>
      <c r="O534" s="552"/>
      <c r="P534" s="552"/>
      <c r="Q534" s="552"/>
      <c r="R534" s="552"/>
      <c r="S534" s="552"/>
      <c r="T534" s="552"/>
      <c r="U534" s="552"/>
      <c r="V534" s="552"/>
      <c r="W534" s="552"/>
      <c r="X534" s="552"/>
      <c r="Y534" s="552"/>
      <c r="Z534" s="552"/>
      <c r="AA534" s="552"/>
      <c r="AB534" s="552"/>
      <c r="AC534" s="552"/>
      <c r="AD534" s="617"/>
      <c r="AE534" s="552"/>
      <c r="AF534" s="552"/>
      <c r="AG534" s="552"/>
      <c r="AH534" s="552"/>
      <c r="AN534" s="598"/>
    </row>
    <row r="535" spans="1:81" s="551" customFormat="1" ht="12.75" hidden="1" customHeight="1">
      <c r="A535" s="607"/>
      <c r="B535" s="665"/>
      <c r="C535" s="665"/>
      <c r="D535" s="665"/>
      <c r="E535" s="665"/>
      <c r="F535" s="665"/>
      <c r="G535" s="665"/>
      <c r="H535" s="665"/>
      <c r="I535" s="665"/>
      <c r="J535" s="665"/>
      <c r="K535" s="665"/>
      <c r="L535" s="665"/>
      <c r="M535" s="665"/>
      <c r="N535" s="665"/>
      <c r="O535" s="665"/>
      <c r="P535" s="665"/>
      <c r="Q535" s="665"/>
      <c r="R535" s="665"/>
      <c r="S535" s="665"/>
      <c r="T535" s="665"/>
      <c r="U535" s="665"/>
      <c r="V535" s="665"/>
      <c r="W535" s="665"/>
      <c r="X535" s="665"/>
      <c r="Y535" s="665"/>
      <c r="Z535" s="665"/>
      <c r="AA535" s="665"/>
      <c r="AB535" s="665"/>
      <c r="AC535" s="666"/>
      <c r="AD535" s="665"/>
      <c r="AE535" s="665"/>
      <c r="AF535" s="665"/>
      <c r="AG535" s="665"/>
      <c r="AH535" s="565"/>
      <c r="AI535" s="566"/>
      <c r="AJ535" s="566" t="s">
        <v>1557</v>
      </c>
      <c r="AK535" s="2437">
        <f>SUM(AG479:AG524)</f>
        <v>0</v>
      </c>
      <c r="AL535" s="2438"/>
      <c r="AM535" s="2439"/>
      <c r="AN535" s="598"/>
      <c r="AP535" s="537"/>
      <c r="AQ535" s="537"/>
      <c r="AR535" s="537"/>
      <c r="AS535" s="537"/>
      <c r="AT535" s="537"/>
      <c r="AU535" s="537"/>
      <c r="AV535" s="537"/>
      <c r="AW535" s="537"/>
      <c r="AX535" s="537"/>
      <c r="AY535" s="537"/>
      <c r="AZ535" s="537"/>
    </row>
    <row r="536" spans="1:81" s="551" customFormat="1" ht="12.75" hidden="1" customHeight="1">
      <c r="B536" s="552"/>
      <c r="C536" s="552"/>
      <c r="D536" s="552"/>
      <c r="E536" s="552"/>
      <c r="F536" s="552"/>
      <c r="G536" s="552"/>
      <c r="H536" s="552"/>
      <c r="I536" s="552"/>
      <c r="J536" s="552"/>
      <c r="K536" s="552"/>
      <c r="L536" s="552"/>
      <c r="M536" s="552"/>
      <c r="N536" s="552"/>
      <c r="O536" s="552"/>
      <c r="P536" s="552"/>
      <c r="Q536" s="552"/>
      <c r="R536" s="552"/>
      <c r="S536" s="552"/>
      <c r="T536" s="552"/>
      <c r="U536" s="552"/>
      <c r="V536" s="552"/>
      <c r="W536" s="552"/>
      <c r="X536" s="552"/>
      <c r="Y536" s="552"/>
      <c r="Z536" s="552"/>
      <c r="AA536" s="552"/>
      <c r="AB536" s="552"/>
      <c r="AC536" s="617"/>
      <c r="AD536" s="552"/>
      <c r="AE536" s="552"/>
      <c r="AF536" s="552"/>
      <c r="AG536" s="552"/>
      <c r="AI536" s="544"/>
      <c r="AJ536" s="544"/>
      <c r="AK536" s="596"/>
      <c r="AL536" s="596"/>
      <c r="AM536" s="596"/>
      <c r="AN536" s="598"/>
      <c r="AP536" s="537"/>
      <c r="AQ536" s="537"/>
      <c r="AR536" s="537"/>
      <c r="AS536" s="537"/>
      <c r="AT536" s="537"/>
      <c r="AU536" s="537"/>
      <c r="AV536" s="537"/>
      <c r="AW536" s="537"/>
      <c r="AX536" s="537"/>
      <c r="AY536" s="537"/>
      <c r="AZ536" s="537"/>
    </row>
    <row r="537" spans="1:81" ht="13.5" thickTop="1"/>
    <row r="538" spans="1:81" s="551" customFormat="1" ht="12.75" customHeight="1">
      <c r="A538" s="540" t="s">
        <v>1558</v>
      </c>
      <c r="B538" s="540" t="s">
        <v>1559</v>
      </c>
      <c r="C538" s="552"/>
      <c r="D538" s="552"/>
      <c r="E538" s="552"/>
      <c r="F538" s="552"/>
      <c r="G538" s="552"/>
      <c r="H538" s="552"/>
      <c r="I538" s="552"/>
      <c r="J538" s="552"/>
      <c r="K538" s="552"/>
      <c r="L538" s="552"/>
      <c r="M538" s="552"/>
      <c r="N538" s="552"/>
      <c r="O538" s="552"/>
      <c r="P538" s="552"/>
      <c r="Q538" s="552"/>
      <c r="R538" s="552"/>
      <c r="S538" s="552"/>
      <c r="T538" s="552"/>
      <c r="U538" s="552"/>
      <c r="V538" s="552"/>
      <c r="W538" s="552"/>
      <c r="X538" s="552"/>
      <c r="Y538" s="552"/>
      <c r="Z538" s="552"/>
      <c r="AA538" s="552"/>
      <c r="AB538" s="552"/>
      <c r="AC538" s="617"/>
      <c r="AD538" s="552"/>
      <c r="AE538" s="2470" t="s">
        <v>1560</v>
      </c>
      <c r="AF538" s="2470"/>
      <c r="AG538" s="2470"/>
      <c r="AH538" s="2470"/>
      <c r="AI538" s="2470"/>
      <c r="AJ538" s="2470"/>
      <c r="AK538" s="2470"/>
      <c r="AL538" s="596"/>
      <c r="AM538" s="596"/>
      <c r="AN538" s="598"/>
    </row>
    <row r="539" spans="1:81" s="551" customFormat="1" ht="12.75" customHeight="1">
      <c r="A539" s="540"/>
      <c r="B539" s="540" t="s">
        <v>1324</v>
      </c>
      <c r="C539" s="552"/>
      <c r="D539" s="552"/>
      <c r="E539" s="552"/>
      <c r="F539" s="552"/>
      <c r="G539" s="552"/>
      <c r="H539" s="552"/>
      <c r="I539" s="552"/>
      <c r="J539" s="552"/>
      <c r="K539" s="552"/>
      <c r="L539" s="552"/>
      <c r="M539" s="552"/>
      <c r="N539" s="552"/>
      <c r="O539" s="552"/>
      <c r="P539" s="552"/>
      <c r="Q539" s="552"/>
      <c r="R539" s="552"/>
      <c r="S539" s="552"/>
      <c r="T539" s="552"/>
      <c r="U539" s="552"/>
      <c r="V539" s="552"/>
      <c r="W539" s="552"/>
      <c r="X539" s="552"/>
      <c r="Y539" s="552"/>
      <c r="Z539" s="552"/>
      <c r="AA539" s="552"/>
      <c r="AB539" s="552"/>
      <c r="AC539" s="617"/>
      <c r="AD539" s="552"/>
      <c r="AE539" s="544"/>
      <c r="AF539" s="544"/>
      <c r="AG539" s="544"/>
      <c r="AH539" s="544"/>
      <c r="AI539" s="544"/>
      <c r="AJ539" s="544"/>
      <c r="AK539" s="544"/>
      <c r="AL539" s="596"/>
      <c r="AM539" s="596"/>
      <c r="AN539" s="598"/>
    </row>
    <row r="540" spans="1:81" s="551" customFormat="1" ht="12.75" customHeight="1">
      <c r="A540" s="540"/>
      <c r="B540" s="540"/>
      <c r="C540" s="552"/>
      <c r="D540" s="552"/>
      <c r="E540" s="552"/>
      <c r="F540" s="552"/>
      <c r="G540" s="552"/>
      <c r="H540" s="552"/>
      <c r="I540" s="552"/>
      <c r="J540" s="552"/>
      <c r="K540" s="552"/>
      <c r="L540" s="552"/>
      <c r="M540" s="552"/>
      <c r="N540" s="552"/>
      <c r="O540" s="552"/>
      <c r="P540" s="552"/>
      <c r="Q540" s="552"/>
      <c r="R540" s="552"/>
      <c r="S540" s="552"/>
      <c r="T540" s="552"/>
      <c r="U540" s="552"/>
      <c r="V540" s="552"/>
      <c r="W540" s="552"/>
      <c r="X540" s="552"/>
      <c r="Y540" s="552"/>
      <c r="Z540" s="552"/>
      <c r="AA540" s="552"/>
      <c r="AB540" s="552"/>
      <c r="AC540" s="617"/>
      <c r="AD540" s="552"/>
      <c r="AE540" s="544"/>
      <c r="AF540" s="544"/>
      <c r="AG540" s="544"/>
      <c r="AH540" s="544"/>
      <c r="AI540" s="544"/>
      <c r="AJ540" s="544"/>
      <c r="AK540" s="544"/>
      <c r="AL540" s="596"/>
      <c r="AM540" s="596"/>
      <c r="AN540" s="598"/>
    </row>
    <row r="541" spans="1:81" s="551" customFormat="1" ht="12.75" customHeight="1">
      <c r="A541" s="540"/>
      <c r="B541" s="540"/>
      <c r="C541" s="2451" t="s">
        <v>545</v>
      </c>
      <c r="D541" s="2451"/>
      <c r="E541" s="552"/>
      <c r="F541" s="2473" t="s">
        <v>1561</v>
      </c>
      <c r="G541" s="2474"/>
      <c r="H541" s="2474"/>
      <c r="I541" s="2474"/>
      <c r="J541" s="2474"/>
      <c r="K541" s="2474"/>
      <c r="L541" s="2474"/>
      <c r="M541" s="2474"/>
      <c r="N541" s="2474"/>
      <c r="O541" s="2474"/>
      <c r="P541" s="2474"/>
      <c r="Q541" s="2474"/>
      <c r="R541" s="2474"/>
      <c r="S541" s="2474"/>
      <c r="T541" s="2474"/>
      <c r="U541" s="2474"/>
      <c r="V541" s="2474"/>
      <c r="W541" s="2474"/>
      <c r="X541" s="2474"/>
      <c r="Y541" s="2474"/>
      <c r="Z541" s="2474"/>
      <c r="AA541" s="2474"/>
      <c r="AB541" s="2474"/>
      <c r="AC541" s="2474"/>
      <c r="AD541" s="2474"/>
      <c r="AE541" s="2474"/>
      <c r="AF541" s="2474"/>
      <c r="AG541" s="2474"/>
      <c r="AH541" s="2474"/>
      <c r="AI541" s="2474"/>
      <c r="AJ541" s="2474"/>
      <c r="AK541" s="2474"/>
      <c r="AL541" s="2475"/>
      <c r="AM541" s="596"/>
      <c r="AN541" s="598"/>
    </row>
    <row r="542" spans="1:81" s="551" customFormat="1" ht="12.75" customHeight="1">
      <c r="A542" s="540"/>
      <c r="B542" s="540"/>
      <c r="C542" s="552"/>
      <c r="D542" s="552"/>
      <c r="E542" s="552"/>
      <c r="F542" s="2476"/>
      <c r="G542" s="2477"/>
      <c r="H542" s="2477"/>
      <c r="I542" s="2477"/>
      <c r="J542" s="2477"/>
      <c r="K542" s="2477"/>
      <c r="L542" s="2477"/>
      <c r="M542" s="2477"/>
      <c r="N542" s="2477"/>
      <c r="O542" s="2477"/>
      <c r="P542" s="2477"/>
      <c r="Q542" s="2477"/>
      <c r="R542" s="2477"/>
      <c r="S542" s="2477"/>
      <c r="T542" s="2477"/>
      <c r="U542" s="2477"/>
      <c r="V542" s="2477"/>
      <c r="W542" s="2477"/>
      <c r="X542" s="2477"/>
      <c r="Y542" s="2477"/>
      <c r="Z542" s="2477"/>
      <c r="AA542" s="2477"/>
      <c r="AB542" s="2477"/>
      <c r="AC542" s="2477"/>
      <c r="AD542" s="2477"/>
      <c r="AE542" s="2477"/>
      <c r="AF542" s="2477"/>
      <c r="AG542" s="2477"/>
      <c r="AH542" s="2477"/>
      <c r="AI542" s="2477"/>
      <c r="AJ542" s="2477"/>
      <c r="AK542" s="2477"/>
      <c r="AL542" s="2478"/>
      <c r="AM542" s="596"/>
      <c r="AN542" s="598"/>
    </row>
    <row r="543" spans="1:81" s="551" customFormat="1" ht="12.75" customHeight="1">
      <c r="A543" s="540"/>
      <c r="B543" s="540"/>
      <c r="C543" s="552"/>
      <c r="D543" s="552"/>
      <c r="E543" s="552"/>
      <c r="F543" s="806"/>
      <c r="G543" s="806"/>
      <c r="H543" s="806"/>
      <c r="I543" s="806"/>
      <c r="J543" s="806"/>
      <c r="K543" s="806"/>
      <c r="L543" s="806"/>
      <c r="M543" s="806"/>
      <c r="N543" s="806"/>
      <c r="O543" s="806"/>
      <c r="P543" s="806"/>
      <c r="Q543" s="806"/>
      <c r="R543" s="806"/>
      <c r="S543" s="806"/>
      <c r="T543" s="806"/>
      <c r="U543" s="806"/>
      <c r="V543" s="806"/>
      <c r="W543" s="806"/>
      <c r="X543" s="806"/>
      <c r="Y543" s="806"/>
      <c r="Z543" s="806"/>
      <c r="AA543" s="806"/>
      <c r="AB543" s="806"/>
      <c r="AC543" s="806"/>
      <c r="AD543" s="806"/>
      <c r="AE543" s="806"/>
      <c r="AF543" s="806"/>
      <c r="AG543" s="806"/>
      <c r="AH543" s="806"/>
      <c r="AI543" s="806"/>
      <c r="AJ543" s="806"/>
      <c r="AK543" s="806"/>
      <c r="AL543" s="806"/>
      <c r="AM543" s="596"/>
      <c r="AN543" s="598"/>
    </row>
    <row r="544" spans="1:81" s="551" customFormat="1" ht="12.75" customHeight="1">
      <c r="A544" s="540"/>
      <c r="B544" s="807"/>
      <c r="C544" s="2451" t="s">
        <v>591</v>
      </c>
      <c r="D544" s="2451"/>
      <c r="E544" s="807"/>
      <c r="F544" s="645" t="s">
        <v>1562</v>
      </c>
      <c r="G544" s="808"/>
      <c r="H544" s="809"/>
      <c r="I544" s="809"/>
      <c r="J544" s="809"/>
      <c r="K544" s="809"/>
      <c r="L544" s="809"/>
      <c r="M544" s="809"/>
      <c r="N544" s="809"/>
      <c r="O544" s="809"/>
      <c r="P544" s="809"/>
      <c r="Q544" s="809"/>
      <c r="R544" s="809"/>
      <c r="S544" s="809"/>
      <c r="T544" s="809"/>
      <c r="U544" s="809"/>
      <c r="V544" s="809"/>
      <c r="W544" s="809"/>
      <c r="X544" s="809"/>
      <c r="Y544" s="809"/>
      <c r="Z544" s="809"/>
      <c r="AA544" s="809"/>
      <c r="AB544" s="809"/>
      <c r="AC544" s="809"/>
      <c r="AD544" s="809"/>
      <c r="AE544" s="809"/>
      <c r="AF544" s="809"/>
      <c r="AG544" s="809"/>
      <c r="AH544" s="809"/>
      <c r="AI544" s="809"/>
      <c r="AJ544" s="809"/>
      <c r="AK544" s="810"/>
      <c r="AL544" s="811"/>
      <c r="AM544" s="596"/>
      <c r="AN544" s="598"/>
    </row>
    <row r="545" spans="1:49" s="551" customFormat="1" ht="12.75" customHeight="1">
      <c r="B545" s="807"/>
      <c r="C545" s="807"/>
      <c r="D545" s="807"/>
      <c r="E545" s="807"/>
      <c r="F545" s="2429" t="s">
        <v>1563</v>
      </c>
      <c r="G545" s="2430"/>
      <c r="H545" s="2430"/>
      <c r="I545" s="2430"/>
      <c r="J545" s="2430"/>
      <c r="K545" s="2430"/>
      <c r="L545" s="2430"/>
      <c r="M545" s="2430"/>
      <c r="N545" s="2430"/>
      <c r="O545" s="2430"/>
      <c r="P545" s="2430"/>
      <c r="Q545" s="2430"/>
      <c r="R545" s="2430"/>
      <c r="S545" s="2430"/>
      <c r="T545" s="2430"/>
      <c r="U545" s="2430"/>
      <c r="V545" s="2430"/>
      <c r="W545" s="2430"/>
      <c r="X545" s="2430"/>
      <c r="Y545" s="2430"/>
      <c r="Z545" s="2430"/>
      <c r="AA545" s="2430"/>
      <c r="AB545" s="2430"/>
      <c r="AC545" s="2430"/>
      <c r="AD545" s="2430"/>
      <c r="AE545" s="2430"/>
      <c r="AF545" s="2430"/>
      <c r="AG545" s="2430"/>
      <c r="AH545" s="2430"/>
      <c r="AI545" s="2430"/>
      <c r="AJ545" s="2430"/>
      <c r="AK545" s="2430"/>
      <c r="AL545" s="2431"/>
      <c r="AM545" s="596"/>
      <c r="AN545" s="598"/>
      <c r="AS545" s="871"/>
      <c r="AT545" s="871"/>
      <c r="AU545" s="871"/>
      <c r="AV545" s="871"/>
      <c r="AW545" s="871"/>
    </row>
    <row r="546" spans="1:49" s="551" customFormat="1" ht="12.75" customHeight="1">
      <c r="B546" s="807"/>
      <c r="C546" s="807"/>
      <c r="D546" s="807"/>
      <c r="E546" s="807"/>
      <c r="F546" s="2429"/>
      <c r="G546" s="2430"/>
      <c r="H546" s="2430"/>
      <c r="I546" s="2430"/>
      <c r="J546" s="2430"/>
      <c r="K546" s="2430"/>
      <c r="L546" s="2430"/>
      <c r="M546" s="2430"/>
      <c r="N546" s="2430"/>
      <c r="O546" s="2430"/>
      <c r="P546" s="2430"/>
      <c r="Q546" s="2430"/>
      <c r="R546" s="2430"/>
      <c r="S546" s="2430"/>
      <c r="T546" s="2430"/>
      <c r="U546" s="2430"/>
      <c r="V546" s="2430"/>
      <c r="W546" s="2430"/>
      <c r="X546" s="2430"/>
      <c r="Y546" s="2430"/>
      <c r="Z546" s="2430"/>
      <c r="AA546" s="2430"/>
      <c r="AB546" s="2430"/>
      <c r="AC546" s="2430"/>
      <c r="AD546" s="2430"/>
      <c r="AE546" s="2430"/>
      <c r="AF546" s="2430"/>
      <c r="AG546" s="2430"/>
      <c r="AH546" s="2430"/>
      <c r="AI546" s="2430"/>
      <c r="AJ546" s="2430"/>
      <c r="AK546" s="2430"/>
      <c r="AL546" s="2431"/>
      <c r="AM546" s="596"/>
      <c r="AN546" s="598"/>
    </row>
    <row r="547" spans="1:49" s="551" customFormat="1" ht="12.75" customHeight="1">
      <c r="B547" s="807"/>
      <c r="C547" s="807"/>
      <c r="D547" s="807"/>
      <c r="E547" s="807"/>
      <c r="F547" s="812" t="s">
        <v>2032</v>
      </c>
      <c r="G547" s="617"/>
      <c r="H547" s="617"/>
      <c r="I547" s="617"/>
      <c r="J547" s="617"/>
      <c r="K547" s="617"/>
      <c r="L547" s="617"/>
      <c r="M547" s="617"/>
      <c r="N547" s="617"/>
      <c r="O547" s="617"/>
      <c r="P547" s="617"/>
      <c r="Q547" s="617"/>
      <c r="R547" s="617"/>
      <c r="S547" s="617"/>
      <c r="T547" s="617"/>
      <c r="U547" s="617"/>
      <c r="V547" s="617"/>
      <c r="W547" s="617"/>
      <c r="X547" s="617"/>
      <c r="Y547" s="617"/>
      <c r="Z547" s="617"/>
      <c r="AA547" s="617"/>
      <c r="AB547" s="617"/>
      <c r="AC547" s="617"/>
      <c r="AD547" s="617"/>
      <c r="AE547" s="617"/>
      <c r="AF547" s="617"/>
      <c r="AG547" s="617"/>
      <c r="AH547" s="617"/>
      <c r="AI547" s="617"/>
      <c r="AJ547" s="617"/>
      <c r="AK547" s="617"/>
      <c r="AL547" s="813"/>
      <c r="AM547" s="596"/>
      <c r="AN547" s="598"/>
    </row>
    <row r="548" spans="1:49" s="551" customFormat="1" ht="12.75" customHeight="1">
      <c r="B548" s="807"/>
      <c r="C548" s="807"/>
      <c r="D548" s="807"/>
      <c r="E548" s="807"/>
      <c r="F548" s="2429" t="s">
        <v>1564</v>
      </c>
      <c r="G548" s="2430"/>
      <c r="H548" s="2430"/>
      <c r="I548" s="2430"/>
      <c r="J548" s="2430"/>
      <c r="K548" s="2430"/>
      <c r="L548" s="2430"/>
      <c r="M548" s="2430"/>
      <c r="N548" s="2430"/>
      <c r="O548" s="2430"/>
      <c r="P548" s="2430"/>
      <c r="Q548" s="2430"/>
      <c r="R548" s="2430"/>
      <c r="S548" s="2430"/>
      <c r="T548" s="2430"/>
      <c r="U548" s="2430"/>
      <c r="V548" s="2430"/>
      <c r="W548" s="2430"/>
      <c r="X548" s="2430"/>
      <c r="Y548" s="2430"/>
      <c r="Z548" s="2430"/>
      <c r="AA548" s="2430"/>
      <c r="AB548" s="2430"/>
      <c r="AC548" s="2430"/>
      <c r="AD548" s="2430"/>
      <c r="AE548" s="2430"/>
      <c r="AF548" s="2430"/>
      <c r="AG548" s="2430"/>
      <c r="AH548" s="2430"/>
      <c r="AI548" s="2430"/>
      <c r="AJ548" s="2430"/>
      <c r="AK548" s="2430"/>
      <c r="AL548" s="814"/>
      <c r="AM548" s="596"/>
      <c r="AN548" s="598"/>
    </row>
    <row r="549" spans="1:49" s="551" customFormat="1" ht="12.75" customHeight="1">
      <c r="B549" s="807"/>
      <c r="C549" s="807"/>
      <c r="D549" s="807"/>
      <c r="E549" s="807"/>
      <c r="F549" s="2432"/>
      <c r="G549" s="2433"/>
      <c r="H549" s="2433"/>
      <c r="I549" s="2433"/>
      <c r="J549" s="2433"/>
      <c r="K549" s="2433"/>
      <c r="L549" s="2433"/>
      <c r="M549" s="2433"/>
      <c r="N549" s="2433"/>
      <c r="O549" s="2433"/>
      <c r="P549" s="2433"/>
      <c r="Q549" s="2433"/>
      <c r="R549" s="2433"/>
      <c r="S549" s="2433"/>
      <c r="T549" s="2433"/>
      <c r="U549" s="2433"/>
      <c r="V549" s="2433"/>
      <c r="W549" s="2433"/>
      <c r="X549" s="2433"/>
      <c r="Y549" s="2433"/>
      <c r="Z549" s="2433"/>
      <c r="AA549" s="2433"/>
      <c r="AB549" s="2433"/>
      <c r="AC549" s="2433"/>
      <c r="AD549" s="2433"/>
      <c r="AE549" s="2433"/>
      <c r="AF549" s="2433"/>
      <c r="AG549" s="2433"/>
      <c r="AH549" s="2433"/>
      <c r="AI549" s="2433"/>
      <c r="AJ549" s="2433"/>
      <c r="AK549" s="2433"/>
      <c r="AL549" s="815"/>
      <c r="AM549" s="596"/>
      <c r="AN549" s="598"/>
    </row>
    <row r="550" spans="1:49" s="551" customFormat="1" ht="12.75" customHeight="1">
      <c r="B550" s="807"/>
      <c r="C550" s="807"/>
      <c r="D550" s="807"/>
      <c r="E550" s="807"/>
      <c r="F550" s="643"/>
      <c r="G550" s="643"/>
      <c r="H550" s="643"/>
      <c r="I550" s="643"/>
      <c r="J550" s="643"/>
      <c r="K550" s="643"/>
      <c r="L550" s="643"/>
      <c r="M550" s="643"/>
      <c r="N550" s="643"/>
      <c r="O550" s="643"/>
      <c r="P550" s="643"/>
      <c r="Q550" s="643"/>
      <c r="R550" s="643"/>
      <c r="S550" s="643"/>
      <c r="T550" s="643"/>
      <c r="U550" s="643"/>
      <c r="V550" s="643"/>
      <c r="W550" s="643"/>
      <c r="X550" s="643"/>
      <c r="Y550" s="643"/>
      <c r="Z550" s="643"/>
      <c r="AA550" s="643"/>
      <c r="AB550" s="643"/>
      <c r="AC550" s="643"/>
      <c r="AD550" s="643"/>
      <c r="AE550" s="643"/>
      <c r="AF550" s="643"/>
      <c r="AG550" s="643"/>
      <c r="AH550" s="643"/>
      <c r="AI550" s="643"/>
      <c r="AJ550" s="643"/>
      <c r="AK550" s="643"/>
      <c r="AL550" s="596"/>
      <c r="AM550" s="596"/>
      <c r="AN550" s="598"/>
      <c r="AP550" s="2428">
        <f>Application!AJ992</f>
        <v>63609660</v>
      </c>
      <c r="AQ550" s="2428"/>
      <c r="AR550" s="2428"/>
      <c r="AS550" s="551" t="s">
        <v>2171</v>
      </c>
    </row>
    <row r="551" spans="1:49" s="551" customFormat="1" ht="12.75" customHeight="1">
      <c r="A551" s="499"/>
      <c r="B551" s="448" t="s">
        <v>1565</v>
      </c>
      <c r="C551" s="624"/>
      <c r="D551" s="624"/>
      <c r="E551" s="624"/>
      <c r="F551" s="14"/>
      <c r="G551" s="625"/>
      <c r="H551" s="625"/>
      <c r="I551" s="625"/>
      <c r="J551" s="625"/>
      <c r="K551" s="625"/>
      <c r="L551" s="625"/>
      <c r="M551" s="625"/>
      <c r="N551" s="625"/>
      <c r="O551" s="625"/>
      <c r="P551" s="625"/>
      <c r="Q551" s="625"/>
      <c r="R551" s="14"/>
      <c r="S551" s="14"/>
      <c r="T551" s="14"/>
      <c r="U551" s="14"/>
      <c r="V551" s="14"/>
      <c r="W551" s="14"/>
      <c r="X551" s="625"/>
      <c r="Y551" s="625"/>
      <c r="Z551" s="625"/>
      <c r="AA551" s="623"/>
      <c r="AB551" s="623"/>
      <c r="AC551" s="623"/>
      <c r="AD551" s="623"/>
      <c r="AE551" s="14"/>
      <c r="AF551" s="2434">
        <f>'Sources and Uses Budget'!S107+'Sources and Uses Budget'!T107</f>
        <v>28547797</v>
      </c>
      <c r="AG551" s="2434"/>
      <c r="AH551" s="2434"/>
      <c r="AI551" s="2434"/>
      <c r="AJ551" s="2434"/>
      <c r="AK551" s="596"/>
      <c r="AL551" s="596"/>
      <c r="AM551" s="596"/>
      <c r="AN551" s="598"/>
    </row>
    <row r="552" spans="1:49" s="551" customFormat="1" ht="12.75" customHeight="1">
      <c r="A552" s="626"/>
      <c r="B552" s="626" t="s">
        <v>1566</v>
      </c>
      <c r="C552" s="625"/>
      <c r="D552" s="625"/>
      <c r="E552" s="627"/>
      <c r="F552" s="627"/>
      <c r="G552" s="627"/>
      <c r="H552" s="627"/>
      <c r="I552" s="627"/>
      <c r="J552" s="627"/>
      <c r="K552" s="627"/>
      <c r="L552" s="625"/>
      <c r="M552" s="627"/>
      <c r="N552" s="627"/>
      <c r="O552" s="627"/>
      <c r="P552" s="627"/>
      <c r="Q552" s="627"/>
      <c r="R552" s="14"/>
      <c r="S552" s="14"/>
      <c r="T552" s="14"/>
      <c r="U552" s="14"/>
      <c r="V552" s="14"/>
      <c r="W552" s="14"/>
      <c r="X552" s="625"/>
      <c r="Y552" s="625"/>
      <c r="Z552" s="625"/>
      <c r="AA552" s="623"/>
      <c r="AB552" s="623"/>
      <c r="AC552" s="623"/>
      <c r="AD552" s="623"/>
      <c r="AE552" s="14"/>
      <c r="AF552" s="2435">
        <f>IFERROR(AP559,0)</f>
        <v>114497388</v>
      </c>
      <c r="AG552" s="2435"/>
      <c r="AH552" s="2435"/>
      <c r="AI552" s="2435"/>
      <c r="AJ552" s="2435"/>
      <c r="AK552" s="596"/>
      <c r="AL552" s="596"/>
      <c r="AM552" s="596"/>
      <c r="AN552" s="598"/>
      <c r="AP552" s="2428">
        <f>Application!AJ1045</f>
        <v>43890665.399999999</v>
      </c>
      <c r="AQ552" s="2428"/>
      <c r="AR552" s="2428"/>
      <c r="AS552" s="551" t="s">
        <v>1865</v>
      </c>
    </row>
    <row r="553" spans="1:49" s="551" customFormat="1" ht="12.75" customHeight="1">
      <c r="A553" s="625"/>
      <c r="B553" s="625" t="s">
        <v>13</v>
      </c>
      <c r="C553" s="625"/>
      <c r="D553" s="625"/>
      <c r="E553" s="625"/>
      <c r="F553" s="625"/>
      <c r="G553" s="625"/>
      <c r="H553" s="625"/>
      <c r="I553" s="625"/>
      <c r="J553" s="625"/>
      <c r="K553" s="625"/>
      <c r="L553" s="625"/>
      <c r="M553" s="625"/>
      <c r="N553" s="625"/>
      <c r="O553" s="625"/>
      <c r="P553" s="625"/>
      <c r="Q553" s="625"/>
      <c r="R553" s="14"/>
      <c r="S553" s="14"/>
      <c r="T553" s="14"/>
      <c r="U553" s="14"/>
      <c r="V553" s="14"/>
      <c r="W553" s="14"/>
      <c r="X553" s="625"/>
      <c r="Y553" s="625"/>
      <c r="Z553" s="625"/>
      <c r="AA553" s="623"/>
      <c r="AB553" s="623"/>
      <c r="AC553" s="623"/>
      <c r="AD553" s="623"/>
      <c r="AE553" s="14"/>
      <c r="AF553" s="2436">
        <f>IFERROR(ROUNDDOWN(IF(C544="YES",((1-(AF551/AF552))*2),(1-(AF551/AF552))),2),0)</f>
        <v>0.75</v>
      </c>
      <c r="AG553" s="2436"/>
      <c r="AH553" s="2436"/>
      <c r="AI553" s="2436"/>
      <c r="AJ553" s="2436"/>
      <c r="AK553" s="596"/>
      <c r="AL553" s="596"/>
      <c r="AM553" s="596"/>
      <c r="AN553" s="598"/>
      <c r="AP553" s="2424">
        <f>Application!AJ1049</f>
        <v>38165796</v>
      </c>
      <c r="AQ553" s="2424"/>
      <c r="AR553" s="2424"/>
      <c r="AS553" s="551" t="s">
        <v>2172</v>
      </c>
    </row>
    <row r="554" spans="1:49" s="551" customFormat="1" ht="12.75" customHeight="1">
      <c r="A554" s="625"/>
      <c r="B554" s="625"/>
      <c r="C554" s="625"/>
      <c r="D554" s="625"/>
      <c r="E554" s="625"/>
      <c r="F554" s="625"/>
      <c r="G554" s="625"/>
      <c r="H554" s="625"/>
      <c r="I554" s="625"/>
      <c r="J554" s="625"/>
      <c r="K554" s="625"/>
      <c r="L554" s="625"/>
      <c r="M554" s="625"/>
      <c r="N554" s="625"/>
      <c r="O554" s="625"/>
      <c r="P554" s="625"/>
      <c r="Q554" s="625"/>
      <c r="R554" s="14"/>
      <c r="S554" s="14"/>
      <c r="T554" s="14"/>
      <c r="U554" s="14"/>
      <c r="V554" s="14"/>
      <c r="W554" s="14"/>
      <c r="X554" s="625"/>
      <c r="Y554" s="625"/>
      <c r="Z554" s="625"/>
      <c r="AA554" s="623"/>
      <c r="AB554" s="623"/>
      <c r="AC554" s="623"/>
      <c r="AD554" s="623"/>
      <c r="AE554" s="14"/>
      <c r="AF554" s="816"/>
      <c r="AG554" s="816"/>
      <c r="AH554" s="816"/>
      <c r="AI554" s="816"/>
      <c r="AJ554" s="816"/>
      <c r="AK554" s="596"/>
      <c r="AL554" s="596"/>
      <c r="AM554" s="596"/>
      <c r="AN554" s="598"/>
      <c r="AP554" s="2443">
        <f>IF(((AP552+AP553)/AP550)&gt;0.8,0.8,((AP552+AP553)/AP550))</f>
        <v>0.8</v>
      </c>
      <c r="AQ554" s="2443"/>
      <c r="AR554" s="2443"/>
      <c r="AS554" s="551" t="s">
        <v>2173</v>
      </c>
    </row>
    <row r="555" spans="1:49" s="551" customFormat="1" ht="12.75" customHeight="1">
      <c r="A555" s="625"/>
      <c r="B555" s="2510" t="s">
        <v>2033</v>
      </c>
      <c r="C555" s="2511"/>
      <c r="D555" s="2511"/>
      <c r="E555" s="2511"/>
      <c r="F555" s="2511"/>
      <c r="G555" s="2511"/>
      <c r="H555" s="2511"/>
      <c r="I555" s="2511"/>
      <c r="J555" s="2511"/>
      <c r="K555" s="2511"/>
      <c r="L555" s="2511"/>
      <c r="M555" s="2511"/>
      <c r="N555" s="2511"/>
      <c r="O555" s="2511"/>
      <c r="P555" s="2511"/>
      <c r="Q555" s="2511"/>
      <c r="R555" s="2511"/>
      <c r="S555" s="2511"/>
      <c r="T555" s="2511"/>
      <c r="U555" s="2511"/>
      <c r="V555" s="2511"/>
      <c r="W555" s="2511"/>
      <c r="X555" s="2511"/>
      <c r="Y555" s="2511"/>
      <c r="Z555" s="2511"/>
      <c r="AA555" s="2511"/>
      <c r="AB555" s="2511"/>
      <c r="AC555" s="2511"/>
      <c r="AD555" s="2511"/>
      <c r="AE555" s="2511"/>
      <c r="AF555" s="2511"/>
      <c r="AG555" s="2511"/>
      <c r="AH555" s="2511"/>
      <c r="AI555" s="2511"/>
      <c r="AJ555" s="2512"/>
      <c r="AK555" s="596"/>
      <c r="AL555" s="596"/>
      <c r="AM555" s="596"/>
      <c r="AN555" s="598"/>
    </row>
    <row r="556" spans="1:49" s="551" customFormat="1" ht="12.75" customHeight="1">
      <c r="A556" s="625"/>
      <c r="B556" s="2513"/>
      <c r="C556" s="2514"/>
      <c r="D556" s="2514"/>
      <c r="E556" s="2514"/>
      <c r="F556" s="2514"/>
      <c r="G556" s="2514"/>
      <c r="H556" s="2514"/>
      <c r="I556" s="2514"/>
      <c r="J556" s="2514"/>
      <c r="K556" s="2514"/>
      <c r="L556" s="2514"/>
      <c r="M556" s="2514"/>
      <c r="N556" s="2514"/>
      <c r="O556" s="2514"/>
      <c r="P556" s="2514"/>
      <c r="Q556" s="2514"/>
      <c r="R556" s="2514"/>
      <c r="S556" s="2514"/>
      <c r="T556" s="2514"/>
      <c r="U556" s="2514"/>
      <c r="V556" s="2514"/>
      <c r="W556" s="2514"/>
      <c r="X556" s="2514"/>
      <c r="Y556" s="2514"/>
      <c r="Z556" s="2514"/>
      <c r="AA556" s="2514"/>
      <c r="AB556" s="2514"/>
      <c r="AC556" s="2514"/>
      <c r="AD556" s="2514"/>
      <c r="AE556" s="2514"/>
      <c r="AF556" s="2514"/>
      <c r="AG556" s="2514"/>
      <c r="AH556" s="2514"/>
      <c r="AI556" s="2514"/>
      <c r="AJ556" s="2515"/>
      <c r="AK556" s="596"/>
      <c r="AL556" s="596"/>
      <c r="AM556" s="596"/>
      <c r="AN556" s="598"/>
      <c r="AP556" s="2428">
        <f>AP557-AP552-AP553</f>
        <v>63609660</v>
      </c>
      <c r="AQ556" s="2444"/>
      <c r="AR556" s="2444"/>
      <c r="AS556" s="551" t="s">
        <v>2175</v>
      </c>
    </row>
    <row r="557" spans="1:49" s="551" customFormat="1" ht="12.75" customHeight="1">
      <c r="A557" s="625"/>
      <c r="B557" s="2516"/>
      <c r="C557" s="2517"/>
      <c r="D557" s="2517"/>
      <c r="E557" s="2517"/>
      <c r="F557" s="2517"/>
      <c r="G557" s="2517"/>
      <c r="H557" s="2517"/>
      <c r="I557" s="2517"/>
      <c r="J557" s="2517"/>
      <c r="K557" s="2517"/>
      <c r="L557" s="2517"/>
      <c r="M557" s="2517"/>
      <c r="N557" s="2517"/>
      <c r="O557" s="2517"/>
      <c r="P557" s="2517"/>
      <c r="Q557" s="2517"/>
      <c r="R557" s="2517"/>
      <c r="S557" s="2517"/>
      <c r="T557" s="2517"/>
      <c r="U557" s="2517"/>
      <c r="V557" s="2517"/>
      <c r="W557" s="2517"/>
      <c r="X557" s="2517"/>
      <c r="Y557" s="2517"/>
      <c r="Z557" s="2517"/>
      <c r="AA557" s="2517"/>
      <c r="AB557" s="2517"/>
      <c r="AC557" s="2517"/>
      <c r="AD557" s="2517"/>
      <c r="AE557" s="2517"/>
      <c r="AF557" s="2517"/>
      <c r="AG557" s="2517"/>
      <c r="AH557" s="2517"/>
      <c r="AI557" s="2517"/>
      <c r="AJ557" s="2518"/>
      <c r="AK557" s="596"/>
      <c r="AL557" s="596"/>
      <c r="AM557" s="596"/>
      <c r="AN557" s="598"/>
      <c r="AP557" s="2428">
        <f>Application!AJ1053</f>
        <v>145666121.40000001</v>
      </c>
      <c r="AQ557" s="2428"/>
      <c r="AR557" s="2428"/>
      <c r="AS557" s="551" t="s">
        <v>2174</v>
      </c>
    </row>
    <row r="558" spans="1:49" s="551" customFormat="1" ht="12.75" customHeight="1">
      <c r="B558" s="552"/>
      <c r="C558" s="552"/>
      <c r="D558" s="552"/>
      <c r="E558" s="552"/>
      <c r="F558" s="552"/>
      <c r="G558" s="552"/>
      <c r="H558" s="552"/>
      <c r="I558" s="552"/>
      <c r="J558" s="552"/>
      <c r="K558" s="552"/>
      <c r="L558" s="552"/>
      <c r="M558" s="552"/>
      <c r="N558" s="552"/>
      <c r="O558" s="552"/>
      <c r="P558" s="552"/>
      <c r="Q558" s="552"/>
      <c r="R558" s="552"/>
      <c r="S558" s="552"/>
      <c r="T558" s="552"/>
      <c r="U558" s="552"/>
      <c r="V558" s="552"/>
      <c r="W558" s="552"/>
      <c r="X558" s="552"/>
      <c r="Y558" s="552"/>
      <c r="Z558" s="552"/>
      <c r="AA558" s="552"/>
      <c r="AB558" s="552"/>
      <c r="AC558" s="617"/>
      <c r="AD558" s="552"/>
      <c r="AI558" s="544"/>
      <c r="AJ558" s="544"/>
      <c r="AK558" s="596"/>
      <c r="AL558" s="596"/>
      <c r="AM558" s="596"/>
      <c r="AN558" s="598"/>
    </row>
    <row r="559" spans="1:49" s="551" customFormat="1" ht="12.75" customHeight="1">
      <c r="A559" s="629"/>
      <c r="B559" s="629"/>
      <c r="C559" s="629"/>
      <c r="D559" s="629"/>
      <c r="E559" s="629"/>
      <c r="F559" s="629"/>
      <c r="G559" s="629"/>
      <c r="H559" s="629"/>
      <c r="I559" s="629"/>
      <c r="J559" s="629"/>
      <c r="K559" s="629"/>
      <c r="L559" s="629"/>
      <c r="M559" s="629"/>
      <c r="N559" s="629"/>
      <c r="O559" s="629"/>
      <c r="P559" s="629"/>
      <c r="Q559" s="629"/>
      <c r="R559" s="629"/>
      <c r="S559" s="629"/>
      <c r="T559" s="629"/>
      <c r="U559" s="629"/>
      <c r="V559" s="629"/>
      <c r="W559" s="629"/>
      <c r="X559" s="629"/>
      <c r="Y559" s="629"/>
      <c r="Z559" s="629"/>
      <c r="AA559" s="629"/>
      <c r="AB559" s="629"/>
      <c r="AC559" s="629"/>
      <c r="AD559" s="629"/>
      <c r="AE559" s="629"/>
      <c r="AF559" s="629"/>
      <c r="AG559" s="629"/>
      <c r="AH559" s="630"/>
      <c r="AI559" s="566"/>
      <c r="AJ559" s="566" t="s">
        <v>1567</v>
      </c>
      <c r="AK559" s="2519">
        <f>IFERROR(IF(AND(C541="N/A",C544="N/A"),0,IF(AF553=0,0,IF((AF553*100)&gt;12,12,(AF553*100)))),0)</f>
        <v>12</v>
      </c>
      <c r="AL559" s="2519"/>
      <c r="AM559" s="2520"/>
      <c r="AN559" s="598"/>
      <c r="AP559" s="2413">
        <f>AP556+(AP550*AP554)</f>
        <v>114497388</v>
      </c>
      <c r="AQ559" s="2414"/>
      <c r="AR559" s="2415"/>
    </row>
    <row r="560" spans="1:49" s="551" customFormat="1" ht="12.75" customHeight="1" thickBot="1">
      <c r="A560" s="760"/>
      <c r="B560" s="760"/>
      <c r="C560" s="760"/>
      <c r="D560" s="760"/>
      <c r="E560" s="760"/>
      <c r="F560" s="760"/>
      <c r="G560" s="760"/>
      <c r="H560" s="760"/>
      <c r="I560" s="760"/>
      <c r="J560" s="760"/>
      <c r="K560" s="760"/>
      <c r="L560" s="760"/>
      <c r="M560" s="760"/>
      <c r="N560" s="760"/>
      <c r="O560" s="760"/>
      <c r="P560" s="760"/>
      <c r="Q560" s="760"/>
      <c r="R560" s="760"/>
      <c r="S560" s="760"/>
      <c r="T560" s="760"/>
      <c r="U560" s="760"/>
      <c r="V560" s="760"/>
      <c r="W560" s="760"/>
      <c r="X560" s="760"/>
      <c r="Y560" s="760"/>
      <c r="Z560" s="760"/>
      <c r="AA560" s="760"/>
      <c r="AB560" s="760"/>
      <c r="AC560" s="760"/>
      <c r="AD560" s="760"/>
      <c r="AE560" s="760"/>
      <c r="AF560" s="760"/>
      <c r="AG560" s="760"/>
      <c r="AH560" s="760"/>
      <c r="AI560" s="760"/>
      <c r="AJ560" s="760"/>
      <c r="AK560" s="760"/>
      <c r="AL560" s="760"/>
      <c r="AM560" s="761"/>
      <c r="AN560" s="598"/>
    </row>
    <row r="561" spans="1:42" s="551" customFormat="1" ht="12.75" customHeight="1" thickTop="1">
      <c r="A561" s="667"/>
      <c r="B561" s="668"/>
      <c r="C561" s="667"/>
      <c r="D561" s="668"/>
      <c r="E561" s="668"/>
      <c r="F561" s="668"/>
      <c r="G561" s="668"/>
      <c r="H561" s="668"/>
      <c r="I561" s="668"/>
      <c r="J561" s="668"/>
      <c r="K561" s="668"/>
      <c r="L561" s="668"/>
      <c r="M561" s="668"/>
      <c r="N561" s="668"/>
      <c r="O561" s="668"/>
      <c r="P561" s="668"/>
      <c r="Q561" s="668"/>
      <c r="R561" s="668"/>
      <c r="S561" s="668"/>
      <c r="T561" s="668"/>
      <c r="U561" s="668"/>
      <c r="V561" s="668"/>
      <c r="W561" s="668"/>
      <c r="X561" s="668"/>
      <c r="Y561" s="668"/>
      <c r="Z561" s="668"/>
      <c r="AA561" s="668"/>
      <c r="AB561" s="668"/>
      <c r="AC561" s="669"/>
      <c r="AD561" s="669"/>
      <c r="AE561" s="669"/>
      <c r="AF561" s="668"/>
      <c r="AG561" s="668"/>
      <c r="AH561" s="668"/>
      <c r="AI561" s="668"/>
      <c r="AJ561" s="668"/>
      <c r="AK561" s="668"/>
      <c r="AL561" s="668"/>
      <c r="AM561" s="670"/>
      <c r="AN561" s="598"/>
    </row>
    <row r="562" spans="1:42" s="551" customFormat="1" ht="12.75" customHeight="1">
      <c r="A562" s="539" t="s">
        <v>2023</v>
      </c>
      <c r="C562" s="539"/>
      <c r="D562" s="604"/>
      <c r="E562" s="604"/>
      <c r="F562" s="604"/>
      <c r="G562" s="604"/>
      <c r="H562" s="604"/>
      <c r="I562" s="604"/>
      <c r="J562" s="604"/>
      <c r="K562" s="604"/>
      <c r="L562" s="604"/>
      <c r="M562" s="604"/>
      <c r="N562" s="604"/>
      <c r="O562" s="604"/>
      <c r="P562" s="604"/>
      <c r="Q562" s="604"/>
      <c r="R562" s="604"/>
      <c r="S562" s="604"/>
      <c r="T562" s="604"/>
      <c r="U562" s="604"/>
      <c r="V562" s="604"/>
      <c r="W562" s="604"/>
      <c r="X562" s="604"/>
      <c r="Y562" s="604"/>
      <c r="Z562" s="604"/>
      <c r="AA562" s="604"/>
      <c r="AB562" s="604"/>
      <c r="AC562" s="604"/>
      <c r="AD562" s="604"/>
      <c r="AE562" s="2470" t="s">
        <v>1314</v>
      </c>
      <c r="AF562" s="2470"/>
      <c r="AG562" s="2470"/>
      <c r="AH562" s="2470"/>
      <c r="AI562" s="2470"/>
      <c r="AJ562" s="2470"/>
      <c r="AK562" s="2470"/>
      <c r="AL562" s="592"/>
      <c r="AM562" s="604"/>
      <c r="AN562" s="598"/>
    </row>
    <row r="563" spans="1:42" s="551" customFormat="1" ht="12.75" customHeight="1">
      <c r="C563" s="604"/>
      <c r="D563" s="604"/>
      <c r="E563" s="604"/>
      <c r="F563" s="604"/>
      <c r="G563" s="604"/>
      <c r="H563" s="604"/>
      <c r="I563" s="604"/>
      <c r="J563" s="604"/>
      <c r="K563" s="604"/>
      <c r="L563" s="604"/>
      <c r="M563" s="604"/>
      <c r="N563" s="604"/>
      <c r="O563" s="604"/>
      <c r="P563" s="604"/>
      <c r="Q563" s="604"/>
      <c r="R563" s="604"/>
      <c r="S563" s="604"/>
      <c r="T563" s="604"/>
      <c r="U563" s="604"/>
      <c r="V563" s="604"/>
      <c r="W563" s="604"/>
      <c r="X563" s="604"/>
      <c r="Y563" s="604"/>
      <c r="Z563" s="604"/>
      <c r="AA563" s="604"/>
      <c r="AB563" s="604"/>
      <c r="AC563" s="604"/>
      <c r="AD563" s="604"/>
      <c r="AE563" s="604"/>
      <c r="AF563" s="604"/>
      <c r="AG563" s="604"/>
      <c r="AH563" s="604"/>
      <c r="AI563" s="604"/>
      <c r="AJ563" s="604"/>
      <c r="AK563" s="604"/>
      <c r="AL563" s="604"/>
      <c r="AM563" s="604"/>
      <c r="AN563" s="598"/>
    </row>
    <row r="564" spans="1:42" s="551" customFormat="1" ht="12.75" customHeight="1">
      <c r="A564" s="604"/>
      <c r="B564" s="2430" t="s">
        <v>2024</v>
      </c>
      <c r="C564" s="2430"/>
      <c r="D564" s="2430"/>
      <c r="E564" s="2430"/>
      <c r="F564" s="2430"/>
      <c r="G564" s="2430"/>
      <c r="H564" s="2430"/>
      <c r="I564" s="2430"/>
      <c r="J564" s="2430"/>
      <c r="K564" s="2430"/>
      <c r="L564" s="2430"/>
      <c r="M564" s="2430"/>
      <c r="N564" s="2430"/>
      <c r="O564" s="2430"/>
      <c r="P564" s="2430"/>
      <c r="Q564" s="2430"/>
      <c r="R564" s="2430"/>
      <c r="S564" s="2430"/>
      <c r="T564" s="2430"/>
      <c r="U564" s="2430"/>
      <c r="V564" s="2430"/>
      <c r="W564" s="2430"/>
      <c r="X564" s="2430"/>
      <c r="Y564" s="2430"/>
      <c r="Z564" s="2430"/>
      <c r="AA564" s="2430"/>
      <c r="AB564" s="2430"/>
      <c r="AC564" s="2430"/>
      <c r="AD564" s="2430"/>
      <c r="AE564" s="2430"/>
      <c r="AF564" s="2430"/>
      <c r="AG564" s="2430"/>
      <c r="AH564" s="2430"/>
      <c r="AI564" s="2430"/>
      <c r="AJ564" s="2430"/>
      <c r="AK564" s="643"/>
      <c r="AL564" s="574"/>
      <c r="AM564" s="604"/>
      <c r="AN564" s="598"/>
    </row>
    <row r="565" spans="1:42" s="551" customFormat="1" ht="12.75" customHeight="1">
      <c r="A565" s="604"/>
      <c r="B565" s="2430"/>
      <c r="C565" s="2430"/>
      <c r="D565" s="2430"/>
      <c r="E565" s="2430"/>
      <c r="F565" s="2430"/>
      <c r="G565" s="2430"/>
      <c r="H565" s="2430"/>
      <c r="I565" s="2430"/>
      <c r="J565" s="2430"/>
      <c r="K565" s="2430"/>
      <c r="L565" s="2430"/>
      <c r="M565" s="2430"/>
      <c r="N565" s="2430"/>
      <c r="O565" s="2430"/>
      <c r="P565" s="2430"/>
      <c r="Q565" s="2430"/>
      <c r="R565" s="2430"/>
      <c r="S565" s="2430"/>
      <c r="T565" s="2430"/>
      <c r="U565" s="2430"/>
      <c r="V565" s="2430"/>
      <c r="W565" s="2430"/>
      <c r="X565" s="2430"/>
      <c r="Y565" s="2430"/>
      <c r="Z565" s="2430"/>
      <c r="AA565" s="2430"/>
      <c r="AB565" s="2430"/>
      <c r="AC565" s="2430"/>
      <c r="AD565" s="2430"/>
      <c r="AE565" s="2430"/>
      <c r="AF565" s="2430"/>
      <c r="AG565" s="2430"/>
      <c r="AH565" s="2430"/>
      <c r="AI565" s="2430"/>
      <c r="AJ565" s="2430"/>
      <c r="AK565" s="643"/>
      <c r="AL565" s="574"/>
      <c r="AM565" s="604"/>
      <c r="AN565" s="598"/>
    </row>
    <row r="566" spans="1:42" s="551" customFormat="1" ht="12.75" customHeight="1">
      <c r="A566" s="604"/>
      <c r="B566" s="2430"/>
      <c r="C566" s="2430"/>
      <c r="D566" s="2430"/>
      <c r="E566" s="2430"/>
      <c r="F566" s="2430"/>
      <c r="G566" s="2430"/>
      <c r="H566" s="2430"/>
      <c r="I566" s="2430"/>
      <c r="J566" s="2430"/>
      <c r="K566" s="2430"/>
      <c r="L566" s="2430"/>
      <c r="M566" s="2430"/>
      <c r="N566" s="2430"/>
      <c r="O566" s="2430"/>
      <c r="P566" s="2430"/>
      <c r="Q566" s="2430"/>
      <c r="R566" s="2430"/>
      <c r="S566" s="2430"/>
      <c r="T566" s="2430"/>
      <c r="U566" s="2430"/>
      <c r="V566" s="2430"/>
      <c r="W566" s="2430"/>
      <c r="X566" s="2430"/>
      <c r="Y566" s="2430"/>
      <c r="Z566" s="2430"/>
      <c r="AA566" s="2430"/>
      <c r="AB566" s="2430"/>
      <c r="AC566" s="2430"/>
      <c r="AD566" s="2430"/>
      <c r="AE566" s="2430"/>
      <c r="AF566" s="2430"/>
      <c r="AG566" s="2430"/>
      <c r="AH566" s="2430"/>
      <c r="AI566" s="2430"/>
      <c r="AJ566" s="2430"/>
      <c r="AK566" s="643"/>
      <c r="AL566" s="574"/>
      <c r="AM566" s="604"/>
      <c r="AN566" s="598"/>
    </row>
    <row r="567" spans="1:42" s="551" customFormat="1" ht="12.75" customHeight="1">
      <c r="A567" s="604"/>
      <c r="B567" s="2430"/>
      <c r="C567" s="2430"/>
      <c r="D567" s="2430"/>
      <c r="E567" s="2430"/>
      <c r="F567" s="2430"/>
      <c r="G567" s="2430"/>
      <c r="H567" s="2430"/>
      <c r="I567" s="2430"/>
      <c r="J567" s="2430"/>
      <c r="K567" s="2430"/>
      <c r="L567" s="2430"/>
      <c r="M567" s="2430"/>
      <c r="N567" s="2430"/>
      <c r="O567" s="2430"/>
      <c r="P567" s="2430"/>
      <c r="Q567" s="2430"/>
      <c r="R567" s="2430"/>
      <c r="S567" s="2430"/>
      <c r="T567" s="2430"/>
      <c r="U567" s="2430"/>
      <c r="V567" s="2430"/>
      <c r="W567" s="2430"/>
      <c r="X567" s="2430"/>
      <c r="Y567" s="2430"/>
      <c r="Z567" s="2430"/>
      <c r="AA567" s="2430"/>
      <c r="AB567" s="2430"/>
      <c r="AC567" s="2430"/>
      <c r="AD567" s="2430"/>
      <c r="AE567" s="2430"/>
      <c r="AF567" s="2430"/>
      <c r="AG567" s="2430"/>
      <c r="AH567" s="2430"/>
      <c r="AI567" s="2430"/>
      <c r="AJ567" s="2430"/>
      <c r="AK567" s="643"/>
      <c r="AL567" s="574"/>
      <c r="AM567" s="604"/>
      <c r="AN567" s="598"/>
    </row>
    <row r="568" spans="1:42" s="551" customFormat="1" ht="12.75" customHeight="1">
      <c r="A568" s="604"/>
      <c r="B568" s="2430"/>
      <c r="C568" s="2430"/>
      <c r="D568" s="2430"/>
      <c r="E568" s="2430"/>
      <c r="F568" s="2430"/>
      <c r="G568" s="2430"/>
      <c r="H568" s="2430"/>
      <c r="I568" s="2430"/>
      <c r="J568" s="2430"/>
      <c r="K568" s="2430"/>
      <c r="L568" s="2430"/>
      <c r="M568" s="2430"/>
      <c r="N568" s="2430"/>
      <c r="O568" s="2430"/>
      <c r="P568" s="2430"/>
      <c r="Q568" s="2430"/>
      <c r="R568" s="2430"/>
      <c r="S568" s="2430"/>
      <c r="T568" s="2430"/>
      <c r="U568" s="2430"/>
      <c r="V568" s="2430"/>
      <c r="W568" s="2430"/>
      <c r="X568" s="2430"/>
      <c r="Y568" s="2430"/>
      <c r="Z568" s="2430"/>
      <c r="AA568" s="2430"/>
      <c r="AB568" s="2430"/>
      <c r="AC568" s="2430"/>
      <c r="AD568" s="2430"/>
      <c r="AE568" s="2430"/>
      <c r="AF568" s="2430"/>
      <c r="AG568" s="2430"/>
      <c r="AH568" s="2430"/>
      <c r="AI568" s="2430"/>
      <c r="AJ568" s="2430"/>
      <c r="AK568" s="643"/>
      <c r="AL568" s="574"/>
      <c r="AM568" s="604"/>
      <c r="AN568" s="598"/>
    </row>
    <row r="569" spans="1:42" s="551" customFormat="1" ht="12.75" customHeight="1">
      <c r="A569" s="604"/>
      <c r="B569" s="2430"/>
      <c r="C569" s="2430"/>
      <c r="D569" s="2430"/>
      <c r="E569" s="2430"/>
      <c r="F569" s="2430"/>
      <c r="G569" s="2430"/>
      <c r="H569" s="2430"/>
      <c r="I569" s="2430"/>
      <c r="J569" s="2430"/>
      <c r="K569" s="2430"/>
      <c r="L569" s="2430"/>
      <c r="M569" s="2430"/>
      <c r="N569" s="2430"/>
      <c r="O569" s="2430"/>
      <c r="P569" s="2430"/>
      <c r="Q569" s="2430"/>
      <c r="R569" s="2430"/>
      <c r="S569" s="2430"/>
      <c r="T569" s="2430"/>
      <c r="U569" s="2430"/>
      <c r="V569" s="2430"/>
      <c r="W569" s="2430"/>
      <c r="X569" s="2430"/>
      <c r="Y569" s="2430"/>
      <c r="Z569" s="2430"/>
      <c r="AA569" s="2430"/>
      <c r="AB569" s="2430"/>
      <c r="AC569" s="2430"/>
      <c r="AD569" s="2430"/>
      <c r="AE569" s="2430"/>
      <c r="AF569" s="2430"/>
      <c r="AG569" s="2430"/>
      <c r="AH569" s="2430"/>
      <c r="AI569" s="2430"/>
      <c r="AJ569" s="2430"/>
      <c r="AK569" s="643"/>
      <c r="AL569" s="574"/>
      <c r="AM569" s="604"/>
      <c r="AN569" s="598"/>
    </row>
    <row r="570" spans="1:42" s="551" customFormat="1" ht="12.75" customHeight="1">
      <c r="A570" s="604"/>
      <c r="B570" s="2430"/>
      <c r="C570" s="2430"/>
      <c r="D570" s="2430"/>
      <c r="E570" s="2430"/>
      <c r="F570" s="2430"/>
      <c r="G570" s="2430"/>
      <c r="H570" s="2430"/>
      <c r="I570" s="2430"/>
      <c r="J570" s="2430"/>
      <c r="K570" s="2430"/>
      <c r="L570" s="2430"/>
      <c r="M570" s="2430"/>
      <c r="N570" s="2430"/>
      <c r="O570" s="2430"/>
      <c r="P570" s="2430"/>
      <c r="Q570" s="2430"/>
      <c r="R570" s="2430"/>
      <c r="S570" s="2430"/>
      <c r="T570" s="2430"/>
      <c r="U570" s="2430"/>
      <c r="V570" s="2430"/>
      <c r="W570" s="2430"/>
      <c r="X570" s="2430"/>
      <c r="Y570" s="2430"/>
      <c r="Z570" s="2430"/>
      <c r="AA570" s="2430"/>
      <c r="AB570" s="2430"/>
      <c r="AC570" s="2430"/>
      <c r="AD570" s="2430"/>
      <c r="AE570" s="2430"/>
      <c r="AF570" s="2430"/>
      <c r="AG570" s="2430"/>
      <c r="AH570" s="2430"/>
      <c r="AI570" s="2430"/>
      <c r="AJ570" s="2430"/>
      <c r="AK570" s="643"/>
      <c r="AL570" s="574"/>
      <c r="AM570" s="604"/>
      <c r="AN570" s="598"/>
    </row>
    <row r="571" spans="1:42" ht="12.75" customHeight="1">
      <c r="A571" s="604"/>
      <c r="B571" s="2430"/>
      <c r="C571" s="2430"/>
      <c r="D571" s="2430"/>
      <c r="E571" s="2430"/>
      <c r="F571" s="2430"/>
      <c r="G571" s="2430"/>
      <c r="H571" s="2430"/>
      <c r="I571" s="2430"/>
      <c r="J571" s="2430"/>
      <c r="K571" s="2430"/>
      <c r="L571" s="2430"/>
      <c r="M571" s="2430"/>
      <c r="N571" s="2430"/>
      <c r="O571" s="2430"/>
      <c r="P571" s="2430"/>
      <c r="Q571" s="2430"/>
      <c r="R571" s="2430"/>
      <c r="S571" s="2430"/>
      <c r="T571" s="2430"/>
      <c r="U571" s="2430"/>
      <c r="V571" s="2430"/>
      <c r="W571" s="2430"/>
      <c r="X571" s="2430"/>
      <c r="Y571" s="2430"/>
      <c r="Z571" s="2430"/>
      <c r="AA571" s="2430"/>
      <c r="AB571" s="2430"/>
      <c r="AC571" s="2430"/>
      <c r="AD571" s="2430"/>
      <c r="AE571" s="2430"/>
      <c r="AF571" s="2430"/>
      <c r="AG571" s="2430"/>
      <c r="AH571" s="2430"/>
      <c r="AI571" s="2430"/>
      <c r="AJ571" s="2430"/>
      <c r="AK571" s="643"/>
      <c r="AL571" s="574"/>
      <c r="AM571" s="604"/>
    </row>
    <row r="572" spans="1:42" s="551" customFormat="1" ht="12.75" customHeight="1">
      <c r="B572" s="2430"/>
      <c r="C572" s="2430"/>
      <c r="D572" s="2430"/>
      <c r="E572" s="2430"/>
      <c r="F572" s="2430"/>
      <c r="G572" s="2430"/>
      <c r="H572" s="2430"/>
      <c r="I572" s="2430"/>
      <c r="J572" s="2430"/>
      <c r="K572" s="2430"/>
      <c r="L572" s="2430"/>
      <c r="M572" s="2430"/>
      <c r="N572" s="2430"/>
      <c r="O572" s="2430"/>
      <c r="P572" s="2430"/>
      <c r="Q572" s="2430"/>
      <c r="R572" s="2430"/>
      <c r="S572" s="2430"/>
      <c r="T572" s="2430"/>
      <c r="U572" s="2430"/>
      <c r="V572" s="2430"/>
      <c r="W572" s="2430"/>
      <c r="X572" s="2430"/>
      <c r="Y572" s="2430"/>
      <c r="Z572" s="2430"/>
      <c r="AA572" s="2430"/>
      <c r="AB572" s="2430"/>
      <c r="AC572" s="2430"/>
      <c r="AD572" s="2430"/>
      <c r="AE572" s="2430"/>
      <c r="AF572" s="2430"/>
      <c r="AG572" s="2430"/>
      <c r="AH572" s="2430"/>
      <c r="AI572" s="2430"/>
      <c r="AJ572" s="2430"/>
      <c r="AK572" s="643"/>
      <c r="AL572" s="574"/>
      <c r="AN572" s="598"/>
    </row>
    <row r="573" spans="1:42" s="551" customFormat="1" ht="12.75" customHeight="1">
      <c r="B573" s="643"/>
      <c r="C573" s="643"/>
      <c r="D573" s="643"/>
      <c r="E573" s="643"/>
      <c r="F573" s="643"/>
      <c r="G573" s="643"/>
      <c r="H573" s="643"/>
      <c r="I573" s="643"/>
      <c r="J573" s="643"/>
      <c r="K573" s="643"/>
      <c r="L573" s="643"/>
      <c r="M573" s="643"/>
      <c r="N573" s="643"/>
      <c r="O573" s="643"/>
      <c r="P573" s="643"/>
      <c r="Q573" s="643"/>
      <c r="R573" s="643"/>
      <c r="S573" s="643"/>
      <c r="T573" s="643"/>
      <c r="U573" s="643"/>
      <c r="V573" s="643"/>
      <c r="W573" s="643"/>
      <c r="X573" s="643"/>
      <c r="Y573" s="643"/>
      <c r="Z573" s="643"/>
      <c r="AA573" s="643"/>
      <c r="AB573" s="643"/>
      <c r="AC573" s="643"/>
      <c r="AD573" s="643"/>
      <c r="AE573" s="643"/>
      <c r="AF573" s="643"/>
      <c r="AG573" s="643"/>
      <c r="AH573" s="643"/>
      <c r="AI573" s="643"/>
      <c r="AJ573" s="643"/>
      <c r="AK573" s="643"/>
      <c r="AL573" s="574"/>
      <c r="AN573" s="598"/>
    </row>
    <row r="574" spans="1:42" s="551" customFormat="1" ht="12.75" customHeight="1">
      <c r="B574" s="664" t="s">
        <v>1394</v>
      </c>
      <c r="C574" s="672"/>
      <c r="D574" s="574"/>
      <c r="E574" s="574"/>
      <c r="F574" s="574"/>
      <c r="G574" s="574"/>
      <c r="H574" s="574"/>
      <c r="I574" s="574"/>
      <c r="J574" s="574"/>
      <c r="K574" s="574"/>
      <c r="L574" s="574"/>
      <c r="M574" s="574"/>
      <c r="N574" s="574"/>
      <c r="O574" s="574"/>
      <c r="P574" s="574"/>
      <c r="Q574" s="574"/>
      <c r="R574" s="574"/>
      <c r="S574" s="574"/>
      <c r="T574" s="574"/>
      <c r="U574" s="574"/>
      <c r="V574" s="574"/>
      <c r="W574" s="574"/>
      <c r="X574" s="574"/>
      <c r="Y574" s="574"/>
      <c r="Z574" s="574"/>
      <c r="AA574" s="574"/>
      <c r="AB574" s="574"/>
      <c r="AC574" s="574"/>
      <c r="AD574" s="574"/>
      <c r="AE574" s="574"/>
      <c r="AF574" s="574"/>
      <c r="AG574" s="574"/>
      <c r="AH574" s="574"/>
      <c r="AI574" s="574"/>
      <c r="AN574" s="598"/>
      <c r="AP574" s="551" t="s">
        <v>591</v>
      </c>
    </row>
    <row r="575" spans="1:42" s="551" customFormat="1" ht="12.75" customHeight="1">
      <c r="B575" s="537"/>
      <c r="C575" s="672"/>
      <c r="D575" s="574"/>
      <c r="E575" s="574"/>
      <c r="F575" s="574"/>
      <c r="G575" s="574"/>
      <c r="H575" s="574"/>
      <c r="I575" s="574"/>
      <c r="J575" s="574"/>
      <c r="K575" s="574"/>
      <c r="L575" s="574"/>
      <c r="M575" s="574"/>
      <c r="N575" s="574"/>
      <c r="O575" s="574"/>
      <c r="P575" s="574"/>
      <c r="Q575" s="574"/>
      <c r="R575" s="574"/>
      <c r="S575" s="574"/>
      <c r="T575" s="574"/>
      <c r="U575" s="574"/>
      <c r="V575" s="574"/>
      <c r="W575" s="574"/>
      <c r="X575" s="574"/>
      <c r="Y575" s="574"/>
      <c r="Z575" s="574"/>
      <c r="AA575" s="574"/>
      <c r="AB575" s="574"/>
      <c r="AC575" s="574"/>
      <c r="AD575" s="574"/>
      <c r="AE575" s="574"/>
      <c r="AF575" s="574"/>
      <c r="AG575" s="574"/>
      <c r="AH575" s="574"/>
      <c r="AI575" s="574"/>
      <c r="AN575" s="598"/>
      <c r="AP575" s="551" t="s">
        <v>545</v>
      </c>
    </row>
    <row r="576" spans="1:42" s="551" customFormat="1" ht="12.75" customHeight="1">
      <c r="C576" s="540" t="s">
        <v>1395</v>
      </c>
      <c r="D576" s="673"/>
      <c r="E576" s="574"/>
      <c r="F576" s="574"/>
      <c r="G576" s="574"/>
      <c r="H576" s="574"/>
      <c r="I576" s="574"/>
      <c r="J576" s="574"/>
      <c r="K576" s="574"/>
      <c r="L576" s="574"/>
      <c r="M576" s="574"/>
      <c r="N576" s="574"/>
      <c r="O576" s="574"/>
      <c r="P576" s="574"/>
      <c r="Q576" s="574"/>
      <c r="R576" s="574"/>
      <c r="S576" s="574"/>
      <c r="T576" s="574"/>
      <c r="U576" s="574"/>
      <c r="V576" s="574"/>
      <c r="W576" s="574"/>
      <c r="X576" s="574"/>
      <c r="Y576" s="574"/>
      <c r="Z576" s="574"/>
      <c r="AA576" s="574"/>
      <c r="AB576" s="574"/>
      <c r="AC576" s="574"/>
      <c r="AD576" s="574"/>
      <c r="AE576" s="574"/>
      <c r="AF576" s="574"/>
      <c r="AG576" s="574"/>
      <c r="AH576" s="574"/>
      <c r="AI576" s="574"/>
      <c r="AN576" s="598"/>
    </row>
    <row r="577" spans="1:42" s="551" customFormat="1" ht="12.75" customHeight="1">
      <c r="B577" s="537"/>
      <c r="C577" s="537"/>
      <c r="D577" s="641"/>
      <c r="E577" s="644"/>
      <c r="F577" s="644"/>
      <c r="G577" s="644"/>
      <c r="H577" s="644"/>
      <c r="I577" s="644"/>
      <c r="J577" s="644"/>
      <c r="K577" s="644"/>
      <c r="L577" s="644"/>
      <c r="M577" s="644"/>
      <c r="N577" s="644"/>
      <c r="O577" s="644"/>
      <c r="P577" s="644"/>
      <c r="Q577" s="644"/>
      <c r="R577" s="644"/>
      <c r="S577" s="644"/>
      <c r="T577" s="644"/>
      <c r="U577" s="644"/>
      <c r="V577" s="644"/>
      <c r="W577" s="644"/>
      <c r="X577" s="644"/>
      <c r="Y577" s="644"/>
      <c r="Z577" s="644"/>
      <c r="AA577" s="644"/>
      <c r="AB577" s="644"/>
      <c r="AC577" s="644"/>
      <c r="AD577" s="644"/>
      <c r="AE577" s="644"/>
      <c r="AF577" s="537"/>
      <c r="AG577" s="537"/>
      <c r="AH577" s="537"/>
      <c r="AI577" s="537"/>
      <c r="AJ577" s="537"/>
      <c r="AK577" s="537"/>
      <c r="AL577" s="537"/>
      <c r="AN577" s="598"/>
    </row>
    <row r="578" spans="1:42" s="551" customFormat="1" ht="12.75" customHeight="1">
      <c r="B578" s="537"/>
      <c r="C578" s="537"/>
      <c r="D578" s="664" t="s">
        <v>687</v>
      </c>
      <c r="E578" s="839" t="s">
        <v>1698</v>
      </c>
      <c r="F578" s="643"/>
      <c r="G578" s="643"/>
      <c r="H578" s="643"/>
      <c r="I578" s="643"/>
      <c r="J578" s="643"/>
      <c r="K578" s="643"/>
      <c r="L578" s="643"/>
      <c r="M578" s="643"/>
      <c r="N578" s="643"/>
      <c r="O578" s="643"/>
      <c r="P578" s="643"/>
      <c r="Q578" s="643"/>
      <c r="R578" s="643"/>
      <c r="S578" s="643"/>
      <c r="T578" s="643"/>
      <c r="U578" s="643"/>
      <c r="V578" s="643"/>
      <c r="W578" s="643"/>
      <c r="X578" s="643"/>
      <c r="Y578" s="643"/>
      <c r="Z578" s="643"/>
      <c r="AA578" s="643"/>
      <c r="AB578" s="643"/>
      <c r="AC578" s="537"/>
      <c r="AD578" s="537"/>
      <c r="AE578" s="537"/>
      <c r="AF578" s="2530" t="s">
        <v>1338</v>
      </c>
      <c r="AG578" s="2530"/>
      <c r="AH578" s="2530"/>
      <c r="AI578" s="2530"/>
      <c r="AJ578" s="2530"/>
      <c r="AK578" s="2530"/>
      <c r="AL578" s="2530"/>
      <c r="AN578" s="598"/>
    </row>
    <row r="579" spans="1:42" s="551" customFormat="1" ht="12.75" customHeight="1">
      <c r="B579" s="537"/>
      <c r="C579" s="617"/>
      <c r="D579" s="664"/>
      <c r="E579" s="839" t="s">
        <v>1699</v>
      </c>
      <c r="F579" s="643"/>
      <c r="G579" s="643"/>
      <c r="H579" s="643"/>
      <c r="I579" s="643"/>
      <c r="J579" s="643"/>
      <c r="K579" s="643"/>
      <c r="L579" s="643"/>
      <c r="M579" s="643"/>
      <c r="N579" s="643"/>
      <c r="O579" s="643"/>
      <c r="P579" s="643"/>
      <c r="Q579" s="643"/>
      <c r="R579" s="643"/>
      <c r="S579" s="643"/>
      <c r="T579" s="643"/>
      <c r="U579" s="643"/>
      <c r="V579" s="643"/>
      <c r="W579" s="643"/>
      <c r="X579" s="643"/>
      <c r="Y579" s="643"/>
      <c r="Z579" s="643"/>
      <c r="AA579" s="643"/>
      <c r="AB579" s="643"/>
      <c r="AC579" s="537"/>
      <c r="AD579" s="537"/>
      <c r="AE579" s="617"/>
      <c r="AF579" s="617"/>
      <c r="AG579" s="617"/>
      <c r="AH579" s="617"/>
      <c r="AI579" s="617"/>
      <c r="AJ579" s="617"/>
      <c r="AK579" s="617"/>
      <c r="AL579" s="617"/>
      <c r="AN579" s="598"/>
    </row>
    <row r="580" spans="1:42" s="551" customFormat="1" ht="12.75" customHeight="1">
      <c r="B580" s="537"/>
      <c r="C580" s="617"/>
      <c r="D580" s="664"/>
      <c r="E580" s="839" t="s">
        <v>1700</v>
      </c>
      <c r="F580" s="643"/>
      <c r="G580" s="643"/>
      <c r="H580" s="643"/>
      <c r="I580" s="643"/>
      <c r="J580" s="643"/>
      <c r="K580" s="643"/>
      <c r="L580" s="643"/>
      <c r="M580" s="643"/>
      <c r="N580" s="643"/>
      <c r="O580" s="643"/>
      <c r="P580" s="643"/>
      <c r="Q580" s="643"/>
      <c r="R580" s="643"/>
      <c r="S580" s="643"/>
      <c r="T580" s="643"/>
      <c r="U580" s="643"/>
      <c r="V580" s="643"/>
      <c r="W580" s="643"/>
      <c r="X580" s="643"/>
      <c r="Y580" s="643"/>
      <c r="Z580" s="643"/>
      <c r="AA580" s="643"/>
      <c r="AB580" s="643"/>
      <c r="AC580" s="537"/>
      <c r="AD580" s="537"/>
      <c r="AE580" s="617"/>
      <c r="AF580" s="617"/>
      <c r="AG580" s="617"/>
      <c r="AH580" s="617"/>
      <c r="AI580" s="617"/>
      <c r="AJ580" s="617"/>
      <c r="AK580" s="617"/>
      <c r="AL580" s="617"/>
      <c r="AN580" s="598"/>
    </row>
    <row r="581" spans="1:42" s="551" customFormat="1" ht="12.75" customHeight="1">
      <c r="B581" s="537"/>
      <c r="C581" s="617"/>
      <c r="D581" s="664"/>
      <c r="E581" s="839" t="s">
        <v>1701</v>
      </c>
      <c r="F581" s="643"/>
      <c r="G581" s="643"/>
      <c r="H581" s="643"/>
      <c r="I581" s="643"/>
      <c r="J581" s="643"/>
      <c r="K581" s="643"/>
      <c r="L581" s="643"/>
      <c r="M581" s="643"/>
      <c r="N581" s="643"/>
      <c r="O581" s="643"/>
      <c r="P581" s="643"/>
      <c r="Q581" s="643"/>
      <c r="R581" s="643"/>
      <c r="S581" s="643"/>
      <c r="T581" s="643"/>
      <c r="U581" s="643"/>
      <c r="V581" s="643"/>
      <c r="W581" s="643"/>
      <c r="X581" s="643"/>
      <c r="Y581" s="643"/>
      <c r="Z581" s="643"/>
      <c r="AA581" s="643"/>
      <c r="AB581" s="643"/>
      <c r="AC581" s="537"/>
      <c r="AD581" s="537"/>
      <c r="AE581" s="617"/>
      <c r="AF581" s="617"/>
      <c r="AG581" s="617"/>
      <c r="AH581" s="617"/>
      <c r="AI581" s="617"/>
      <c r="AJ581" s="617"/>
      <c r="AK581" s="617"/>
      <c r="AL581" s="617"/>
      <c r="AN581" s="598"/>
    </row>
    <row r="582" spans="1:42" s="551" customFormat="1" ht="12.75" customHeight="1">
      <c r="B582" s="537"/>
      <c r="C582" s="617"/>
      <c r="D582" s="664"/>
      <c r="E582" s="839" t="s">
        <v>1702</v>
      </c>
      <c r="F582" s="643"/>
      <c r="G582" s="643"/>
      <c r="H582" s="643"/>
      <c r="I582" s="643"/>
      <c r="J582" s="643"/>
      <c r="K582" s="643"/>
      <c r="L582" s="643"/>
      <c r="M582" s="643"/>
      <c r="N582" s="643"/>
      <c r="O582" s="643"/>
      <c r="P582" s="643"/>
      <c r="Q582" s="643"/>
      <c r="R582" s="643"/>
      <c r="S582" s="643"/>
      <c r="T582" s="643"/>
      <c r="U582" s="643"/>
      <c r="V582" s="643"/>
      <c r="W582" s="643"/>
      <c r="X582" s="643"/>
      <c r="Y582" s="643"/>
      <c r="Z582" s="643"/>
      <c r="AA582" s="643"/>
      <c r="AB582" s="643"/>
      <c r="AC582" s="537"/>
      <c r="AD582" s="537"/>
      <c r="AE582" s="617"/>
      <c r="AF582" s="617"/>
      <c r="AG582" s="617"/>
      <c r="AH582" s="617"/>
      <c r="AI582" s="617"/>
      <c r="AJ582" s="617"/>
      <c r="AK582" s="617"/>
      <c r="AL582" s="617"/>
      <c r="AN582" s="598"/>
      <c r="AO582" s="22" t="s">
        <v>2176</v>
      </c>
      <c r="AP582" s="551" t="b">
        <f>IF(Application!AF418&gt;=25,TRUE,FALSE)</f>
        <v>1</v>
      </c>
    </row>
    <row r="583" spans="1:42" s="551" customFormat="1" ht="12.75" customHeight="1">
      <c r="B583" s="537"/>
      <c r="C583" s="617"/>
      <c r="D583" s="664"/>
      <c r="E583" s="839" t="s">
        <v>1703</v>
      </c>
      <c r="F583" s="643"/>
      <c r="G583" s="643"/>
      <c r="H583" s="643"/>
      <c r="I583" s="643"/>
      <c r="J583" s="643"/>
      <c r="K583" s="643"/>
      <c r="L583" s="643"/>
      <c r="M583" s="643"/>
      <c r="N583" s="643"/>
      <c r="O583" s="643"/>
      <c r="P583" s="643"/>
      <c r="Q583" s="643"/>
      <c r="R583" s="643"/>
      <c r="S583" s="643"/>
      <c r="T583" s="643"/>
      <c r="U583" s="643"/>
      <c r="V583" s="643"/>
      <c r="W583" s="643"/>
      <c r="X583" s="643"/>
      <c r="Y583" s="643"/>
      <c r="Z583" s="643"/>
      <c r="AA583" s="643"/>
      <c r="AB583" s="643"/>
      <c r="AC583" s="537"/>
      <c r="AD583" s="537"/>
      <c r="AE583" s="617"/>
      <c r="AF583" s="617"/>
      <c r="AG583" s="617"/>
      <c r="AH583" s="617"/>
      <c r="AI583" s="617"/>
      <c r="AJ583" s="617"/>
      <c r="AK583" s="617"/>
      <c r="AL583" s="617"/>
      <c r="AN583" s="598"/>
      <c r="AO583" s="22" t="s">
        <v>2177</v>
      </c>
      <c r="AP583" s="551" t="b">
        <f>Application!T199="Yes"</f>
        <v>0</v>
      </c>
    </row>
    <row r="584" spans="1:42" s="551" customFormat="1" ht="12.75" customHeight="1">
      <c r="B584" s="537"/>
      <c r="C584" s="617"/>
      <c r="D584" s="664"/>
      <c r="E584" s="839"/>
      <c r="F584" s="643"/>
      <c r="G584" s="643"/>
      <c r="H584" s="643"/>
      <c r="I584" s="643"/>
      <c r="J584" s="643"/>
      <c r="K584" s="643"/>
      <c r="L584" s="643"/>
      <c r="M584" s="643"/>
      <c r="N584" s="643"/>
      <c r="O584" s="643"/>
      <c r="P584" s="643"/>
      <c r="Q584" s="643"/>
      <c r="R584" s="643"/>
      <c r="S584" s="643"/>
      <c r="T584" s="643"/>
      <c r="U584" s="643"/>
      <c r="V584" s="643"/>
      <c r="W584" s="643"/>
      <c r="X584" s="643"/>
      <c r="Y584" s="643"/>
      <c r="Z584" s="643"/>
      <c r="AA584" s="643"/>
      <c r="AB584" s="643"/>
      <c r="AC584" s="537"/>
      <c r="AD584" s="537"/>
      <c r="AE584" s="617"/>
      <c r="AF584" s="537"/>
      <c r="AG584" s="537"/>
      <c r="AH584" s="537"/>
      <c r="AI584" s="537"/>
      <c r="AJ584" s="537"/>
      <c r="AK584" s="537"/>
      <c r="AL584" s="537"/>
      <c r="AN584" s="598"/>
    </row>
    <row r="585" spans="1:42" s="551" customFormat="1" ht="12.75" customHeight="1">
      <c r="A585" s="638"/>
      <c r="B585" s="537"/>
      <c r="C585" s="932"/>
      <c r="D585" s="664" t="s">
        <v>509</v>
      </c>
      <c r="E585" s="839" t="s">
        <v>1704</v>
      </c>
      <c r="F585" s="933"/>
      <c r="G585" s="933"/>
      <c r="H585" s="933"/>
      <c r="I585" s="933"/>
      <c r="J585" s="933"/>
      <c r="K585" s="933"/>
      <c r="L585" s="933"/>
      <c r="M585" s="933"/>
      <c r="N585" s="933"/>
      <c r="O585" s="933"/>
      <c r="P585" s="933"/>
      <c r="Q585" s="933"/>
      <c r="R585" s="933"/>
      <c r="S585" s="933"/>
      <c r="T585" s="933"/>
      <c r="U585" s="933"/>
      <c r="V585" s="933"/>
      <c r="W585" s="933"/>
      <c r="X585" s="933"/>
      <c r="Y585" s="933"/>
      <c r="Z585" s="933"/>
      <c r="AA585" s="933"/>
      <c r="AB585" s="933"/>
      <c r="AC585" s="537"/>
      <c r="AD585" s="537"/>
      <c r="AE585" s="537"/>
      <c r="AF585" s="2530" t="s">
        <v>1396</v>
      </c>
      <c r="AG585" s="2530"/>
      <c r="AH585" s="2530"/>
      <c r="AI585" s="2530"/>
      <c r="AJ585" s="2530"/>
      <c r="AK585" s="2530"/>
      <c r="AL585" s="2530"/>
      <c r="AN585" s="598"/>
    </row>
    <row r="586" spans="1:42" s="551" customFormat="1" ht="12.75" customHeight="1">
      <c r="B586" s="537"/>
      <c r="C586" s="934"/>
      <c r="D586" s="664"/>
      <c r="E586" s="839" t="s">
        <v>1705</v>
      </c>
      <c r="F586" s="933"/>
      <c r="G586" s="933"/>
      <c r="H586" s="933"/>
      <c r="I586" s="933"/>
      <c r="J586" s="933"/>
      <c r="K586" s="933"/>
      <c r="L586" s="933"/>
      <c r="M586" s="933"/>
      <c r="N586" s="933"/>
      <c r="O586" s="933"/>
      <c r="P586" s="933"/>
      <c r="Q586" s="933"/>
      <c r="R586" s="933"/>
      <c r="S586" s="933"/>
      <c r="T586" s="933"/>
      <c r="U586" s="933"/>
      <c r="V586" s="933"/>
      <c r="W586" s="933"/>
      <c r="X586" s="933"/>
      <c r="Y586" s="933"/>
      <c r="Z586" s="933"/>
      <c r="AA586" s="933"/>
      <c r="AB586" s="933"/>
      <c r="AC586" s="537"/>
      <c r="AD586" s="537"/>
      <c r="AE586" s="537"/>
      <c r="AF586" s="537"/>
      <c r="AG586" s="537"/>
      <c r="AH586" s="537"/>
      <c r="AI586" s="537"/>
      <c r="AJ586" s="537"/>
      <c r="AK586" s="537"/>
      <c r="AL586" s="537"/>
      <c r="AN586" s="598"/>
      <c r="AO586" s="551" t="s">
        <v>591</v>
      </c>
      <c r="AP586" s="674">
        <v>0</v>
      </c>
    </row>
    <row r="587" spans="1:42" s="551" customFormat="1" ht="12.75" customHeight="1">
      <c r="B587" s="611"/>
      <c r="C587" s="932"/>
      <c r="D587" s="664"/>
      <c r="E587" s="839" t="s">
        <v>1706</v>
      </c>
      <c r="F587" s="933"/>
      <c r="G587" s="933"/>
      <c r="H587" s="933"/>
      <c r="I587" s="933"/>
      <c r="J587" s="933"/>
      <c r="K587" s="933"/>
      <c r="L587" s="933"/>
      <c r="M587" s="933"/>
      <c r="N587" s="933"/>
      <c r="O587" s="933"/>
      <c r="P587" s="933"/>
      <c r="Q587" s="933"/>
      <c r="R587" s="933"/>
      <c r="S587" s="933"/>
      <c r="T587" s="933"/>
      <c r="U587" s="933"/>
      <c r="V587" s="933"/>
      <c r="W587" s="933"/>
      <c r="X587" s="933"/>
      <c r="Y587" s="933"/>
      <c r="Z587" s="933"/>
      <c r="AA587" s="933"/>
      <c r="AB587" s="933"/>
      <c r="AC587" s="537"/>
      <c r="AD587" s="537"/>
      <c r="AE587" s="537"/>
      <c r="AF587" s="537"/>
      <c r="AG587" s="537"/>
      <c r="AH587" s="537"/>
      <c r="AI587" s="537"/>
      <c r="AJ587" s="537"/>
      <c r="AK587" s="537"/>
      <c r="AL587" s="537"/>
      <c r="AN587" s="598"/>
      <c r="AO587" s="612" t="s">
        <v>687</v>
      </c>
      <c r="AP587" s="551">
        <f>7*AP582</f>
        <v>7</v>
      </c>
    </row>
    <row r="588" spans="1:42" s="551" customFormat="1" ht="12.75" customHeight="1">
      <c r="B588" s="611"/>
      <c r="C588" s="932"/>
      <c r="D588" s="664"/>
      <c r="E588" s="839" t="s">
        <v>1708</v>
      </c>
      <c r="F588" s="933"/>
      <c r="G588" s="933"/>
      <c r="H588" s="933"/>
      <c r="I588" s="933"/>
      <c r="J588" s="933"/>
      <c r="K588" s="933"/>
      <c r="L588" s="933"/>
      <c r="M588" s="933"/>
      <c r="N588" s="933"/>
      <c r="O588" s="933"/>
      <c r="P588" s="933"/>
      <c r="Q588" s="933"/>
      <c r="R588" s="933"/>
      <c r="S588" s="933"/>
      <c r="T588" s="933"/>
      <c r="U588" s="933"/>
      <c r="V588" s="933"/>
      <c r="W588" s="933"/>
      <c r="X588" s="933"/>
      <c r="Y588" s="933"/>
      <c r="Z588" s="933"/>
      <c r="AA588" s="933"/>
      <c r="AB588" s="933"/>
      <c r="AC588" s="537"/>
      <c r="AD588" s="537"/>
      <c r="AE588" s="537"/>
      <c r="AF588" s="537"/>
      <c r="AG588" s="537"/>
      <c r="AH588" s="537"/>
      <c r="AI588" s="537"/>
      <c r="AJ588" s="537"/>
      <c r="AK588" s="537"/>
      <c r="AL588" s="537"/>
      <c r="AN588" s="598"/>
      <c r="AO588" s="612" t="s">
        <v>509</v>
      </c>
      <c r="AP588" s="551">
        <v>6</v>
      </c>
    </row>
    <row r="589" spans="1:42" s="551" customFormat="1" ht="12.75" customHeight="1">
      <c r="B589" s="611"/>
      <c r="C589" s="932"/>
      <c r="D589" s="664"/>
      <c r="E589" s="839" t="s">
        <v>1707</v>
      </c>
      <c r="F589" s="933"/>
      <c r="G589" s="933"/>
      <c r="H589" s="933"/>
      <c r="I589" s="933"/>
      <c r="J589" s="933"/>
      <c r="K589" s="933"/>
      <c r="L589" s="933"/>
      <c r="M589" s="933"/>
      <c r="N589" s="933"/>
      <c r="O589" s="933"/>
      <c r="P589" s="933"/>
      <c r="Q589" s="933"/>
      <c r="R589" s="933"/>
      <c r="S589" s="933"/>
      <c r="T589" s="933"/>
      <c r="U589" s="933"/>
      <c r="V589" s="933"/>
      <c r="W589" s="933"/>
      <c r="X589" s="933"/>
      <c r="Y589" s="933"/>
      <c r="Z589" s="933"/>
      <c r="AA589" s="933"/>
      <c r="AB589" s="933"/>
      <c r="AC589" s="537"/>
      <c r="AD589" s="537"/>
      <c r="AE589" s="537"/>
      <c r="AF589" s="537"/>
      <c r="AG589" s="537"/>
      <c r="AH589" s="537"/>
      <c r="AI589" s="537"/>
      <c r="AJ589" s="537"/>
      <c r="AK589" s="537"/>
      <c r="AL589" s="537"/>
      <c r="AN589" s="598"/>
      <c r="AO589" s="612" t="s">
        <v>278</v>
      </c>
      <c r="AP589" s="551">
        <v>5</v>
      </c>
    </row>
    <row r="590" spans="1:42" s="551" customFormat="1" ht="12.75" customHeight="1">
      <c r="B590" s="611"/>
      <c r="C590" s="932"/>
      <c r="D590" s="664"/>
      <c r="E590" s="935"/>
      <c r="F590" s="936"/>
      <c r="G590" s="936"/>
      <c r="H590" s="936"/>
      <c r="I590" s="617"/>
      <c r="J590" s="617"/>
      <c r="K590" s="617"/>
      <c r="L590" s="617"/>
      <c r="M590" s="617"/>
      <c r="N590" s="617"/>
      <c r="O590" s="617"/>
      <c r="P590" s="617"/>
      <c r="Q590" s="617"/>
      <c r="R590" s="617"/>
      <c r="S590" s="617"/>
      <c r="T590" s="617"/>
      <c r="U590" s="617"/>
      <c r="V590" s="617"/>
      <c r="W590" s="617"/>
      <c r="X590" s="617"/>
      <c r="Y590" s="617"/>
      <c r="Z590" s="617"/>
      <c r="AA590" s="617"/>
      <c r="AB590" s="617"/>
      <c r="AC590" s="537"/>
      <c r="AD590" s="537"/>
      <c r="AE590" s="617"/>
      <c r="AF590" s="537"/>
      <c r="AG590" s="537"/>
      <c r="AH590" s="537"/>
      <c r="AI590" s="537"/>
      <c r="AJ590" s="537"/>
      <c r="AK590" s="537"/>
      <c r="AL590" s="537"/>
      <c r="AN590" s="598"/>
      <c r="AO590" s="612" t="s">
        <v>1397</v>
      </c>
      <c r="AP590" s="551">
        <v>4</v>
      </c>
    </row>
    <row r="591" spans="1:42" s="551" customFormat="1" ht="12.75" customHeight="1">
      <c r="B591" s="537"/>
      <c r="C591" s="932"/>
      <c r="D591" s="664" t="s">
        <v>278</v>
      </c>
      <c r="E591" s="839" t="s">
        <v>1709</v>
      </c>
      <c r="F591" s="933"/>
      <c r="G591" s="933"/>
      <c r="H591" s="933"/>
      <c r="I591" s="933"/>
      <c r="J591" s="933"/>
      <c r="K591" s="933"/>
      <c r="L591" s="933"/>
      <c r="M591" s="933"/>
      <c r="N591" s="933"/>
      <c r="O591" s="933"/>
      <c r="P591" s="933"/>
      <c r="Q591" s="933"/>
      <c r="R591" s="933"/>
      <c r="S591" s="933"/>
      <c r="T591" s="933"/>
      <c r="U591" s="933"/>
      <c r="V591" s="933"/>
      <c r="W591" s="933"/>
      <c r="X591" s="933"/>
      <c r="Y591" s="933"/>
      <c r="Z591" s="933"/>
      <c r="AA591" s="933"/>
      <c r="AB591" s="933"/>
      <c r="AC591" s="537"/>
      <c r="AD591" s="537"/>
      <c r="AE591" s="537"/>
      <c r="AF591" s="2530" t="s">
        <v>1378</v>
      </c>
      <c r="AG591" s="2530"/>
      <c r="AH591" s="2530"/>
      <c r="AI591" s="2530"/>
      <c r="AJ591" s="2530"/>
      <c r="AK591" s="2530"/>
      <c r="AL591" s="2530"/>
      <c r="AN591" s="598"/>
      <c r="AO591" s="612" t="s">
        <v>1398</v>
      </c>
      <c r="AP591" s="551">
        <v>3</v>
      </c>
    </row>
    <row r="592" spans="1:42" s="551" customFormat="1" ht="12.75" customHeight="1">
      <c r="B592" s="537"/>
      <c r="C592" s="934"/>
      <c r="D592" s="664"/>
      <c r="E592" s="839" t="s">
        <v>1705</v>
      </c>
      <c r="F592" s="933"/>
      <c r="G592" s="933"/>
      <c r="H592" s="933"/>
      <c r="I592" s="933"/>
      <c r="J592" s="933"/>
      <c r="K592" s="933"/>
      <c r="L592" s="933"/>
      <c r="M592" s="933"/>
      <c r="N592" s="933"/>
      <c r="O592" s="933"/>
      <c r="P592" s="933"/>
      <c r="Q592" s="933"/>
      <c r="R592" s="933"/>
      <c r="S592" s="933"/>
      <c r="T592" s="933"/>
      <c r="U592" s="933"/>
      <c r="V592" s="933"/>
      <c r="W592" s="933"/>
      <c r="X592" s="933"/>
      <c r="Y592" s="933"/>
      <c r="Z592" s="933"/>
      <c r="AA592" s="933"/>
      <c r="AB592" s="933"/>
      <c r="AC592" s="537"/>
      <c r="AD592" s="537"/>
      <c r="AE592" s="537"/>
      <c r="AF592" s="537"/>
      <c r="AG592" s="537"/>
      <c r="AH592" s="537"/>
      <c r="AI592" s="537"/>
      <c r="AJ592" s="537"/>
      <c r="AK592" s="537"/>
      <c r="AL592" s="537"/>
      <c r="AN592" s="598"/>
    </row>
    <row r="593" spans="1:53" s="551" customFormat="1" ht="12.75" customHeight="1">
      <c r="B593" s="537"/>
      <c r="C593" s="934"/>
      <c r="D593" s="664"/>
      <c r="E593" s="839" t="s">
        <v>1706</v>
      </c>
      <c r="F593" s="933"/>
      <c r="G593" s="933"/>
      <c r="H593" s="933"/>
      <c r="I593" s="933"/>
      <c r="J593" s="933"/>
      <c r="K593" s="933"/>
      <c r="L593" s="933"/>
      <c r="M593" s="933"/>
      <c r="N593" s="933"/>
      <c r="O593" s="933"/>
      <c r="P593" s="933"/>
      <c r="Q593" s="933"/>
      <c r="R593" s="933"/>
      <c r="S593" s="933"/>
      <c r="T593" s="933"/>
      <c r="U593" s="933"/>
      <c r="V593" s="933"/>
      <c r="W593" s="933"/>
      <c r="X593" s="933"/>
      <c r="Y593" s="933"/>
      <c r="Z593" s="933"/>
      <c r="AA593" s="933"/>
      <c r="AB593" s="933"/>
      <c r="AC593" s="537"/>
      <c r="AD593" s="537"/>
      <c r="AE593" s="537"/>
      <c r="AF593" s="537"/>
      <c r="AG593" s="537"/>
      <c r="AH593" s="537"/>
      <c r="AI593" s="537"/>
      <c r="AJ593" s="537"/>
      <c r="AK593" s="537"/>
      <c r="AL593" s="537"/>
      <c r="AN593" s="598"/>
      <c r="AO593" s="22" t="s">
        <v>2179</v>
      </c>
    </row>
    <row r="594" spans="1:53" s="551" customFormat="1" ht="12.75" customHeight="1">
      <c r="B594" s="537"/>
      <c r="C594" s="934"/>
      <c r="D594" s="664"/>
      <c r="E594" s="839" t="s">
        <v>1708</v>
      </c>
      <c r="F594" s="933"/>
      <c r="G594" s="933"/>
      <c r="H594" s="933"/>
      <c r="I594" s="933"/>
      <c r="J594" s="933"/>
      <c r="K594" s="933"/>
      <c r="L594" s="933"/>
      <c r="M594" s="933"/>
      <c r="N594" s="933"/>
      <c r="O594" s="933"/>
      <c r="P594" s="933"/>
      <c r="Q594" s="933"/>
      <c r="R594" s="933"/>
      <c r="S594" s="933"/>
      <c r="T594" s="933"/>
      <c r="U594" s="933"/>
      <c r="V594" s="933"/>
      <c r="W594" s="933"/>
      <c r="X594" s="933"/>
      <c r="Y594" s="933"/>
      <c r="Z594" s="933"/>
      <c r="AA594" s="933"/>
      <c r="AB594" s="933"/>
      <c r="AC594" s="537"/>
      <c r="AD594" s="537"/>
      <c r="AE594" s="537"/>
      <c r="AF594" s="537"/>
      <c r="AG594" s="537"/>
      <c r="AH594" s="537"/>
      <c r="AI594" s="537"/>
      <c r="AJ594" s="537"/>
      <c r="AK594" s="537"/>
      <c r="AL594" s="537"/>
      <c r="AN594" s="598"/>
      <c r="AO594" s="22" t="s">
        <v>2180</v>
      </c>
    </row>
    <row r="595" spans="1:53" s="551" customFormat="1" ht="12.75" customHeight="1">
      <c r="B595" s="537"/>
      <c r="C595" s="934"/>
      <c r="D595" s="664"/>
      <c r="E595" s="839" t="s">
        <v>1707</v>
      </c>
      <c r="F595" s="933"/>
      <c r="G595" s="933"/>
      <c r="H595" s="933"/>
      <c r="I595" s="933"/>
      <c r="J595" s="933"/>
      <c r="K595" s="933"/>
      <c r="L595" s="933"/>
      <c r="M595" s="933"/>
      <c r="N595" s="933"/>
      <c r="O595" s="933"/>
      <c r="P595" s="933"/>
      <c r="Q595" s="933"/>
      <c r="R595" s="933"/>
      <c r="S595" s="933"/>
      <c r="T595" s="933"/>
      <c r="U595" s="933"/>
      <c r="V595" s="933"/>
      <c r="W595" s="933"/>
      <c r="X595" s="933"/>
      <c r="Y595" s="933"/>
      <c r="Z595" s="933"/>
      <c r="AA595" s="933"/>
      <c r="AB595" s="933"/>
      <c r="AC595" s="537"/>
      <c r="AD595" s="537"/>
      <c r="AE595" s="537"/>
      <c r="AF595" s="537"/>
      <c r="AG595" s="537"/>
      <c r="AH595" s="537"/>
      <c r="AI595" s="537"/>
      <c r="AJ595" s="537"/>
      <c r="AK595" s="537"/>
      <c r="AL595" s="537"/>
      <c r="AN595" s="598"/>
      <c r="AO595" s="22" t="s">
        <v>2181</v>
      </c>
    </row>
    <row r="596" spans="1:53" s="551" customFormat="1" ht="12.75" customHeight="1">
      <c r="A596" s="14"/>
      <c r="B596" s="14"/>
      <c r="C596" s="14"/>
      <c r="D596" s="664"/>
      <c r="E596" s="675"/>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7"/>
      <c r="AD596" s="537"/>
      <c r="AE596" s="14"/>
      <c r="AF596" s="537"/>
      <c r="AG596" s="537"/>
      <c r="AH596" s="537"/>
      <c r="AI596" s="537"/>
      <c r="AJ596" s="537"/>
      <c r="AK596" s="537"/>
      <c r="AL596" s="537"/>
      <c r="AM596" s="14"/>
      <c r="AN596" s="598"/>
    </row>
    <row r="597" spans="1:53" s="551" customFormat="1" ht="12.75" customHeight="1">
      <c r="B597" s="537"/>
      <c r="C597" s="932"/>
      <c r="D597" s="664" t="s">
        <v>1397</v>
      </c>
      <c r="E597" s="839" t="s">
        <v>1710</v>
      </c>
      <c r="F597" s="933"/>
      <c r="G597" s="933"/>
      <c r="H597" s="933"/>
      <c r="I597" s="933"/>
      <c r="J597" s="933"/>
      <c r="K597" s="933"/>
      <c r="L597" s="933"/>
      <c r="M597" s="933"/>
      <c r="N597" s="933"/>
      <c r="O597" s="933"/>
      <c r="P597" s="933"/>
      <c r="Q597" s="933"/>
      <c r="R597" s="933"/>
      <c r="S597" s="933"/>
      <c r="T597" s="933"/>
      <c r="U597" s="933"/>
      <c r="V597" s="933"/>
      <c r="W597" s="933"/>
      <c r="X597" s="933"/>
      <c r="Y597" s="933"/>
      <c r="Z597" s="933"/>
      <c r="AA597" s="933"/>
      <c r="AB597" s="933"/>
      <c r="AC597" s="537"/>
      <c r="AD597" s="537"/>
      <c r="AE597" s="537"/>
      <c r="AF597" s="2530" t="s">
        <v>1399</v>
      </c>
      <c r="AG597" s="2530"/>
      <c r="AH597" s="2530"/>
      <c r="AI597" s="2530"/>
      <c r="AJ597" s="2530"/>
      <c r="AK597" s="2530"/>
      <c r="AL597" s="2530"/>
      <c r="AN597" s="598"/>
      <c r="AO597" s="551" t="str">
        <f>X634</f>
        <v>N/A</v>
      </c>
    </row>
    <row r="598" spans="1:53" s="551" customFormat="1" ht="12.75" customHeight="1">
      <c r="B598" s="537"/>
      <c r="C598" s="934"/>
      <c r="D598" s="664"/>
      <c r="E598" s="839" t="s">
        <v>1711</v>
      </c>
      <c r="F598" s="933"/>
      <c r="G598" s="933"/>
      <c r="H598" s="933"/>
      <c r="I598" s="933"/>
      <c r="J598" s="933"/>
      <c r="K598" s="933"/>
      <c r="L598" s="933"/>
      <c r="M598" s="933"/>
      <c r="N598" s="933"/>
      <c r="O598" s="933"/>
      <c r="P598" s="933"/>
      <c r="Q598" s="933"/>
      <c r="R598" s="933"/>
      <c r="S598" s="933"/>
      <c r="T598" s="933"/>
      <c r="U598" s="933"/>
      <c r="V598" s="933"/>
      <c r="W598" s="933"/>
      <c r="X598" s="933"/>
      <c r="Y598" s="933"/>
      <c r="Z598" s="933"/>
      <c r="AA598" s="933"/>
      <c r="AB598" s="933"/>
      <c r="AC598" s="14"/>
      <c r="AD598" s="14"/>
      <c r="AE598" s="537"/>
      <c r="AF598" s="537"/>
      <c r="AG598" s="537"/>
      <c r="AH598" s="537"/>
      <c r="AI598" s="537"/>
      <c r="AJ598" s="537"/>
      <c r="AK598" s="537"/>
      <c r="AL598" s="537"/>
      <c r="AN598" s="598"/>
      <c r="AU598" s="595"/>
      <c r="AV598" s="595"/>
      <c r="AW598" s="595"/>
      <c r="AX598" s="595"/>
      <c r="AY598" s="595"/>
      <c r="AZ598" s="595"/>
      <c r="BA598" s="595"/>
    </row>
    <row r="599" spans="1:53" s="551" customFormat="1" ht="12.75" customHeight="1">
      <c r="B599" s="611"/>
      <c r="C599" s="932"/>
      <c r="D599" s="664"/>
      <c r="E599" s="839" t="s">
        <v>1712</v>
      </c>
      <c r="F599" s="933"/>
      <c r="G599" s="933"/>
      <c r="H599" s="933"/>
      <c r="I599" s="933"/>
      <c r="J599" s="933"/>
      <c r="K599" s="933"/>
      <c r="L599" s="933"/>
      <c r="M599" s="933"/>
      <c r="N599" s="933"/>
      <c r="O599" s="933"/>
      <c r="P599" s="933"/>
      <c r="Q599" s="933"/>
      <c r="R599" s="933"/>
      <c r="S599" s="933"/>
      <c r="T599" s="933"/>
      <c r="U599" s="933"/>
      <c r="V599" s="933"/>
      <c r="W599" s="933"/>
      <c r="X599" s="933"/>
      <c r="Y599" s="933"/>
      <c r="Z599" s="933"/>
      <c r="AA599" s="933"/>
      <c r="AB599" s="933"/>
      <c r="AC599" s="537"/>
      <c r="AD599" s="537"/>
      <c r="AE599" s="537"/>
      <c r="AF599" s="537"/>
      <c r="AG599" s="537"/>
      <c r="AH599" s="537"/>
      <c r="AI599" s="537"/>
      <c r="AJ599" s="537"/>
      <c r="AK599" s="537"/>
      <c r="AL599" s="537"/>
      <c r="AN599" s="598"/>
      <c r="AO599" s="22" t="s">
        <v>2182</v>
      </c>
    </row>
    <row r="600" spans="1:53" s="551" customFormat="1" ht="12.75" customHeight="1">
      <c r="B600" s="611"/>
      <c r="C600" s="932"/>
      <c r="D600" s="664"/>
      <c r="E600" s="839"/>
      <c r="F600" s="933"/>
      <c r="G600" s="933"/>
      <c r="H600" s="933"/>
      <c r="I600" s="933"/>
      <c r="J600" s="933"/>
      <c r="K600" s="933"/>
      <c r="L600" s="933"/>
      <c r="M600" s="933"/>
      <c r="N600" s="933"/>
      <c r="O600" s="933"/>
      <c r="P600" s="933"/>
      <c r="Q600" s="933"/>
      <c r="R600" s="933"/>
      <c r="S600" s="933"/>
      <c r="T600" s="933"/>
      <c r="U600" s="933"/>
      <c r="V600" s="933"/>
      <c r="W600" s="933"/>
      <c r="X600" s="933"/>
      <c r="Y600" s="933"/>
      <c r="Z600" s="933"/>
      <c r="AA600" s="933"/>
      <c r="AB600" s="933"/>
      <c r="AC600" s="537"/>
      <c r="AD600" s="537"/>
      <c r="AE600" s="537"/>
      <c r="AF600" s="537"/>
      <c r="AG600" s="537"/>
      <c r="AH600" s="537"/>
      <c r="AI600" s="537"/>
      <c r="AJ600" s="537"/>
      <c r="AK600" s="537"/>
      <c r="AL600" s="537"/>
      <c r="AN600" s="598"/>
      <c r="AO600" s="22" t="s">
        <v>2183</v>
      </c>
    </row>
    <row r="601" spans="1:53" s="551" customFormat="1" ht="12.75" customHeight="1">
      <c r="B601" s="611"/>
      <c r="C601" s="932"/>
      <c r="D601" s="664"/>
      <c r="E601" s="537" t="s">
        <v>1866</v>
      </c>
      <c r="O601" s="2546" t="s">
        <v>1184</v>
      </c>
      <c r="P601" s="2546"/>
      <c r="Q601" s="2546"/>
      <c r="R601" s="2546"/>
      <c r="S601" s="2546"/>
      <c r="T601" s="2546"/>
      <c r="U601" s="2546"/>
      <c r="V601" s="2546"/>
      <c r="W601" s="2546"/>
      <c r="X601" s="2546"/>
      <c r="Y601" s="2546"/>
      <c r="Z601" s="2546"/>
      <c r="AA601" s="2546"/>
      <c r="AB601" s="2546"/>
      <c r="AH601" s="537"/>
      <c r="AI601" s="537"/>
      <c r="AJ601" s="537"/>
      <c r="AK601" s="537"/>
      <c r="AL601" s="537"/>
      <c r="AN601" s="598"/>
    </row>
    <row r="602" spans="1:53" s="551" customFormat="1" ht="12.75" customHeight="1">
      <c r="B602" s="611"/>
      <c r="C602" s="932"/>
      <c r="D602" s="664"/>
      <c r="E602" s="839"/>
      <c r="F602" s="933"/>
      <c r="G602" s="933"/>
      <c r="H602" s="933"/>
      <c r="I602" s="933"/>
      <c r="J602" s="933"/>
      <c r="K602" s="933"/>
      <c r="L602" s="933"/>
      <c r="M602" s="933"/>
      <c r="N602" s="933"/>
      <c r="O602" s="933"/>
      <c r="P602" s="933"/>
      <c r="Q602" s="933"/>
      <c r="R602" s="933"/>
      <c r="S602" s="933"/>
      <c r="T602" s="933"/>
      <c r="U602" s="933"/>
      <c r="V602" s="933"/>
      <c r="W602" s="933"/>
      <c r="X602" s="933"/>
      <c r="Y602" s="933"/>
      <c r="Z602" s="933"/>
      <c r="AA602" s="933"/>
      <c r="AB602" s="933"/>
      <c r="AC602" s="537"/>
      <c r="AD602" s="537"/>
      <c r="AE602" s="537"/>
      <c r="AF602" s="537"/>
      <c r="AG602" s="537"/>
      <c r="AH602" s="537"/>
      <c r="AI602" s="537"/>
      <c r="AJ602" s="537"/>
      <c r="AK602" s="537"/>
      <c r="AL602" s="537"/>
      <c r="AN602" s="598"/>
    </row>
    <row r="603" spans="1:53" s="551" customFormat="1" ht="12.75" customHeight="1">
      <c r="B603" s="537"/>
      <c r="C603" s="932"/>
      <c r="D603" s="664" t="s">
        <v>1398</v>
      </c>
      <c r="E603" s="839" t="s">
        <v>1714</v>
      </c>
      <c r="F603" s="933"/>
      <c r="G603" s="933"/>
      <c r="H603" s="933"/>
      <c r="I603" s="933"/>
      <c r="J603" s="933"/>
      <c r="K603" s="933"/>
      <c r="L603" s="933"/>
      <c r="M603" s="933"/>
      <c r="N603" s="933"/>
      <c r="O603" s="933"/>
      <c r="P603" s="933"/>
      <c r="Q603" s="933"/>
      <c r="R603" s="933"/>
      <c r="S603" s="933"/>
      <c r="T603" s="933"/>
      <c r="U603" s="933"/>
      <c r="V603" s="933"/>
      <c r="W603" s="933"/>
      <c r="X603" s="933"/>
      <c r="Y603" s="933"/>
      <c r="Z603" s="933"/>
      <c r="AA603" s="933"/>
      <c r="AB603" s="933"/>
      <c r="AC603" s="537"/>
      <c r="AD603" s="537"/>
      <c r="AE603" s="537"/>
      <c r="AF603" s="2530" t="s">
        <v>1352</v>
      </c>
      <c r="AG603" s="2530"/>
      <c r="AH603" s="2530"/>
      <c r="AI603" s="2530"/>
      <c r="AJ603" s="2530"/>
      <c r="AK603" s="2530"/>
      <c r="AL603" s="2530"/>
      <c r="AN603" s="598"/>
    </row>
    <row r="604" spans="1:53" s="551" customFormat="1" ht="12.75" customHeight="1">
      <c r="B604" s="537"/>
      <c r="C604" s="932"/>
      <c r="D604" s="664"/>
      <c r="E604" s="839" t="s">
        <v>1713</v>
      </c>
      <c r="F604" s="933"/>
      <c r="G604" s="933"/>
      <c r="H604" s="933"/>
      <c r="I604" s="933"/>
      <c r="J604" s="933"/>
      <c r="K604" s="933"/>
      <c r="L604" s="933"/>
      <c r="M604" s="933"/>
      <c r="N604" s="933"/>
      <c r="O604" s="933"/>
      <c r="P604" s="933"/>
      <c r="Q604" s="933"/>
      <c r="R604" s="933"/>
      <c r="S604" s="933"/>
      <c r="T604" s="933"/>
      <c r="U604" s="933"/>
      <c r="V604" s="933"/>
      <c r="W604" s="933"/>
      <c r="X604" s="933"/>
      <c r="Y604" s="933"/>
      <c r="Z604" s="933"/>
      <c r="AA604" s="933"/>
      <c r="AB604" s="933"/>
      <c r="AC604" s="537"/>
      <c r="AD604" s="537"/>
      <c r="AE604" s="595"/>
      <c r="AF604" s="537"/>
      <c r="AG604" s="537"/>
      <c r="AH604" s="537"/>
      <c r="AI604" s="537"/>
      <c r="AJ604" s="537"/>
      <c r="AK604" s="537"/>
      <c r="AL604" s="537"/>
      <c r="AN604" s="598"/>
    </row>
    <row r="605" spans="1:53" s="551" customFormat="1" ht="12.75" customHeight="1">
      <c r="B605" s="537"/>
      <c r="C605" s="934"/>
      <c r="D605" s="537"/>
      <c r="E605" s="617"/>
      <c r="F605" s="937"/>
      <c r="G605" s="937"/>
      <c r="H605" s="937"/>
      <c r="I605" s="937"/>
      <c r="J605" s="937"/>
      <c r="K605" s="937"/>
      <c r="L605" s="937"/>
      <c r="M605" s="937"/>
      <c r="N605" s="937"/>
      <c r="O605" s="937"/>
      <c r="P605" s="937"/>
      <c r="Q605" s="937"/>
      <c r="R605" s="937"/>
      <c r="S605" s="937"/>
      <c r="T605" s="937"/>
      <c r="U605" s="937"/>
      <c r="V605" s="937"/>
      <c r="W605" s="937"/>
      <c r="X605" s="937"/>
      <c r="Y605" s="937"/>
      <c r="Z605" s="937"/>
      <c r="AA605" s="937"/>
      <c r="AB605" s="937"/>
      <c r="AC605" s="537"/>
      <c r="AD605" s="537"/>
      <c r="AE605" s="537"/>
      <c r="AF605" s="537"/>
      <c r="AG605" s="537"/>
      <c r="AH605" s="537"/>
      <c r="AI605" s="537"/>
      <c r="AJ605" s="537"/>
      <c r="AK605" s="537"/>
      <c r="AL605" s="537"/>
      <c r="AN605" s="598"/>
      <c r="AO605" s="551" t="s">
        <v>591</v>
      </c>
      <c r="AP605" s="674">
        <v>0</v>
      </c>
      <c r="AT605" s="551" t="s">
        <v>591</v>
      </c>
      <c r="AU605" s="674">
        <v>0</v>
      </c>
    </row>
    <row r="606" spans="1:53" s="551" customFormat="1" ht="12.75" customHeight="1">
      <c r="B606" s="537"/>
      <c r="C606" s="934"/>
      <c r="D606" s="537" t="s">
        <v>1400</v>
      </c>
      <c r="E606" s="937"/>
      <c r="F606" s="937"/>
      <c r="G606" s="937"/>
      <c r="H606" s="2454" t="s">
        <v>278</v>
      </c>
      <c r="I606" s="2454"/>
      <c r="J606" s="937"/>
      <c r="K606" s="937"/>
      <c r="L606" s="937"/>
      <c r="N606" s="22"/>
      <c r="O606" s="22"/>
      <c r="P606" s="22"/>
      <c r="Q606" s="1153" t="s">
        <v>2178</v>
      </c>
      <c r="R606" s="2547"/>
      <c r="S606" s="2547"/>
      <c r="T606" s="2547"/>
      <c r="U606" s="2547"/>
      <c r="V606" s="2547"/>
      <c r="W606" s="2547"/>
      <c r="X606" s="537"/>
      <c r="Y606" s="537"/>
      <c r="Z606" s="537"/>
      <c r="AA606" s="537"/>
      <c r="AB606" s="537"/>
      <c r="AC606" s="537"/>
      <c r="AD606" s="537"/>
      <c r="AE606" s="537"/>
      <c r="AF606" s="537"/>
      <c r="AG606" s="537"/>
      <c r="AH606" s="537"/>
      <c r="AI606" s="537"/>
      <c r="AJ606" s="537"/>
      <c r="AK606" s="537"/>
      <c r="AL606" s="537"/>
      <c r="AN606" s="598"/>
      <c r="AO606" s="612" t="s">
        <v>687</v>
      </c>
      <c r="AP606" s="551">
        <v>3</v>
      </c>
      <c r="AT606" s="612" t="s">
        <v>687</v>
      </c>
      <c r="AU606" s="551">
        <v>3</v>
      </c>
    </row>
    <row r="607" spans="1:53" s="551" customFormat="1" ht="12.75" customHeight="1">
      <c r="B607" s="537"/>
      <c r="C607" s="934"/>
      <c r="D607" s="537"/>
      <c r="E607" s="937"/>
      <c r="F607" s="937"/>
      <c r="G607" s="937"/>
      <c r="H607" s="937"/>
      <c r="I607" s="937"/>
      <c r="J607" s="937"/>
      <c r="K607" s="937"/>
      <c r="L607" s="937"/>
      <c r="M607" s="937"/>
      <c r="N607" s="537"/>
      <c r="O607" s="537"/>
      <c r="P607" s="537"/>
      <c r="Q607" s="537"/>
      <c r="R607" s="537"/>
      <c r="S607" s="537"/>
      <c r="T607" s="537"/>
      <c r="U607" s="537"/>
      <c r="V607" s="537"/>
      <c r="W607" s="537"/>
      <c r="X607" s="537"/>
      <c r="Y607" s="2548" t="str">
        <f>IF(AND(H606="(i)",NOT(AP582)),AO599,IF(AND(H606="(iv)",OR(R606=AO595,R606=AO594),NOT(AP583)),AO600,""))</f>
        <v/>
      </c>
      <c r="Z607" s="2548"/>
      <c r="AA607" s="2548"/>
      <c r="AB607" s="2548"/>
      <c r="AC607" s="2548"/>
      <c r="AD607" s="2548"/>
      <c r="AE607" s="2548"/>
      <c r="AF607" s="2548"/>
      <c r="AG607" s="2548"/>
      <c r="AH607" s="2548"/>
      <c r="AI607" s="2548"/>
      <c r="AJ607" s="2548"/>
      <c r="AK607" s="2548"/>
      <c r="AL607" s="2548"/>
      <c r="AM607" s="2549"/>
      <c r="AN607" s="598"/>
      <c r="AO607" s="612" t="s">
        <v>509</v>
      </c>
      <c r="AP607" s="551">
        <v>2</v>
      </c>
      <c r="AT607" s="612" t="s">
        <v>509</v>
      </c>
      <c r="AU607" s="551">
        <v>2</v>
      </c>
    </row>
    <row r="608" spans="1:53" s="551" customFormat="1" ht="12.75" customHeight="1">
      <c r="B608" s="537"/>
      <c r="C608" s="934"/>
      <c r="D608" s="537"/>
      <c r="E608" s="937"/>
      <c r="F608" s="937"/>
      <c r="G608" s="937"/>
      <c r="H608" s="937"/>
      <c r="I608" s="937"/>
      <c r="J608" s="937"/>
      <c r="K608" s="937"/>
      <c r="L608" s="937"/>
      <c r="M608" s="937"/>
      <c r="N608" s="537"/>
      <c r="O608" s="537"/>
      <c r="P608" s="537"/>
      <c r="Q608" s="537"/>
      <c r="X608" s="537"/>
      <c r="Y608" s="2548"/>
      <c r="Z608" s="2548"/>
      <c r="AA608" s="2548"/>
      <c r="AB608" s="2548"/>
      <c r="AC608" s="2548"/>
      <c r="AD608" s="2548"/>
      <c r="AE608" s="2548"/>
      <c r="AF608" s="2548"/>
      <c r="AG608" s="2548"/>
      <c r="AH608" s="2548"/>
      <c r="AI608" s="2548"/>
      <c r="AJ608" s="2548"/>
      <c r="AK608" s="2548"/>
      <c r="AL608" s="2548"/>
      <c r="AM608" s="2549"/>
      <c r="AN608" s="598"/>
      <c r="AO608" s="612"/>
      <c r="AT608" s="612"/>
    </row>
    <row r="609" spans="1:42" s="551" customFormat="1" ht="12.75" customHeight="1">
      <c r="B609" s="537"/>
      <c r="C609" s="934"/>
      <c r="D609" s="537" t="s">
        <v>1715</v>
      </c>
      <c r="E609" s="937"/>
      <c r="F609" s="937"/>
      <c r="G609" s="937"/>
      <c r="H609" s="937"/>
      <c r="I609" s="937"/>
      <c r="J609" s="937"/>
      <c r="K609" s="937"/>
      <c r="L609" s="937"/>
      <c r="M609" s="937"/>
      <c r="N609" s="537"/>
      <c r="O609" s="537"/>
      <c r="P609" s="537"/>
      <c r="Q609" s="537"/>
      <c r="R609" s="537"/>
      <c r="S609" s="537"/>
      <c r="T609" s="537"/>
      <c r="U609" s="537"/>
      <c r="V609" s="537"/>
      <c r="W609" s="537"/>
      <c r="X609" s="537"/>
      <c r="Y609" s="537"/>
      <c r="Z609" s="537"/>
      <c r="AA609" s="537"/>
      <c r="AB609" s="537"/>
      <c r="AC609" s="537"/>
      <c r="AD609" s="537"/>
      <c r="AE609" s="537"/>
      <c r="AF609" s="537"/>
      <c r="AG609" s="537"/>
      <c r="AH609" s="537"/>
      <c r="AI609" s="537"/>
      <c r="AJ609" s="537"/>
      <c r="AK609" s="537"/>
      <c r="AL609" s="537"/>
      <c r="AN609" s="598"/>
    </row>
    <row r="610" spans="1:42" s="551" customFormat="1" ht="12.75" customHeight="1">
      <c r="B610" s="537"/>
      <c r="C610" s="934"/>
      <c r="D610" s="537" t="s">
        <v>1716</v>
      </c>
      <c r="E610" s="937"/>
      <c r="F610" s="937"/>
      <c r="G610" s="937"/>
      <c r="H610" s="937"/>
      <c r="I610" s="937"/>
      <c r="J610" s="937"/>
      <c r="K610" s="937"/>
      <c r="L610" s="937"/>
      <c r="M610" s="937"/>
      <c r="N610" s="537"/>
      <c r="O610" s="537"/>
      <c r="P610" s="537"/>
      <c r="Q610" s="537"/>
      <c r="R610" s="537"/>
      <c r="S610" s="537"/>
      <c r="T610" s="537"/>
      <c r="U610" s="537"/>
      <c r="V610" s="537"/>
      <c r="W610" s="537"/>
      <c r="X610" s="537"/>
      <c r="Y610" s="537"/>
      <c r="Z610" s="537"/>
      <c r="AA610" s="537"/>
      <c r="AB610" s="537"/>
      <c r="AC610" s="537"/>
      <c r="AD610" s="537"/>
      <c r="AE610" s="537"/>
      <c r="AF610" s="537"/>
      <c r="AG610" s="537"/>
      <c r="AH610" s="537"/>
      <c r="AI610" s="537"/>
      <c r="AJ610" s="537"/>
      <c r="AK610" s="537"/>
      <c r="AL610" s="537"/>
      <c r="AN610" s="598"/>
    </row>
    <row r="611" spans="1:42" s="551" customFormat="1" ht="12.75" customHeight="1">
      <c r="B611" s="537"/>
      <c r="C611" s="934"/>
      <c r="D611" s="537" t="s">
        <v>1717</v>
      </c>
      <c r="E611" s="937"/>
      <c r="F611" s="937"/>
      <c r="G611" s="937"/>
      <c r="H611" s="937"/>
      <c r="I611" s="937"/>
      <c r="J611" s="937"/>
      <c r="K611" s="937"/>
      <c r="L611" s="937"/>
      <c r="M611" s="937"/>
      <c r="N611" s="537"/>
      <c r="O611" s="537"/>
      <c r="P611" s="537"/>
      <c r="Q611" s="537"/>
      <c r="R611" s="537"/>
      <c r="S611" s="537"/>
      <c r="T611" s="537"/>
      <c r="U611" s="537"/>
      <c r="V611" s="537"/>
      <c r="W611" s="537"/>
      <c r="X611" s="537"/>
      <c r="Y611" s="537"/>
      <c r="Z611" s="537"/>
      <c r="AA611" s="537"/>
      <c r="AB611" s="537"/>
      <c r="AC611" s="537"/>
      <c r="AD611" s="537"/>
      <c r="AE611" s="537"/>
      <c r="AF611" s="537"/>
      <c r="AG611" s="537"/>
      <c r="AH611" s="537"/>
      <c r="AI611" s="537"/>
      <c r="AJ611" s="537"/>
      <c r="AK611" s="537"/>
      <c r="AL611" s="537"/>
      <c r="AN611" s="598"/>
    </row>
    <row r="612" spans="1:42" s="551" customFormat="1" ht="12.75" customHeight="1">
      <c r="B612" s="537"/>
      <c r="C612" s="934"/>
      <c r="D612" s="606" t="s">
        <v>1718</v>
      </c>
      <c r="E612" s="937"/>
      <c r="F612" s="937"/>
      <c r="G612" s="937"/>
      <c r="H612" s="937"/>
      <c r="I612" s="937"/>
      <c r="J612" s="937"/>
      <c r="K612" s="937"/>
      <c r="L612" s="937"/>
      <c r="M612" s="937"/>
      <c r="N612" s="537"/>
      <c r="O612" s="537"/>
      <c r="P612" s="537"/>
      <c r="Q612" s="537"/>
      <c r="R612" s="537"/>
      <c r="S612" s="537"/>
      <c r="T612" s="537"/>
      <c r="U612" s="537"/>
      <c r="V612" s="537"/>
      <c r="W612" s="537"/>
      <c r="X612" s="537"/>
      <c r="Y612" s="537"/>
      <c r="Z612" s="537"/>
      <c r="AA612" s="537"/>
      <c r="AB612" s="537"/>
      <c r="AC612" s="537"/>
      <c r="AD612" s="537"/>
      <c r="AE612" s="537"/>
      <c r="AF612" s="537"/>
      <c r="AG612" s="537"/>
      <c r="AH612" s="537"/>
      <c r="AI612" s="537"/>
      <c r="AJ612" s="537"/>
      <c r="AK612" s="537"/>
      <c r="AL612" s="537"/>
      <c r="AN612" s="598"/>
    </row>
    <row r="613" spans="1:42" s="551" customFormat="1" ht="12.75" customHeight="1">
      <c r="B613" s="537"/>
      <c r="C613" s="934"/>
      <c r="D613" s="537"/>
      <c r="E613" s="537"/>
      <c r="F613" s="537"/>
      <c r="G613" s="537"/>
      <c r="H613" s="537"/>
      <c r="I613" s="537"/>
      <c r="J613" s="537"/>
      <c r="K613" s="537"/>
      <c r="L613" s="537"/>
      <c r="M613" s="537"/>
      <c r="N613" s="537"/>
      <c r="O613" s="537"/>
      <c r="P613" s="537"/>
      <c r="Q613" s="537"/>
      <c r="R613" s="537"/>
      <c r="S613" s="537"/>
      <c r="T613" s="537"/>
      <c r="U613" s="537"/>
      <c r="V613" s="537"/>
      <c r="W613" s="537"/>
      <c r="X613" s="537"/>
      <c r="Y613" s="537"/>
      <c r="Z613" s="537"/>
      <c r="AA613" s="537"/>
      <c r="AB613" s="537"/>
      <c r="AC613" s="537"/>
      <c r="AD613" s="537"/>
      <c r="AE613" s="537"/>
      <c r="AF613" s="537"/>
      <c r="AG613" s="537"/>
      <c r="AH613" s="537"/>
      <c r="AI613" s="537"/>
      <c r="AJ613" s="537"/>
      <c r="AK613" s="537"/>
      <c r="AL613" s="537"/>
      <c r="AN613" s="598"/>
      <c r="AO613" s="551" t="s">
        <v>591</v>
      </c>
      <c r="AP613" s="674">
        <v>0</v>
      </c>
    </row>
    <row r="614" spans="1:42" s="551" customFormat="1" ht="12.75" customHeight="1">
      <c r="B614" s="537"/>
      <c r="C614" s="934"/>
      <c r="D614" s="537"/>
      <c r="E614" s="537" t="s">
        <v>1400</v>
      </c>
      <c r="F614" s="937"/>
      <c r="G614" s="937"/>
      <c r="I614" s="2545" t="s">
        <v>1401</v>
      </c>
      <c r="J614" s="2545"/>
      <c r="K614" s="2545"/>
      <c r="L614" s="2545"/>
      <c r="M614" s="2545"/>
      <c r="N614" s="2545"/>
      <c r="O614" s="2545"/>
      <c r="P614" s="2545"/>
      <c r="Q614" s="2545"/>
      <c r="R614" s="2545"/>
      <c r="S614" s="2545"/>
      <c r="T614" s="2545"/>
      <c r="U614" s="2545"/>
      <c r="V614" s="2545"/>
      <c r="W614" s="2545"/>
      <c r="X614" s="2545"/>
      <c r="Y614" s="2545"/>
      <c r="Z614" s="2545"/>
      <c r="AA614" s="2545"/>
      <c r="AB614" s="2545"/>
      <c r="AC614" s="2545"/>
      <c r="AD614" s="2545"/>
      <c r="AE614" s="2545"/>
      <c r="AF614" s="537"/>
      <c r="AG614" s="537"/>
      <c r="AH614" s="537"/>
      <c r="AI614" s="537"/>
      <c r="AJ614" s="537"/>
      <c r="AK614" s="537"/>
      <c r="AL614" s="537"/>
      <c r="AN614" s="598"/>
      <c r="AO614" s="551" t="s">
        <v>1401</v>
      </c>
      <c r="AP614" s="551">
        <v>3</v>
      </c>
    </row>
    <row r="615" spans="1:42" s="551" customFormat="1" ht="12.75" customHeight="1">
      <c r="B615" s="537"/>
      <c r="C615" s="537"/>
      <c r="D615" s="537"/>
      <c r="E615" s="537"/>
      <c r="F615" s="643"/>
      <c r="G615" s="643"/>
      <c r="H615" s="643"/>
      <c r="I615" s="643"/>
      <c r="J615" s="643"/>
      <c r="K615" s="643"/>
      <c r="L615" s="643"/>
      <c r="M615" s="643"/>
      <c r="N615" s="643"/>
      <c r="O615" s="643"/>
      <c r="P615" s="643"/>
      <c r="Q615" s="643"/>
      <c r="R615" s="643"/>
      <c r="S615" s="643"/>
      <c r="T615" s="643"/>
      <c r="U615" s="643"/>
      <c r="V615" s="643"/>
      <c r="W615" s="643"/>
      <c r="X615" s="643"/>
      <c r="Y615" s="643"/>
      <c r="Z615" s="643"/>
      <c r="AA615" s="643"/>
      <c r="AB615" s="643"/>
      <c r="AC615" s="643"/>
      <c r="AD615" s="643"/>
      <c r="AE615" s="643"/>
      <c r="AF615" s="643"/>
      <c r="AG615" s="643"/>
      <c r="AH615" s="643"/>
      <c r="AI615" s="643"/>
      <c r="AJ615" s="643"/>
      <c r="AK615" s="643"/>
      <c r="AL615" s="643"/>
      <c r="AN615" s="598"/>
      <c r="AO615" s="551" t="s">
        <v>1402</v>
      </c>
      <c r="AP615" s="551">
        <v>2</v>
      </c>
    </row>
    <row r="616" spans="1:42" s="551" customFormat="1" ht="12.75" customHeight="1">
      <c r="B616" s="2402" t="s">
        <v>591</v>
      </c>
      <c r="C616" s="2402"/>
      <c r="D616" s="643"/>
      <c r="E616" s="2430" t="s">
        <v>1403</v>
      </c>
      <c r="F616" s="2430"/>
      <c r="G616" s="2430"/>
      <c r="H616" s="2430"/>
      <c r="I616" s="2430"/>
      <c r="J616" s="2430"/>
      <c r="K616" s="2430"/>
      <c r="L616" s="2430"/>
      <c r="M616" s="2430"/>
      <c r="N616" s="2430"/>
      <c r="O616" s="2430"/>
      <c r="P616" s="2430"/>
      <c r="Q616" s="2430"/>
      <c r="R616" s="2430"/>
      <c r="S616" s="2430"/>
      <c r="T616" s="2430"/>
      <c r="U616" s="2430"/>
      <c r="V616" s="2430"/>
      <c r="W616" s="2430"/>
      <c r="X616" s="2430"/>
      <c r="Y616" s="2430"/>
      <c r="Z616" s="2430"/>
      <c r="AA616" s="2430"/>
      <c r="AB616" s="2430"/>
      <c r="AC616" s="2430"/>
      <c r="AD616" s="2430"/>
      <c r="AE616" s="2430"/>
      <c r="AF616" s="2430"/>
      <c r="AG616" s="2430"/>
      <c r="AH616" s="643"/>
      <c r="AI616" s="643"/>
      <c r="AJ616" s="643"/>
      <c r="AK616" s="643"/>
      <c r="AL616" s="643"/>
      <c r="AN616" s="598"/>
    </row>
    <row r="617" spans="1:42" s="551" customFormat="1" ht="12.75" customHeight="1">
      <c r="B617" s="537"/>
      <c r="C617" s="934"/>
      <c r="D617" s="643"/>
      <c r="E617" s="2430"/>
      <c r="F617" s="2430"/>
      <c r="G617" s="2430"/>
      <c r="H617" s="2430"/>
      <c r="I617" s="2430"/>
      <c r="J617" s="2430"/>
      <c r="K617" s="2430"/>
      <c r="L617" s="2430"/>
      <c r="M617" s="2430"/>
      <c r="N617" s="2430"/>
      <c r="O617" s="2430"/>
      <c r="P617" s="2430"/>
      <c r="Q617" s="2430"/>
      <c r="R617" s="2430"/>
      <c r="S617" s="2430"/>
      <c r="T617" s="2430"/>
      <c r="U617" s="2430"/>
      <c r="V617" s="2430"/>
      <c r="W617" s="2430"/>
      <c r="X617" s="2430"/>
      <c r="Y617" s="2430"/>
      <c r="Z617" s="2430"/>
      <c r="AA617" s="2430"/>
      <c r="AB617" s="2430"/>
      <c r="AC617" s="2430"/>
      <c r="AD617" s="2430"/>
      <c r="AE617" s="2430"/>
      <c r="AF617" s="2430"/>
      <c r="AG617" s="2430"/>
      <c r="AH617" s="643"/>
      <c r="AI617" s="643"/>
      <c r="AJ617" s="643"/>
      <c r="AK617" s="643"/>
      <c r="AL617" s="643"/>
      <c r="AN617" s="598"/>
    </row>
    <row r="618" spans="1:42" s="551" customFormat="1" ht="12.75" customHeight="1">
      <c r="B618" s="537"/>
      <c r="C618" s="934"/>
      <c r="D618" s="643"/>
      <c r="E618" s="2430"/>
      <c r="F618" s="2430"/>
      <c r="G618" s="2430"/>
      <c r="H618" s="2430"/>
      <c r="I618" s="2430"/>
      <c r="J618" s="2430"/>
      <c r="K618" s="2430"/>
      <c r="L618" s="2430"/>
      <c r="M618" s="2430"/>
      <c r="N618" s="2430"/>
      <c r="O618" s="2430"/>
      <c r="P618" s="2430"/>
      <c r="Q618" s="2430"/>
      <c r="R618" s="2430"/>
      <c r="S618" s="2430"/>
      <c r="T618" s="2430"/>
      <c r="U618" s="2430"/>
      <c r="V618" s="2430"/>
      <c r="W618" s="2430"/>
      <c r="X618" s="2430"/>
      <c r="Y618" s="2430"/>
      <c r="Z618" s="2430"/>
      <c r="AA618" s="2430"/>
      <c r="AB618" s="2430"/>
      <c r="AC618" s="2430"/>
      <c r="AD618" s="2430"/>
      <c r="AE618" s="2430"/>
      <c r="AF618" s="2430"/>
      <c r="AG618" s="2430"/>
      <c r="AH618" s="643"/>
      <c r="AI618" s="643"/>
      <c r="AJ618" s="643"/>
      <c r="AK618" s="643"/>
      <c r="AL618" s="643"/>
      <c r="AN618" s="598"/>
    </row>
    <row r="619" spans="1:42" s="551" customFormat="1" ht="12.75" customHeight="1">
      <c r="B619" s="537"/>
      <c r="C619" s="934"/>
      <c r="D619" s="643"/>
      <c r="E619" s="2430"/>
      <c r="F619" s="2430"/>
      <c r="G619" s="2430"/>
      <c r="H619" s="2430"/>
      <c r="I619" s="2430"/>
      <c r="J619" s="2430"/>
      <c r="K619" s="2430"/>
      <c r="L619" s="2430"/>
      <c r="M619" s="2430"/>
      <c r="N619" s="2430"/>
      <c r="O619" s="2430"/>
      <c r="P619" s="2430"/>
      <c r="Q619" s="2430"/>
      <c r="R619" s="2430"/>
      <c r="S619" s="2430"/>
      <c r="T619" s="2430"/>
      <c r="U619" s="2430"/>
      <c r="V619" s="2430"/>
      <c r="W619" s="2430"/>
      <c r="X619" s="2430"/>
      <c r="Y619" s="2430"/>
      <c r="Z619" s="2430"/>
      <c r="AA619" s="2430"/>
      <c r="AB619" s="2430"/>
      <c r="AC619" s="2430"/>
      <c r="AD619" s="2430"/>
      <c r="AE619" s="2430"/>
      <c r="AF619" s="2430"/>
      <c r="AG619" s="2430"/>
      <c r="AH619" s="643"/>
      <c r="AI619" s="643"/>
      <c r="AJ619" s="643"/>
      <c r="AK619" s="643"/>
      <c r="AL619" s="643"/>
      <c r="AN619" s="598"/>
    </row>
    <row r="620" spans="1:42" s="551" customFormat="1" ht="12.75" customHeight="1">
      <c r="B620" s="537"/>
      <c r="C620" s="934"/>
      <c r="D620" s="938"/>
      <c r="E620" s="958"/>
      <c r="F620" s="958"/>
      <c r="G620" s="958"/>
      <c r="H620" s="958"/>
      <c r="I620" s="958"/>
      <c r="J620" s="958"/>
      <c r="K620" s="958"/>
      <c r="L620" s="958"/>
      <c r="M620" s="958"/>
      <c r="N620" s="958"/>
      <c r="O620" s="958"/>
      <c r="P620" s="958"/>
      <c r="Q620" s="958"/>
      <c r="R620" s="958"/>
      <c r="S620" s="958"/>
      <c r="T620" s="958"/>
      <c r="U620" s="958"/>
      <c r="V620" s="958"/>
      <c r="W620" s="958"/>
      <c r="X620" s="958"/>
      <c r="Y620" s="958"/>
      <c r="Z620" s="958"/>
      <c r="AA620" s="958"/>
      <c r="AB620" s="958"/>
      <c r="AC620" s="958"/>
      <c r="AD620" s="958"/>
      <c r="AE620" s="958"/>
      <c r="AF620" s="958"/>
      <c r="AG620" s="958"/>
      <c r="AH620" s="938"/>
      <c r="AI620" s="938"/>
      <c r="AJ620" s="938"/>
      <c r="AK620" s="938"/>
      <c r="AL620" s="643"/>
      <c r="AN620" s="598"/>
    </row>
    <row r="621" spans="1:42" s="551" customFormat="1" ht="12.75" customHeight="1">
      <c r="A621" s="607"/>
      <c r="B621" s="602"/>
      <c r="C621" s="939"/>
      <c r="D621" s="602"/>
      <c r="E621" s="940"/>
      <c r="F621" s="940"/>
      <c r="G621" s="940"/>
      <c r="H621" s="940"/>
      <c r="I621" s="940"/>
      <c r="J621" s="940"/>
      <c r="K621" s="940"/>
      <c r="L621" s="940"/>
      <c r="M621" s="940"/>
      <c r="N621" s="940"/>
      <c r="O621" s="940"/>
      <c r="P621" s="940"/>
      <c r="Q621" s="940"/>
      <c r="R621" s="940"/>
      <c r="S621" s="940"/>
      <c r="T621" s="940"/>
      <c r="U621" s="940"/>
      <c r="V621" s="940"/>
      <c r="W621" s="940"/>
      <c r="X621" s="940"/>
      <c r="Y621" s="940"/>
      <c r="Z621" s="940"/>
      <c r="AA621" s="940"/>
      <c r="AB621" s="602"/>
      <c r="AC621" s="602"/>
      <c r="AD621" s="602"/>
      <c r="AE621" s="602"/>
      <c r="AF621" s="602"/>
      <c r="AG621" s="602"/>
      <c r="AH621" s="602"/>
      <c r="AI621" s="566" t="s">
        <v>1404</v>
      </c>
      <c r="AJ621" s="2437">
        <f>VLOOKUP($H$606,$AO$586:$AP$591,2,FALSE)+IF(R606=AO594,0,VLOOKUP($I$614,$AO$613:$AP$615,2,FALSE))</f>
        <v>8</v>
      </c>
      <c r="AK621" s="2439"/>
      <c r="AL621" s="596"/>
      <c r="AM621" s="676"/>
      <c r="AN621" s="598"/>
    </row>
    <row r="622" spans="1:42" s="551" customFormat="1" ht="12.75" customHeight="1">
      <c r="B622" s="537"/>
      <c r="C622" s="934"/>
      <c r="D622" s="537"/>
      <c r="E622" s="937"/>
      <c r="F622" s="937"/>
      <c r="G622" s="937"/>
      <c r="H622" s="937"/>
      <c r="I622" s="937"/>
      <c r="J622" s="937"/>
      <c r="K622" s="937"/>
      <c r="L622" s="937"/>
      <c r="M622" s="937"/>
      <c r="N622" s="937"/>
      <c r="O622" s="937"/>
      <c r="P622" s="937"/>
      <c r="Q622" s="937"/>
      <c r="R622" s="937"/>
      <c r="S622" s="937"/>
      <c r="T622" s="937"/>
      <c r="U622" s="937"/>
      <c r="V622" s="937"/>
      <c r="W622" s="937"/>
      <c r="X622" s="937"/>
      <c r="Y622" s="937"/>
      <c r="Z622" s="937"/>
      <c r="AA622" s="937"/>
      <c r="AB622" s="937"/>
      <c r="AC622" s="537"/>
      <c r="AD622" s="537"/>
      <c r="AE622" s="937"/>
      <c r="AF622" s="937"/>
      <c r="AG622" s="937"/>
      <c r="AH622" s="937"/>
      <c r="AI622" s="937"/>
      <c r="AJ622" s="937"/>
      <c r="AK622" s="937"/>
      <c r="AL622" s="937"/>
      <c r="AM622" s="676"/>
      <c r="AN622" s="598"/>
    </row>
    <row r="623" spans="1:42" s="551" customFormat="1" ht="12.75" customHeight="1">
      <c r="B623" s="537"/>
      <c r="C623" s="540" t="s">
        <v>1405</v>
      </c>
      <c r="D623" s="540"/>
      <c r="E623" s="937"/>
      <c r="F623" s="937"/>
      <c r="G623" s="937"/>
      <c r="H623" s="937"/>
      <c r="I623" s="937"/>
      <c r="J623" s="937"/>
      <c r="K623" s="937"/>
      <c r="L623" s="937"/>
      <c r="M623" s="937"/>
      <c r="N623" s="937"/>
      <c r="O623" s="937"/>
      <c r="P623" s="937"/>
      <c r="Q623" s="937"/>
      <c r="R623" s="937"/>
      <c r="S623" s="937"/>
      <c r="T623" s="937"/>
      <c r="U623" s="937"/>
      <c r="V623" s="937"/>
      <c r="W623" s="937"/>
      <c r="X623" s="937"/>
      <c r="Y623" s="937"/>
      <c r="Z623" s="937"/>
      <c r="AA623" s="937"/>
      <c r="AB623" s="937"/>
      <c r="AC623" s="537"/>
      <c r="AD623" s="537"/>
      <c r="AE623" s="537"/>
      <c r="AF623" s="537"/>
      <c r="AG623" s="537"/>
      <c r="AH623" s="537"/>
      <c r="AI623" s="537"/>
      <c r="AJ623" s="537"/>
      <c r="AK623" s="537"/>
      <c r="AL623" s="537"/>
      <c r="AN623" s="598"/>
    </row>
    <row r="624" spans="1:42" s="551" customFormat="1" ht="12.75" customHeight="1">
      <c r="B624" s="611"/>
      <c r="C624" s="537"/>
      <c r="D624" s="936"/>
      <c r="E624" s="937"/>
      <c r="F624" s="937"/>
      <c r="G624" s="937"/>
      <c r="H624" s="937"/>
      <c r="I624" s="937"/>
      <c r="J624" s="937"/>
      <c r="K624" s="937"/>
      <c r="L624" s="937"/>
      <c r="M624" s="937"/>
      <c r="N624" s="937"/>
      <c r="O624" s="937"/>
      <c r="P624" s="937"/>
      <c r="Q624" s="937"/>
      <c r="R624" s="937"/>
      <c r="S624" s="937"/>
      <c r="T624" s="937"/>
      <c r="U624" s="937"/>
      <c r="V624" s="937"/>
      <c r="W624" s="937"/>
      <c r="X624" s="937"/>
      <c r="Y624" s="937"/>
      <c r="Z624" s="937"/>
      <c r="AA624" s="937"/>
      <c r="AB624" s="937"/>
      <c r="AC624" s="537"/>
      <c r="AD624" s="537"/>
      <c r="AE624" s="537"/>
      <c r="AF624" s="537"/>
      <c r="AG624" s="537"/>
      <c r="AH624" s="537"/>
      <c r="AI624" s="537"/>
      <c r="AJ624" s="537"/>
      <c r="AK624" s="537"/>
      <c r="AL624" s="537"/>
      <c r="AN624" s="598"/>
    </row>
    <row r="625" spans="1:42" s="597" customFormat="1" ht="12.75" customHeight="1">
      <c r="A625" s="551"/>
      <c r="B625" s="537"/>
      <c r="C625" s="537"/>
      <c r="D625" s="664" t="s">
        <v>687</v>
      </c>
      <c r="E625" s="2544" t="s">
        <v>1694</v>
      </c>
      <c r="F625" s="2544"/>
      <c r="G625" s="2544"/>
      <c r="H625" s="2544"/>
      <c r="I625" s="2544"/>
      <c r="J625" s="2544"/>
      <c r="K625" s="2544"/>
      <c r="L625" s="2544"/>
      <c r="M625" s="2544"/>
      <c r="N625" s="2544"/>
      <c r="O625" s="2544"/>
      <c r="P625" s="2544"/>
      <c r="Q625" s="2544"/>
      <c r="R625" s="2544"/>
      <c r="S625" s="2544"/>
      <c r="T625" s="2544"/>
      <c r="U625" s="2544"/>
      <c r="V625" s="2544"/>
      <c r="W625" s="2544"/>
      <c r="X625" s="2544"/>
      <c r="Y625" s="2544"/>
      <c r="Z625" s="2544"/>
      <c r="AA625" s="2544"/>
      <c r="AB625" s="2544"/>
      <c r="AC625" s="2544"/>
      <c r="AD625" s="2544"/>
      <c r="AE625" s="540"/>
      <c r="AF625" s="2530" t="s">
        <v>1352</v>
      </c>
      <c r="AG625" s="2530"/>
      <c r="AH625" s="2530"/>
      <c r="AI625" s="2530"/>
      <c r="AJ625" s="2530"/>
      <c r="AK625" s="2530"/>
      <c r="AL625" s="2530"/>
      <c r="AM625" s="551"/>
      <c r="AN625" s="679"/>
    </row>
    <row r="626" spans="1:42" s="551" customFormat="1" ht="12.75" customHeight="1">
      <c r="A626" s="680"/>
      <c r="B626" s="537"/>
      <c r="C626" s="934"/>
      <c r="D626" s="664"/>
      <c r="E626" s="2544"/>
      <c r="F626" s="2544"/>
      <c r="G626" s="2544"/>
      <c r="H626" s="2544"/>
      <c r="I626" s="2544"/>
      <c r="J626" s="2544"/>
      <c r="K626" s="2544"/>
      <c r="L626" s="2544"/>
      <c r="M626" s="2544"/>
      <c r="N626" s="2544"/>
      <c r="O626" s="2544"/>
      <c r="P626" s="2544"/>
      <c r="Q626" s="2544"/>
      <c r="R626" s="2544"/>
      <c r="S626" s="2544"/>
      <c r="T626" s="2544"/>
      <c r="U626" s="2544"/>
      <c r="V626" s="2544"/>
      <c r="W626" s="2544"/>
      <c r="X626" s="2544"/>
      <c r="Y626" s="2544"/>
      <c r="Z626" s="2544"/>
      <c r="AA626" s="2544"/>
      <c r="AB626" s="2544"/>
      <c r="AC626" s="2544"/>
      <c r="AD626" s="2544"/>
      <c r="AE626" s="537"/>
      <c r="AF626" s="537"/>
      <c r="AG626" s="537"/>
      <c r="AH626" s="537"/>
      <c r="AI626" s="537"/>
      <c r="AJ626" s="537"/>
      <c r="AK626" s="537"/>
      <c r="AL626" s="537"/>
      <c r="AN626" s="598"/>
    </row>
    <row r="627" spans="1:42" s="551" customFormat="1" ht="12.75" customHeight="1">
      <c r="B627" s="537"/>
      <c r="C627" s="932"/>
      <c r="D627" s="664"/>
      <c r="E627" s="2544"/>
      <c r="F627" s="2544"/>
      <c r="G627" s="2544"/>
      <c r="H627" s="2544"/>
      <c r="I627" s="2544"/>
      <c r="J627" s="2544"/>
      <c r="K627" s="2544"/>
      <c r="L627" s="2544"/>
      <c r="M627" s="2544"/>
      <c r="N627" s="2544"/>
      <c r="O627" s="2544"/>
      <c r="P627" s="2544"/>
      <c r="Q627" s="2544"/>
      <c r="R627" s="2544"/>
      <c r="S627" s="2544"/>
      <c r="T627" s="2544"/>
      <c r="U627" s="2544"/>
      <c r="V627" s="2544"/>
      <c r="W627" s="2544"/>
      <c r="X627" s="2544"/>
      <c r="Y627" s="2544"/>
      <c r="Z627" s="2544"/>
      <c r="AA627" s="2544"/>
      <c r="AB627" s="2544"/>
      <c r="AC627" s="2544"/>
      <c r="AD627" s="2544"/>
      <c r="AE627" s="537"/>
      <c r="AF627" s="537"/>
      <c r="AG627" s="537"/>
      <c r="AH627" s="537"/>
      <c r="AI627" s="537"/>
      <c r="AJ627" s="537"/>
      <c r="AK627" s="537"/>
      <c r="AL627" s="537"/>
      <c r="AN627" s="598"/>
    </row>
    <row r="628" spans="1:42" s="551" customFormat="1" ht="12.75" customHeight="1">
      <c r="B628" s="537"/>
      <c r="C628" s="932"/>
      <c r="D628" s="664"/>
      <c r="E628" s="2544"/>
      <c r="F628" s="2544"/>
      <c r="G628" s="2544"/>
      <c r="H628" s="2544"/>
      <c r="I628" s="2544"/>
      <c r="J628" s="2544"/>
      <c r="K628" s="2544"/>
      <c r="L628" s="2544"/>
      <c r="M628" s="2544"/>
      <c r="N628" s="2544"/>
      <c r="O628" s="2544"/>
      <c r="P628" s="2544"/>
      <c r="Q628" s="2544"/>
      <c r="R628" s="2544"/>
      <c r="S628" s="2544"/>
      <c r="T628" s="2544"/>
      <c r="U628" s="2544"/>
      <c r="V628" s="2544"/>
      <c r="W628" s="2544"/>
      <c r="X628" s="2544"/>
      <c r="Y628" s="2544"/>
      <c r="Z628" s="2544"/>
      <c r="AA628" s="2544"/>
      <c r="AB628" s="2544"/>
      <c r="AC628" s="2544"/>
      <c r="AD628" s="2544"/>
      <c r="AE628" s="537"/>
      <c r="AF628" s="537"/>
      <c r="AG628" s="537"/>
      <c r="AH628" s="537"/>
      <c r="AI628" s="537"/>
      <c r="AJ628" s="537"/>
      <c r="AK628" s="537"/>
      <c r="AL628" s="537"/>
      <c r="AN628" s="598"/>
    </row>
    <row r="629" spans="1:42" s="551" customFormat="1" ht="12.75" customHeight="1">
      <c r="B629" s="537"/>
      <c r="C629" s="932"/>
      <c r="D629" s="664"/>
      <c r="E629" s="2544"/>
      <c r="F629" s="2544"/>
      <c r="G629" s="2544"/>
      <c r="H629" s="2544"/>
      <c r="I629" s="2544"/>
      <c r="J629" s="2544"/>
      <c r="K629" s="2544"/>
      <c r="L629" s="2544"/>
      <c r="M629" s="2544"/>
      <c r="N629" s="2544"/>
      <c r="O629" s="2544"/>
      <c r="P629" s="2544"/>
      <c r="Q629" s="2544"/>
      <c r="R629" s="2544"/>
      <c r="S629" s="2544"/>
      <c r="T629" s="2544"/>
      <c r="U629" s="2544"/>
      <c r="V629" s="2544"/>
      <c r="W629" s="2544"/>
      <c r="X629" s="2544"/>
      <c r="Y629" s="2544"/>
      <c r="Z629" s="2544"/>
      <c r="AA629" s="2544"/>
      <c r="AB629" s="2544"/>
      <c r="AC629" s="2544"/>
      <c r="AD629" s="2544"/>
      <c r="AE629" s="537"/>
      <c r="AF629" s="537"/>
      <c r="AG629" s="537"/>
      <c r="AH629" s="537"/>
      <c r="AI629" s="537"/>
      <c r="AJ629" s="537"/>
      <c r="AK629" s="537"/>
      <c r="AL629" s="537"/>
      <c r="AN629" s="598"/>
    </row>
    <row r="630" spans="1:42" s="551" customFormat="1" ht="12.75" customHeight="1">
      <c r="B630" s="537"/>
      <c r="C630" s="932"/>
      <c r="D630" s="664"/>
      <c r="E630" s="2544"/>
      <c r="F630" s="2544"/>
      <c r="G630" s="2544"/>
      <c r="H630" s="2544"/>
      <c r="I630" s="2544"/>
      <c r="J630" s="2544"/>
      <c r="K630" s="2544"/>
      <c r="L630" s="2544"/>
      <c r="M630" s="2544"/>
      <c r="N630" s="2544"/>
      <c r="O630" s="2544"/>
      <c r="P630" s="2544"/>
      <c r="Q630" s="2544"/>
      <c r="R630" s="2544"/>
      <c r="S630" s="2544"/>
      <c r="T630" s="2544"/>
      <c r="U630" s="2544"/>
      <c r="V630" s="2544"/>
      <c r="W630" s="2544"/>
      <c r="X630" s="2544"/>
      <c r="Y630" s="2544"/>
      <c r="Z630" s="2544"/>
      <c r="AA630" s="2544"/>
      <c r="AB630" s="2544"/>
      <c r="AC630" s="2544"/>
      <c r="AD630" s="2544"/>
      <c r="AE630" s="537"/>
      <c r="AF630" s="537"/>
      <c r="AG630" s="537"/>
      <c r="AH630" s="537"/>
      <c r="AI630" s="537"/>
      <c r="AJ630" s="537"/>
      <c r="AK630" s="537"/>
      <c r="AL630" s="537"/>
      <c r="AN630" s="598"/>
    </row>
    <row r="631" spans="1:42" s="551" customFormat="1" ht="12.75" customHeight="1">
      <c r="A631" s="638"/>
      <c r="B631" s="617"/>
      <c r="C631" s="941"/>
      <c r="D631" s="664"/>
      <c r="E631" s="2544"/>
      <c r="F631" s="2544"/>
      <c r="G631" s="2544"/>
      <c r="H631" s="2544"/>
      <c r="I631" s="2544"/>
      <c r="J631" s="2544"/>
      <c r="K631" s="2544"/>
      <c r="L631" s="2544"/>
      <c r="M631" s="2544"/>
      <c r="N631" s="2544"/>
      <c r="O631" s="2544"/>
      <c r="P631" s="2544"/>
      <c r="Q631" s="2544"/>
      <c r="R631" s="2544"/>
      <c r="S631" s="2544"/>
      <c r="T631" s="2544"/>
      <c r="U631" s="2544"/>
      <c r="V631" s="2544"/>
      <c r="W631" s="2544"/>
      <c r="X631" s="2544"/>
      <c r="Y631" s="2544"/>
      <c r="Z631" s="2544"/>
      <c r="AA631" s="2544"/>
      <c r="AB631" s="2544"/>
      <c r="AC631" s="2544"/>
      <c r="AD631" s="2544"/>
      <c r="AE631" s="617"/>
      <c r="AF631" s="617"/>
      <c r="AG631" s="617"/>
      <c r="AH631" s="617"/>
      <c r="AI631" s="617"/>
      <c r="AJ631" s="617"/>
      <c r="AK631" s="537"/>
      <c r="AL631" s="537"/>
      <c r="AN631" s="598"/>
    </row>
    <row r="632" spans="1:42" s="551" customFormat="1" ht="12.75" customHeight="1">
      <c r="B632" s="617"/>
      <c r="C632" s="941"/>
      <c r="D632" s="664"/>
      <c r="E632" s="2544"/>
      <c r="F632" s="2544"/>
      <c r="G632" s="2544"/>
      <c r="H632" s="2544"/>
      <c r="I632" s="2544"/>
      <c r="J632" s="2544"/>
      <c r="K632" s="2544"/>
      <c r="L632" s="2544"/>
      <c r="M632" s="2544"/>
      <c r="N632" s="2544"/>
      <c r="O632" s="2544"/>
      <c r="P632" s="2544"/>
      <c r="Q632" s="2544"/>
      <c r="R632" s="2544"/>
      <c r="S632" s="2544"/>
      <c r="T632" s="2544"/>
      <c r="U632" s="2544"/>
      <c r="V632" s="2544"/>
      <c r="W632" s="2544"/>
      <c r="X632" s="2544"/>
      <c r="Y632" s="2544"/>
      <c r="Z632" s="2544"/>
      <c r="AA632" s="2544"/>
      <c r="AB632" s="2544"/>
      <c r="AC632" s="2544"/>
      <c r="AD632" s="2544"/>
      <c r="AE632" s="617"/>
      <c r="AF632" s="617"/>
      <c r="AG632" s="617"/>
      <c r="AH632" s="617"/>
      <c r="AI632" s="617"/>
      <c r="AJ632" s="617"/>
      <c r="AK632" s="537"/>
      <c r="AL632" s="537"/>
      <c r="AN632" s="598"/>
    </row>
    <row r="633" spans="1:42" s="551" customFormat="1" ht="12" customHeight="1">
      <c r="B633" s="617"/>
      <c r="C633" s="941"/>
      <c r="D633" s="664"/>
      <c r="E633" s="957"/>
      <c r="F633" s="957"/>
      <c r="G633" s="957"/>
      <c r="H633" s="957"/>
      <c r="I633" s="957"/>
      <c r="J633" s="957"/>
      <c r="K633" s="957"/>
      <c r="L633" s="957"/>
      <c r="M633" s="957"/>
      <c r="N633" s="957"/>
      <c r="O633" s="957"/>
      <c r="P633" s="957"/>
      <c r="Q633" s="957"/>
      <c r="R633" s="957"/>
      <c r="S633" s="957"/>
      <c r="T633" s="957"/>
      <c r="U633" s="957"/>
      <c r="V633" s="957"/>
      <c r="W633" s="957"/>
      <c r="X633" s="957"/>
      <c r="Y633" s="957"/>
      <c r="Z633" s="957"/>
      <c r="AA633" s="957"/>
      <c r="AB633" s="957"/>
      <c r="AC633" s="957"/>
      <c r="AD633" s="957"/>
      <c r="AE633" s="617"/>
      <c r="AF633" s="617"/>
      <c r="AG633" s="617"/>
      <c r="AH633" s="617"/>
      <c r="AI633" s="617"/>
      <c r="AJ633" s="617"/>
      <c r="AK633" s="537"/>
      <c r="AL633" s="537"/>
      <c r="AN633" s="598"/>
      <c r="AO633" s="551" t="s">
        <v>591</v>
      </c>
      <c r="AP633" s="674">
        <v>0</v>
      </c>
    </row>
    <row r="634" spans="1:42" s="551" customFormat="1" ht="12.75" customHeight="1">
      <c r="B634" s="617"/>
      <c r="C634" s="932"/>
      <c r="D634" s="664"/>
      <c r="E634" s="617" t="s">
        <v>1406</v>
      </c>
      <c r="F634" s="942"/>
      <c r="G634" s="942"/>
      <c r="H634" s="942"/>
      <c r="I634" s="942"/>
      <c r="J634" s="942"/>
      <c r="K634" s="942"/>
      <c r="L634" s="942"/>
      <c r="M634" s="942"/>
      <c r="N634" s="942"/>
      <c r="O634" s="942"/>
      <c r="P634" s="942"/>
      <c r="Q634" s="942"/>
      <c r="R634" s="942"/>
      <c r="U634" s="942"/>
      <c r="V634" s="942"/>
      <c r="W634" s="942"/>
      <c r="X634" s="2402" t="s">
        <v>591</v>
      </c>
      <c r="Y634" s="2402"/>
      <c r="Z634" s="942"/>
      <c r="AA634" s="942"/>
      <c r="AB634" s="942"/>
      <c r="AC634" s="942"/>
      <c r="AD634" s="942"/>
      <c r="AE634" s="537"/>
      <c r="AF634" s="617"/>
      <c r="AG634" s="617"/>
      <c r="AH634" s="617"/>
      <c r="AI634" s="617"/>
      <c r="AJ634" s="617"/>
      <c r="AK634" s="537"/>
      <c r="AL634" s="537"/>
      <c r="AN634" s="598"/>
      <c r="AO634" s="612" t="s">
        <v>687</v>
      </c>
      <c r="AP634" s="551">
        <v>5</v>
      </c>
    </row>
    <row r="635" spans="1:42" s="551" customFormat="1" ht="12.75" customHeight="1">
      <c r="B635" s="617"/>
      <c r="C635" s="941"/>
      <c r="D635" s="537"/>
      <c r="E635" s="537"/>
      <c r="F635" s="537"/>
      <c r="G635" s="537"/>
      <c r="H635" s="537"/>
      <c r="I635" s="537"/>
      <c r="J635" s="537"/>
      <c r="K635" s="537"/>
      <c r="L635" s="537"/>
      <c r="M635" s="537"/>
      <c r="N635" s="537"/>
      <c r="O635" s="537"/>
      <c r="P635" s="537"/>
      <c r="Q635" s="537"/>
      <c r="R635" s="537"/>
      <c r="S635" s="537"/>
      <c r="T635" s="537"/>
      <c r="U635" s="537"/>
      <c r="V635" s="537"/>
      <c r="W635" s="617"/>
      <c r="X635" s="617"/>
      <c r="Y635" s="617"/>
      <c r="Z635" s="617"/>
      <c r="AA635" s="617"/>
      <c r="AB635" s="617"/>
      <c r="AC635" s="537"/>
      <c r="AD635" s="537"/>
      <c r="AE635" s="537"/>
      <c r="AF635" s="537"/>
      <c r="AG635" s="537"/>
      <c r="AH635" s="537"/>
      <c r="AI635" s="537"/>
      <c r="AJ635" s="537"/>
      <c r="AK635" s="537"/>
      <c r="AL635" s="537"/>
      <c r="AN635" s="598"/>
      <c r="AO635" s="612" t="s">
        <v>509</v>
      </c>
      <c r="AP635" s="681">
        <v>4</v>
      </c>
    </row>
    <row r="636" spans="1:42" s="551" customFormat="1" ht="12.75" customHeight="1">
      <c r="B636" s="537"/>
      <c r="C636" s="932"/>
      <c r="D636" s="664" t="s">
        <v>509</v>
      </c>
      <c r="E636" s="556" t="s">
        <v>1407</v>
      </c>
      <c r="F636" s="943"/>
      <c r="G636" s="943"/>
      <c r="H636" s="943"/>
      <c r="I636" s="943"/>
      <c r="J636" s="943"/>
      <c r="K636" s="943"/>
      <c r="L636" s="943"/>
      <c r="M636" s="943"/>
      <c r="N636" s="943"/>
      <c r="O636" s="943"/>
      <c r="P636" s="943"/>
      <c r="Q636" s="943"/>
      <c r="R636" s="943"/>
      <c r="S636" s="943"/>
      <c r="T636" s="943"/>
      <c r="U636" s="537"/>
      <c r="V636" s="537"/>
      <c r="W636" s="943"/>
      <c r="X636" s="943"/>
      <c r="Y636" s="943"/>
      <c r="Z636" s="943"/>
      <c r="AA636" s="943"/>
      <c r="AB636" s="943"/>
      <c r="AC636" s="537"/>
      <c r="AD636" s="537"/>
      <c r="AE636" s="537"/>
      <c r="AF636" s="2530" t="s">
        <v>1408</v>
      </c>
      <c r="AG636" s="2530"/>
      <c r="AH636" s="2530"/>
      <c r="AI636" s="2530"/>
      <c r="AJ636" s="2530"/>
      <c r="AK636" s="2530"/>
      <c r="AL636" s="2530"/>
      <c r="AN636" s="598"/>
      <c r="AO636" s="612" t="s">
        <v>278</v>
      </c>
      <c r="AP636" s="551">
        <v>3</v>
      </c>
    </row>
    <row r="637" spans="1:42" s="551" customFormat="1" ht="12.75" customHeight="1">
      <c r="B637" s="537"/>
      <c r="C637" s="932"/>
      <c r="D637" s="537"/>
      <c r="E637" s="537"/>
      <c r="F637" s="943"/>
      <c r="G637" s="943"/>
      <c r="H637" s="943"/>
      <c r="I637" s="943"/>
      <c r="J637" s="943"/>
      <c r="K637" s="943"/>
      <c r="L637" s="943"/>
      <c r="M637" s="943"/>
      <c r="N637" s="943"/>
      <c r="O637" s="943"/>
      <c r="P637" s="943"/>
      <c r="Q637" s="943"/>
      <c r="R637" s="943"/>
      <c r="S637" s="943"/>
      <c r="T637" s="943"/>
      <c r="U637" s="537"/>
      <c r="V637" s="537"/>
      <c r="W637" s="537"/>
      <c r="X637" s="943"/>
      <c r="Y637" s="943"/>
      <c r="Z637" s="943"/>
      <c r="AA637" s="943"/>
      <c r="AB637" s="943"/>
      <c r="AC637" s="537"/>
      <c r="AD637" s="537"/>
      <c r="AE637" s="537"/>
      <c r="AF637" s="537"/>
      <c r="AG637" s="537"/>
      <c r="AH637" s="537"/>
      <c r="AI637" s="537"/>
      <c r="AJ637" s="537"/>
      <c r="AK637" s="537"/>
      <c r="AL637" s="537"/>
      <c r="AN637" s="598"/>
      <c r="AO637" s="612" t="s">
        <v>1397</v>
      </c>
      <c r="AP637" s="681">
        <v>4</v>
      </c>
    </row>
    <row r="638" spans="1:42" s="551" customFormat="1" ht="12.75" customHeight="1">
      <c r="B638" s="537"/>
      <c r="C638" s="932"/>
      <c r="D638" s="537" t="s">
        <v>1400</v>
      </c>
      <c r="E638" s="937"/>
      <c r="F638" s="937"/>
      <c r="G638" s="937"/>
      <c r="H638" s="2454" t="s">
        <v>687</v>
      </c>
      <c r="I638" s="2454"/>
      <c r="J638" s="943"/>
      <c r="K638" s="943"/>
      <c r="L638" s="943"/>
      <c r="M638" s="943"/>
      <c r="N638" s="943"/>
      <c r="O638" s="943"/>
      <c r="P638" s="943"/>
      <c r="Q638" s="943"/>
      <c r="R638" s="943"/>
      <c r="S638" s="943"/>
      <c r="T638" s="943"/>
      <c r="U638" s="937"/>
      <c r="V638" s="937"/>
      <c r="W638" s="937"/>
      <c r="X638" s="537"/>
      <c r="Y638" s="537"/>
      <c r="Z638" s="537"/>
      <c r="AA638" s="537"/>
      <c r="AB638" s="537"/>
      <c r="AC638" s="537"/>
      <c r="AD638" s="537"/>
      <c r="AE638" s="537"/>
      <c r="AF638" s="537"/>
      <c r="AG638" s="537"/>
      <c r="AH638" s="537"/>
      <c r="AI638" s="537"/>
      <c r="AJ638" s="537"/>
      <c r="AK638" s="537"/>
      <c r="AL638" s="537"/>
      <c r="AN638" s="598"/>
      <c r="AO638" s="612" t="s">
        <v>1398</v>
      </c>
      <c r="AP638" s="551">
        <v>3</v>
      </c>
    </row>
    <row r="639" spans="1:42" s="551" customFormat="1" ht="12.75" customHeight="1">
      <c r="B639" s="537"/>
      <c r="C639" s="932"/>
      <c r="D639" s="537"/>
      <c r="E639" s="937"/>
      <c r="F639" s="943"/>
      <c r="G639" s="943"/>
      <c r="H639" s="943"/>
      <c r="I639" s="944"/>
      <c r="J639" s="943"/>
      <c r="K639" s="943"/>
      <c r="L639" s="943"/>
      <c r="M639" s="943"/>
      <c r="N639" s="943"/>
      <c r="O639" s="943"/>
      <c r="P639" s="943"/>
      <c r="Q639" s="943"/>
      <c r="R639" s="537"/>
      <c r="S639" s="537"/>
      <c r="T639" s="943"/>
      <c r="U639" s="937"/>
      <c r="V639" s="937"/>
      <c r="W639" s="937"/>
      <c r="X639" s="937"/>
      <c r="Y639" s="937"/>
      <c r="Z639" s="937"/>
      <c r="AA639" s="937"/>
      <c r="AB639" s="937"/>
      <c r="AC639" s="537"/>
      <c r="AD639" s="537"/>
      <c r="AE639" s="537"/>
      <c r="AF639" s="537"/>
      <c r="AG639" s="537"/>
      <c r="AH639" s="537"/>
      <c r="AI639" s="943"/>
      <c r="AJ639" s="943"/>
      <c r="AK639" s="943"/>
      <c r="AL639" s="943"/>
      <c r="AM639" s="682"/>
      <c r="AN639" s="598"/>
      <c r="AO639" s="612" t="s">
        <v>1409</v>
      </c>
      <c r="AP639" s="551">
        <v>2</v>
      </c>
    </row>
    <row r="640" spans="1:42" s="551" customFormat="1" ht="12.75" customHeight="1">
      <c r="A640" s="607"/>
      <c r="B640" s="602"/>
      <c r="C640" s="945"/>
      <c r="D640" s="602"/>
      <c r="E640" s="940"/>
      <c r="F640" s="940"/>
      <c r="G640" s="946"/>
      <c r="H640" s="946"/>
      <c r="I640" s="946"/>
      <c r="J640" s="946"/>
      <c r="K640" s="946"/>
      <c r="L640" s="946"/>
      <c r="M640" s="946"/>
      <c r="N640" s="946"/>
      <c r="O640" s="946"/>
      <c r="P640" s="946"/>
      <c r="Q640" s="946"/>
      <c r="R640" s="946"/>
      <c r="S640" s="946"/>
      <c r="T640" s="940"/>
      <c r="U640" s="940"/>
      <c r="V640" s="940"/>
      <c r="W640" s="940"/>
      <c r="X640" s="940"/>
      <c r="Y640" s="940"/>
      <c r="Z640" s="940"/>
      <c r="AA640" s="940"/>
      <c r="AB640" s="602"/>
      <c r="AC640" s="602"/>
      <c r="AD640" s="602"/>
      <c r="AE640" s="602"/>
      <c r="AF640" s="602"/>
      <c r="AG640" s="602"/>
      <c r="AH640" s="602"/>
      <c r="AI640" s="566" t="s">
        <v>1410</v>
      </c>
      <c r="AJ640" s="2437">
        <f>VLOOKUP($H$638,$AO$605:$AP$607,2,FALSE)</f>
        <v>3</v>
      </c>
      <c r="AK640" s="2439"/>
      <c r="AL640" s="596"/>
      <c r="AN640" s="598"/>
      <c r="AO640" s="612" t="s">
        <v>1411</v>
      </c>
      <c r="AP640" s="551">
        <v>1</v>
      </c>
    </row>
    <row r="641" spans="1:42" s="551" customFormat="1" ht="12.75" customHeight="1">
      <c r="B641" s="537"/>
      <c r="C641" s="932"/>
      <c r="D641" s="537"/>
      <c r="E641" s="937"/>
      <c r="F641" s="937"/>
      <c r="G641" s="937"/>
      <c r="H641" s="537"/>
      <c r="I641" s="537"/>
      <c r="J641" s="943"/>
      <c r="K641" s="943"/>
      <c r="L641" s="943"/>
      <c r="M641" s="943"/>
      <c r="N641" s="943"/>
      <c r="O641" s="943"/>
      <c r="P641" s="943"/>
      <c r="Q641" s="943"/>
      <c r="R641" s="943"/>
      <c r="S641" s="943"/>
      <c r="T641" s="943"/>
      <c r="U641" s="937"/>
      <c r="V641" s="937"/>
      <c r="W641" s="937"/>
      <c r="X641" s="937"/>
      <c r="Y641" s="937"/>
      <c r="Z641" s="937"/>
      <c r="AA641" s="937"/>
      <c r="AB641" s="937"/>
      <c r="AC641" s="537"/>
      <c r="AD641" s="537"/>
      <c r="AE641" s="537"/>
      <c r="AF641" s="537"/>
      <c r="AG641" s="537"/>
      <c r="AH641" s="537"/>
      <c r="AI641" s="537"/>
      <c r="AJ641" s="544"/>
      <c r="AK641" s="537"/>
      <c r="AL641" s="537"/>
      <c r="AN641" s="598"/>
    </row>
    <row r="642" spans="1:42" s="551" customFormat="1" ht="12.75" customHeight="1">
      <c r="B642" s="537"/>
      <c r="C642" s="540" t="s">
        <v>1412</v>
      </c>
      <c r="D642" s="537"/>
      <c r="E642" s="937"/>
      <c r="F642" s="943"/>
      <c r="G642" s="943"/>
      <c r="H642" s="943"/>
      <c r="I642" s="943"/>
      <c r="J642" s="943"/>
      <c r="K642" s="943"/>
      <c r="L642" s="943"/>
      <c r="M642" s="943"/>
      <c r="N642" s="943"/>
      <c r="O642" s="943"/>
      <c r="P642" s="943"/>
      <c r="Q642" s="943"/>
      <c r="R642" s="943"/>
      <c r="S642" s="943"/>
      <c r="T642" s="943"/>
      <c r="U642" s="537"/>
      <c r="V642" s="537"/>
      <c r="W642" s="943"/>
      <c r="X642" s="943"/>
      <c r="Y642" s="943"/>
      <c r="Z642" s="943"/>
      <c r="AA642" s="943"/>
      <c r="AB642" s="943"/>
      <c r="AC642" s="595"/>
      <c r="AD642" s="595"/>
      <c r="AE642" s="595"/>
      <c r="AF642" s="595"/>
      <c r="AG642" s="595"/>
      <c r="AH642" s="595"/>
      <c r="AI642" s="595"/>
      <c r="AJ642" s="537"/>
      <c r="AK642" s="537"/>
      <c r="AL642" s="537"/>
      <c r="AN642" s="598"/>
    </row>
    <row r="643" spans="1:42" s="551" customFormat="1" ht="12.75" customHeight="1">
      <c r="A643" s="638"/>
      <c r="B643" s="537"/>
      <c r="C643" s="934"/>
      <c r="D643" s="537"/>
      <c r="E643" s="943"/>
      <c r="F643" s="943"/>
      <c r="G643" s="943"/>
      <c r="H643" s="943"/>
      <c r="I643" s="943"/>
      <c r="J643" s="943"/>
      <c r="K643" s="943"/>
      <c r="L643" s="943"/>
      <c r="M643" s="943"/>
      <c r="N643" s="943"/>
      <c r="O643" s="943"/>
      <c r="P643" s="943"/>
      <c r="Q643" s="943"/>
      <c r="R643" s="943"/>
      <c r="S643" s="943"/>
      <c r="T643" s="943"/>
      <c r="U643" s="943"/>
      <c r="V643" s="943"/>
      <c r="W643" s="943"/>
      <c r="X643" s="943"/>
      <c r="Y643" s="943"/>
      <c r="Z643" s="943"/>
      <c r="AA643" s="943"/>
      <c r="AB643" s="943"/>
      <c r="AC643" s="537"/>
      <c r="AD643" s="537"/>
      <c r="AE643" s="537"/>
      <c r="AF643" s="537"/>
      <c r="AG643" s="537"/>
      <c r="AH643" s="537"/>
      <c r="AI643" s="537"/>
      <c r="AJ643" s="537"/>
      <c r="AK643" s="537"/>
      <c r="AL643" s="537"/>
      <c r="AN643" s="598"/>
    </row>
    <row r="644" spans="1:42" s="551" customFormat="1" ht="12.75" customHeight="1">
      <c r="B644" s="537"/>
      <c r="C644" s="537"/>
      <c r="D644" s="664" t="s">
        <v>687</v>
      </c>
      <c r="E644" s="2430" t="s">
        <v>2099</v>
      </c>
      <c r="F644" s="2430"/>
      <c r="G644" s="2430"/>
      <c r="H644" s="2430"/>
      <c r="I644" s="2430"/>
      <c r="J644" s="2430"/>
      <c r="K644" s="2430"/>
      <c r="L644" s="2430"/>
      <c r="M644" s="2430"/>
      <c r="N644" s="2430"/>
      <c r="O644" s="2430"/>
      <c r="P644" s="2430"/>
      <c r="Q644" s="2430"/>
      <c r="R644" s="2430"/>
      <c r="S644" s="2430"/>
      <c r="T644" s="2430"/>
      <c r="U644" s="2430"/>
      <c r="V644" s="2430"/>
      <c r="W644" s="2430"/>
      <c r="X644" s="2430"/>
      <c r="Y644" s="2430"/>
      <c r="Z644" s="2430"/>
      <c r="AA644" s="2430"/>
      <c r="AB644" s="2430"/>
      <c r="AC644" s="2430"/>
      <c r="AD644" s="2430"/>
      <c r="AE644" s="537"/>
      <c r="AF644" s="2530" t="s">
        <v>1352</v>
      </c>
      <c r="AG644" s="2530"/>
      <c r="AH644" s="2530"/>
      <c r="AI644" s="2530"/>
      <c r="AJ644" s="2530"/>
      <c r="AK644" s="2530"/>
      <c r="AL644" s="2530"/>
      <c r="AN644" s="598"/>
    </row>
    <row r="645" spans="1:42" s="551" customFormat="1" ht="12.75" customHeight="1">
      <c r="B645" s="537"/>
      <c r="C645" s="537"/>
      <c r="D645" s="664"/>
      <c r="E645" s="2430"/>
      <c r="F645" s="2430"/>
      <c r="G645" s="2430"/>
      <c r="H645" s="2430"/>
      <c r="I645" s="2430"/>
      <c r="J645" s="2430"/>
      <c r="K645" s="2430"/>
      <c r="L645" s="2430"/>
      <c r="M645" s="2430"/>
      <c r="N645" s="2430"/>
      <c r="O645" s="2430"/>
      <c r="P645" s="2430"/>
      <c r="Q645" s="2430"/>
      <c r="R645" s="2430"/>
      <c r="S645" s="2430"/>
      <c r="T645" s="2430"/>
      <c r="U645" s="2430"/>
      <c r="V645" s="2430"/>
      <c r="W645" s="2430"/>
      <c r="X645" s="2430"/>
      <c r="Y645" s="2430"/>
      <c r="Z645" s="2430"/>
      <c r="AA645" s="2430"/>
      <c r="AB645" s="2430"/>
      <c r="AC645" s="2430"/>
      <c r="AD645" s="2430"/>
      <c r="AE645" s="595"/>
      <c r="AF645" s="595"/>
      <c r="AG645" s="595"/>
      <c r="AH645" s="595"/>
      <c r="AI645" s="595"/>
      <c r="AJ645" s="595"/>
      <c r="AK645" s="595"/>
      <c r="AL645" s="595"/>
      <c r="AN645" s="598"/>
    </row>
    <row r="646" spans="1:42" s="551" customFormat="1" ht="12.75" customHeight="1">
      <c r="B646" s="617"/>
      <c r="C646" s="941"/>
      <c r="D646" s="664"/>
      <c r="E646" s="617"/>
      <c r="F646" s="617"/>
      <c r="G646" s="617"/>
      <c r="H646" s="617"/>
      <c r="I646" s="617"/>
      <c r="J646" s="617"/>
      <c r="K646" s="617"/>
      <c r="L646" s="617"/>
      <c r="M646" s="617"/>
      <c r="N646" s="617"/>
      <c r="O646" s="617"/>
      <c r="P646" s="617"/>
      <c r="Q646" s="617"/>
      <c r="R646" s="617"/>
      <c r="S646" s="617"/>
      <c r="T646" s="617"/>
      <c r="U646" s="617"/>
      <c r="V646" s="617"/>
      <c r="W646" s="617"/>
      <c r="X646" s="617"/>
      <c r="Y646" s="617"/>
      <c r="Z646" s="617"/>
      <c r="AA646" s="617"/>
      <c r="AB646" s="617"/>
      <c r="AC646" s="537"/>
      <c r="AD646" s="537"/>
      <c r="AE646" s="617"/>
      <c r="AF646" s="537"/>
      <c r="AG646" s="537"/>
      <c r="AH646" s="537"/>
      <c r="AI646" s="537"/>
      <c r="AJ646" s="537"/>
      <c r="AK646" s="537"/>
      <c r="AL646" s="537"/>
      <c r="AN646" s="598"/>
    </row>
    <row r="647" spans="1:42" s="551" customFormat="1" ht="12.75" customHeight="1">
      <c r="B647" s="537"/>
      <c r="C647" s="932"/>
      <c r="D647" s="664" t="s">
        <v>509</v>
      </c>
      <c r="E647" s="617" t="s">
        <v>1413</v>
      </c>
      <c r="F647" s="617"/>
      <c r="G647" s="617"/>
      <c r="H647" s="617"/>
      <c r="I647" s="617"/>
      <c r="J647" s="617"/>
      <c r="K647" s="617"/>
      <c r="L647" s="617"/>
      <c r="M647" s="617"/>
      <c r="N647" s="617"/>
      <c r="O647" s="617"/>
      <c r="P647" s="617"/>
      <c r="Q647" s="617"/>
      <c r="R647" s="617"/>
      <c r="S647" s="617"/>
      <c r="T647" s="617"/>
      <c r="U647" s="617"/>
      <c r="V647" s="617"/>
      <c r="W647" s="617"/>
      <c r="X647" s="617"/>
      <c r="Y647" s="617"/>
      <c r="Z647" s="617"/>
      <c r="AA647" s="617"/>
      <c r="AB647" s="617"/>
      <c r="AC647" s="537"/>
      <c r="AD647" s="537"/>
      <c r="AE647" s="537"/>
      <c r="AF647" s="2530" t="s">
        <v>1408</v>
      </c>
      <c r="AG647" s="2530"/>
      <c r="AH647" s="2530"/>
      <c r="AI647" s="2530"/>
      <c r="AJ647" s="2530"/>
      <c r="AK647" s="2530"/>
      <c r="AL647" s="2530"/>
      <c r="AN647" s="598"/>
    </row>
    <row r="648" spans="1:42" s="551" customFormat="1" ht="12.75" customHeight="1">
      <c r="B648" s="537"/>
      <c r="C648" s="932"/>
      <c r="D648" s="664"/>
      <c r="E648" s="617" t="s">
        <v>1414</v>
      </c>
      <c r="F648" s="617"/>
      <c r="G648" s="617"/>
      <c r="H648" s="617"/>
      <c r="I648" s="617"/>
      <c r="J648" s="617"/>
      <c r="K648" s="617"/>
      <c r="L648" s="617"/>
      <c r="M648" s="617"/>
      <c r="N648" s="617"/>
      <c r="O648" s="617"/>
      <c r="P648" s="617"/>
      <c r="Q648" s="617"/>
      <c r="R648" s="617"/>
      <c r="S648" s="617"/>
      <c r="T648" s="617"/>
      <c r="U648" s="617"/>
      <c r="V648" s="617"/>
      <c r="W648" s="617"/>
      <c r="X648" s="617"/>
      <c r="Y648" s="617"/>
      <c r="Z648" s="617"/>
      <c r="AA648" s="617"/>
      <c r="AB648" s="617"/>
      <c r="AC648" s="537"/>
      <c r="AD648" s="537"/>
      <c r="AE648" s="595"/>
      <c r="AF648" s="595"/>
      <c r="AG648" s="595"/>
      <c r="AH648" s="595"/>
      <c r="AI648" s="595"/>
      <c r="AJ648" s="595"/>
      <c r="AK648" s="595"/>
      <c r="AL648" s="595"/>
      <c r="AN648" s="598"/>
    </row>
    <row r="649" spans="1:42" s="551" customFormat="1" ht="12.75" customHeight="1">
      <c r="B649" s="537"/>
      <c r="C649" s="932"/>
      <c r="D649" s="537"/>
      <c r="E649" s="617"/>
      <c r="F649" s="617"/>
      <c r="G649" s="617"/>
      <c r="H649" s="617"/>
      <c r="I649" s="617"/>
      <c r="J649" s="617"/>
      <c r="K649" s="617"/>
      <c r="L649" s="617"/>
      <c r="M649" s="617"/>
      <c r="N649" s="617"/>
      <c r="O649" s="617"/>
      <c r="P649" s="617"/>
      <c r="Q649" s="617"/>
      <c r="R649" s="617"/>
      <c r="S649" s="617"/>
      <c r="T649" s="617"/>
      <c r="U649" s="617"/>
      <c r="V649" s="617"/>
      <c r="W649" s="617"/>
      <c r="X649" s="617"/>
      <c r="Y649" s="617"/>
      <c r="Z649" s="617"/>
      <c r="AA649" s="617"/>
      <c r="AB649" s="617"/>
      <c r="AC649" s="537"/>
      <c r="AD649" s="537"/>
      <c r="AE649" s="537"/>
      <c r="AF649" s="537"/>
      <c r="AG649" s="537"/>
      <c r="AH649" s="537"/>
      <c r="AI649" s="537"/>
      <c r="AJ649" s="537"/>
      <c r="AK649" s="537"/>
      <c r="AL649" s="537"/>
      <c r="AN649" s="598"/>
      <c r="AP649" s="681"/>
    </row>
    <row r="650" spans="1:42" s="551" customFormat="1" ht="12.75" customHeight="1">
      <c r="B650" s="537"/>
      <c r="C650" s="932"/>
      <c r="D650" s="537" t="s">
        <v>1400</v>
      </c>
      <c r="E650" s="937"/>
      <c r="F650" s="937"/>
      <c r="G650" s="937"/>
      <c r="H650" s="2454" t="s">
        <v>509</v>
      </c>
      <c r="I650" s="2454"/>
      <c r="J650" s="617"/>
      <c r="K650" s="617"/>
      <c r="L650" s="617"/>
      <c r="M650" s="617"/>
      <c r="N650" s="617"/>
      <c r="O650" s="617"/>
      <c r="P650" s="617"/>
      <c r="Q650" s="617"/>
      <c r="R650" s="617"/>
      <c r="S650" s="617"/>
      <c r="T650" s="617"/>
      <c r="U650" s="617"/>
      <c r="V650" s="617"/>
      <c r="W650" s="537"/>
      <c r="X650" s="537"/>
      <c r="Y650" s="537"/>
      <c r="Z650" s="537"/>
      <c r="AA650" s="537"/>
      <c r="AB650" s="537"/>
      <c r="AC650" s="537"/>
      <c r="AD650" s="537"/>
      <c r="AE650" s="537"/>
      <c r="AF650" s="537"/>
      <c r="AG650" s="537"/>
      <c r="AH650" s="537"/>
      <c r="AI650" s="537"/>
      <c r="AJ650" s="537"/>
      <c r="AK650" s="537"/>
      <c r="AL650" s="537"/>
      <c r="AN650" s="598"/>
    </row>
    <row r="651" spans="1:42" s="551" customFormat="1" ht="12.75" customHeight="1">
      <c r="B651" s="537"/>
      <c r="C651" s="932"/>
      <c r="D651" s="537"/>
      <c r="E651" s="937"/>
      <c r="F651" s="937"/>
      <c r="G651" s="617"/>
      <c r="H651" s="617"/>
      <c r="I651" s="617"/>
      <c r="J651" s="617"/>
      <c r="K651" s="617"/>
      <c r="L651" s="617"/>
      <c r="M651" s="617"/>
      <c r="N651" s="617"/>
      <c r="O651" s="617"/>
      <c r="P651" s="617"/>
      <c r="Q651" s="617"/>
      <c r="R651" s="617"/>
      <c r="S651" s="617"/>
      <c r="T651" s="617"/>
      <c r="U651" s="617"/>
      <c r="V651" s="617"/>
      <c r="W651" s="617"/>
      <c r="X651" s="617"/>
      <c r="Y651" s="617"/>
      <c r="Z651" s="937"/>
      <c r="AA651" s="937"/>
      <c r="AB651" s="937"/>
      <c r="AC651" s="537"/>
      <c r="AD651" s="537"/>
      <c r="AE651" s="537"/>
      <c r="AF651" s="537"/>
      <c r="AG651" s="537"/>
      <c r="AH651" s="537"/>
      <c r="AI651" s="537"/>
      <c r="AJ651" s="617"/>
      <c r="AK651" s="617"/>
      <c r="AL651" s="617"/>
      <c r="AM651" s="552"/>
      <c r="AN651" s="598"/>
    </row>
    <row r="652" spans="1:42" s="551" customFormat="1" ht="12.75" customHeight="1">
      <c r="A652" s="607"/>
      <c r="B652" s="602"/>
      <c r="C652" s="945"/>
      <c r="D652" s="602"/>
      <c r="E652" s="940"/>
      <c r="F652" s="940"/>
      <c r="G652" s="666"/>
      <c r="H652" s="666"/>
      <c r="I652" s="666"/>
      <c r="J652" s="666"/>
      <c r="K652" s="666"/>
      <c r="L652" s="666"/>
      <c r="M652" s="666"/>
      <c r="N652" s="666"/>
      <c r="O652" s="666"/>
      <c r="P652" s="666"/>
      <c r="Q652" s="666"/>
      <c r="R652" s="666"/>
      <c r="S652" s="666"/>
      <c r="T652" s="666"/>
      <c r="U652" s="666"/>
      <c r="V652" s="666"/>
      <c r="W652" s="666"/>
      <c r="X652" s="666"/>
      <c r="Y652" s="940"/>
      <c r="Z652" s="940"/>
      <c r="AA652" s="940"/>
      <c r="AB652" s="602"/>
      <c r="AC652" s="602"/>
      <c r="AD652" s="602"/>
      <c r="AE652" s="602"/>
      <c r="AF652" s="602"/>
      <c r="AG652" s="602"/>
      <c r="AH652" s="602"/>
      <c r="AI652" s="566" t="s">
        <v>1415</v>
      </c>
      <c r="AJ652" s="2437">
        <f>VLOOKUP(H650,AT605:AU607,2,FALSE)</f>
        <v>2</v>
      </c>
      <c r="AK652" s="2439"/>
      <c r="AL652" s="596"/>
      <c r="AN652" s="598"/>
    </row>
    <row r="653" spans="1:42" s="551" customFormat="1" ht="12.75" customHeight="1">
      <c r="B653" s="537"/>
      <c r="C653" s="932"/>
      <c r="D653" s="537"/>
      <c r="E653" s="537"/>
      <c r="F653" s="537"/>
      <c r="G653" s="537"/>
      <c r="H653" s="537"/>
      <c r="I653" s="537"/>
      <c r="J653" s="537"/>
      <c r="K653" s="537"/>
      <c r="L653" s="537"/>
      <c r="M653" s="537"/>
      <c r="N653" s="537"/>
      <c r="O653" s="537"/>
      <c r="P653" s="537"/>
      <c r="Q653" s="537"/>
      <c r="R653" s="537"/>
      <c r="S653" s="537"/>
      <c r="T653" s="537"/>
      <c r="U653" s="537"/>
      <c r="V653" s="537"/>
      <c r="W653" s="537"/>
      <c r="X653" s="537"/>
      <c r="Y653" s="537"/>
      <c r="Z653" s="537"/>
      <c r="AA653" s="537"/>
      <c r="AB653" s="537"/>
      <c r="AC653" s="537"/>
      <c r="AD653" s="537"/>
      <c r="AE653" s="537"/>
      <c r="AF653" s="537"/>
      <c r="AG653" s="537"/>
      <c r="AH653" s="537"/>
      <c r="AI653" s="537"/>
      <c r="AJ653" s="537"/>
      <c r="AK653" s="537"/>
      <c r="AL653" s="537"/>
      <c r="AN653" s="598"/>
    </row>
    <row r="654" spans="1:42" s="551" customFormat="1" ht="12.75" customHeight="1">
      <c r="B654" s="537"/>
      <c r="C654" s="540" t="s">
        <v>1416</v>
      </c>
      <c r="D654" s="537"/>
      <c r="E654" s="537"/>
      <c r="F654" s="537"/>
      <c r="G654" s="537"/>
      <c r="H654" s="537"/>
      <c r="I654" s="537"/>
      <c r="J654" s="537"/>
      <c r="K654" s="537"/>
      <c r="L654" s="537"/>
      <c r="M654" s="537"/>
      <c r="N654" s="537"/>
      <c r="O654" s="537"/>
      <c r="P654" s="537"/>
      <c r="Q654" s="537"/>
      <c r="R654" s="537"/>
      <c r="S654" s="537"/>
      <c r="T654" s="537"/>
      <c r="U654" s="537"/>
      <c r="V654" s="537"/>
      <c r="W654" s="537"/>
      <c r="X654" s="537"/>
      <c r="Y654" s="537"/>
      <c r="Z654" s="537"/>
      <c r="AA654" s="537"/>
      <c r="AB654" s="537"/>
      <c r="AC654" s="537"/>
      <c r="AD654" s="537"/>
      <c r="AE654" s="537"/>
      <c r="AF654" s="537"/>
      <c r="AG654" s="537"/>
      <c r="AH654" s="537"/>
      <c r="AI654" s="537"/>
      <c r="AJ654" s="537"/>
      <c r="AK654" s="537"/>
      <c r="AL654" s="537"/>
      <c r="AN654" s="598"/>
    </row>
    <row r="655" spans="1:42" s="551" customFormat="1" ht="12.75" customHeight="1">
      <c r="B655" s="537"/>
      <c r="C655" s="540"/>
      <c r="D655" s="683" t="s">
        <v>1417</v>
      </c>
      <c r="E655" s="537"/>
      <c r="F655" s="537"/>
      <c r="G655" s="537"/>
      <c r="H655" s="537"/>
      <c r="I655" s="537"/>
      <c r="J655" s="537"/>
      <c r="K655" s="537"/>
      <c r="L655" s="537"/>
      <c r="M655" s="537"/>
      <c r="N655" s="537"/>
      <c r="O655" s="537"/>
      <c r="P655" s="537"/>
      <c r="Q655" s="537"/>
      <c r="R655" s="537"/>
      <c r="S655" s="537"/>
      <c r="T655" s="537"/>
      <c r="U655" s="537"/>
      <c r="V655" s="537"/>
      <c r="W655" s="537"/>
      <c r="X655" s="537"/>
      <c r="Y655" s="537"/>
      <c r="Z655" s="537"/>
      <c r="AA655" s="537"/>
      <c r="AB655" s="537"/>
      <c r="AC655" s="537"/>
      <c r="AD655" s="537"/>
      <c r="AE655" s="537"/>
      <c r="AF655" s="537"/>
      <c r="AG655" s="537"/>
      <c r="AH655" s="537"/>
      <c r="AI655" s="537"/>
      <c r="AJ655" s="537"/>
      <c r="AK655" s="537"/>
      <c r="AL655" s="537"/>
      <c r="AN655" s="598"/>
    </row>
    <row r="656" spans="1:42" s="551" customFormat="1" ht="12.75" customHeight="1">
      <c r="B656" s="537"/>
      <c r="C656" s="540"/>
      <c r="D656" s="537"/>
      <c r="E656" s="537"/>
      <c r="F656" s="537"/>
      <c r="G656" s="537"/>
      <c r="H656" s="537"/>
      <c r="I656" s="537"/>
      <c r="J656" s="537"/>
      <c r="K656" s="537"/>
      <c r="L656" s="537"/>
      <c r="M656" s="537"/>
      <c r="N656" s="537"/>
      <c r="O656" s="537"/>
      <c r="P656" s="537"/>
      <c r="Q656" s="537"/>
      <c r="R656" s="537"/>
      <c r="S656" s="537"/>
      <c r="T656" s="537"/>
      <c r="U656" s="537"/>
      <c r="V656" s="537"/>
      <c r="W656" s="537"/>
      <c r="X656" s="537"/>
      <c r="Y656" s="537"/>
      <c r="Z656" s="537"/>
      <c r="AA656" s="537"/>
      <c r="AB656" s="537"/>
      <c r="AC656" s="537"/>
      <c r="AD656" s="537"/>
      <c r="AE656" s="537"/>
      <c r="AF656" s="537"/>
      <c r="AG656" s="537"/>
      <c r="AH656" s="537"/>
      <c r="AI656" s="537"/>
      <c r="AJ656" s="537"/>
      <c r="AK656" s="537"/>
      <c r="AL656" s="537"/>
      <c r="AN656" s="598"/>
    </row>
    <row r="657" spans="1:42" s="551" customFormat="1" ht="12.75" customHeight="1">
      <c r="B657" s="537"/>
      <c r="C657" s="540"/>
      <c r="D657" s="664" t="s">
        <v>687</v>
      </c>
      <c r="E657" s="2430" t="s">
        <v>1418</v>
      </c>
      <c r="F657" s="2430"/>
      <c r="G657" s="2430"/>
      <c r="H657" s="2430"/>
      <c r="I657" s="2430"/>
      <c r="J657" s="2430"/>
      <c r="K657" s="2430"/>
      <c r="L657" s="2430"/>
      <c r="M657" s="2430"/>
      <c r="N657" s="2430"/>
      <c r="O657" s="2430"/>
      <c r="P657" s="2430"/>
      <c r="Q657" s="2430"/>
      <c r="R657" s="2430"/>
      <c r="S657" s="2430"/>
      <c r="T657" s="2430"/>
      <c r="U657" s="2430"/>
      <c r="V657" s="2430"/>
      <c r="W657" s="2430"/>
      <c r="X657" s="2430"/>
      <c r="Y657" s="2430"/>
      <c r="Z657" s="2430"/>
      <c r="AA657" s="2430"/>
      <c r="AB657" s="2430"/>
      <c r="AC657" s="2430"/>
      <c r="AD657" s="537"/>
      <c r="AE657" s="537"/>
      <c r="AF657" s="2530" t="s">
        <v>1378</v>
      </c>
      <c r="AG657" s="2530"/>
      <c r="AH657" s="2530"/>
      <c r="AI657" s="2530"/>
      <c r="AJ657" s="2530"/>
      <c r="AK657" s="2530"/>
      <c r="AL657" s="2530"/>
      <c r="AN657" s="598"/>
    </row>
    <row r="658" spans="1:42" s="551" customFormat="1" ht="12.75" customHeight="1">
      <c r="B658" s="537"/>
      <c r="C658" s="540"/>
      <c r="D658" s="537"/>
      <c r="E658" s="2430"/>
      <c r="F658" s="2430"/>
      <c r="G658" s="2430"/>
      <c r="H658" s="2430"/>
      <c r="I658" s="2430"/>
      <c r="J658" s="2430"/>
      <c r="K658" s="2430"/>
      <c r="L658" s="2430"/>
      <c r="M658" s="2430"/>
      <c r="N658" s="2430"/>
      <c r="O658" s="2430"/>
      <c r="P658" s="2430"/>
      <c r="Q658" s="2430"/>
      <c r="R658" s="2430"/>
      <c r="S658" s="2430"/>
      <c r="T658" s="2430"/>
      <c r="U658" s="2430"/>
      <c r="V658" s="2430"/>
      <c r="W658" s="2430"/>
      <c r="X658" s="2430"/>
      <c r="Y658" s="2430"/>
      <c r="Z658" s="2430"/>
      <c r="AA658" s="2430"/>
      <c r="AB658" s="2430"/>
      <c r="AC658" s="2430"/>
      <c r="AD658" s="537"/>
      <c r="AE658" s="537"/>
      <c r="AF658" s="537"/>
      <c r="AG658" s="537"/>
      <c r="AH658" s="537"/>
      <c r="AI658" s="537"/>
      <c r="AJ658" s="537"/>
      <c r="AK658" s="537"/>
      <c r="AL658" s="537"/>
      <c r="AN658" s="598"/>
    </row>
    <row r="659" spans="1:42" s="551" customFormat="1" ht="12.75" customHeight="1">
      <c r="B659" s="537"/>
      <c r="C659" s="540"/>
      <c r="D659" s="664"/>
      <c r="E659" s="2430"/>
      <c r="F659" s="2430"/>
      <c r="G659" s="2430"/>
      <c r="H659" s="2430"/>
      <c r="I659" s="2430"/>
      <c r="J659" s="2430"/>
      <c r="K659" s="2430"/>
      <c r="L659" s="2430"/>
      <c r="M659" s="2430"/>
      <c r="N659" s="2430"/>
      <c r="O659" s="2430"/>
      <c r="P659" s="2430"/>
      <c r="Q659" s="2430"/>
      <c r="R659" s="2430"/>
      <c r="S659" s="2430"/>
      <c r="T659" s="2430"/>
      <c r="U659" s="2430"/>
      <c r="V659" s="2430"/>
      <c r="W659" s="2430"/>
      <c r="X659" s="2430"/>
      <c r="Y659" s="2430"/>
      <c r="Z659" s="2430"/>
      <c r="AA659" s="2430"/>
      <c r="AB659" s="2430"/>
      <c r="AC659" s="2430"/>
      <c r="AD659" s="537"/>
      <c r="AE659" s="537"/>
      <c r="AF659" s="537"/>
      <c r="AG659" s="537"/>
      <c r="AH659" s="537"/>
      <c r="AI659" s="537"/>
      <c r="AJ659" s="537"/>
      <c r="AK659" s="537"/>
      <c r="AL659" s="537"/>
      <c r="AN659" s="598"/>
    </row>
    <row r="660" spans="1:42" s="551" customFormat="1" ht="15" customHeight="1">
      <c r="B660" s="537"/>
      <c r="C660" s="540"/>
      <c r="D660" s="537"/>
      <c r="E660" s="947"/>
      <c r="F660" s="947"/>
      <c r="G660" s="947"/>
      <c r="H660" s="947"/>
      <c r="I660" s="947"/>
      <c r="J660" s="947"/>
      <c r="K660" s="947"/>
      <c r="L660" s="947"/>
      <c r="M660" s="947"/>
      <c r="N660" s="947"/>
      <c r="O660" s="947"/>
      <c r="P660" s="947"/>
      <c r="Q660" s="947"/>
      <c r="R660" s="947"/>
      <c r="S660" s="947"/>
      <c r="T660" s="947"/>
      <c r="U660" s="947"/>
      <c r="V660" s="947"/>
      <c r="W660" s="947"/>
      <c r="X660" s="947"/>
      <c r="Y660" s="947"/>
      <c r="Z660" s="947"/>
      <c r="AA660" s="947"/>
      <c r="AB660" s="947"/>
      <c r="AC660" s="537"/>
      <c r="AD660" s="537"/>
      <c r="AE660" s="537"/>
      <c r="AF660" s="537"/>
      <c r="AG660" s="537"/>
      <c r="AH660" s="537"/>
      <c r="AI660" s="537"/>
      <c r="AJ660" s="537"/>
      <c r="AK660" s="537"/>
      <c r="AL660" s="537"/>
      <c r="AN660" s="598"/>
    </row>
    <row r="661" spans="1:42" s="551" customFormat="1" ht="12.75" customHeight="1">
      <c r="B661" s="537"/>
      <c r="C661" s="540"/>
      <c r="D661" s="664" t="s">
        <v>509</v>
      </c>
      <c r="E661" s="2430" t="s">
        <v>1419</v>
      </c>
      <c r="F661" s="2430"/>
      <c r="G661" s="2430"/>
      <c r="H661" s="2430"/>
      <c r="I661" s="2430"/>
      <c r="J661" s="2430"/>
      <c r="K661" s="2430"/>
      <c r="L661" s="2430"/>
      <c r="M661" s="2430"/>
      <c r="N661" s="2430"/>
      <c r="O661" s="2430"/>
      <c r="P661" s="2430"/>
      <c r="Q661" s="2430"/>
      <c r="R661" s="2430"/>
      <c r="S661" s="2430"/>
      <c r="T661" s="2430"/>
      <c r="U661" s="2430"/>
      <c r="V661" s="2430"/>
      <c r="W661" s="2430"/>
      <c r="X661" s="2430"/>
      <c r="Y661" s="2430"/>
      <c r="Z661" s="2430"/>
      <c r="AA661" s="2430"/>
      <c r="AB661" s="2430"/>
      <c r="AC661" s="2430"/>
      <c r="AD661" s="537"/>
      <c r="AE661" s="537"/>
      <c r="AF661" s="2530" t="s">
        <v>1399</v>
      </c>
      <c r="AG661" s="2530"/>
      <c r="AH661" s="2530"/>
      <c r="AI661" s="2530"/>
      <c r="AJ661" s="2530"/>
      <c r="AK661" s="2530"/>
      <c r="AL661" s="2530"/>
      <c r="AN661" s="598"/>
    </row>
    <row r="662" spans="1:42" s="551" customFormat="1" ht="12.75" customHeight="1">
      <c r="B662" s="537"/>
      <c r="C662" s="540"/>
      <c r="D662" s="537"/>
      <c r="E662" s="2430"/>
      <c r="F662" s="2430"/>
      <c r="G662" s="2430"/>
      <c r="H662" s="2430"/>
      <c r="I662" s="2430"/>
      <c r="J662" s="2430"/>
      <c r="K662" s="2430"/>
      <c r="L662" s="2430"/>
      <c r="M662" s="2430"/>
      <c r="N662" s="2430"/>
      <c r="O662" s="2430"/>
      <c r="P662" s="2430"/>
      <c r="Q662" s="2430"/>
      <c r="R662" s="2430"/>
      <c r="S662" s="2430"/>
      <c r="T662" s="2430"/>
      <c r="U662" s="2430"/>
      <c r="V662" s="2430"/>
      <c r="W662" s="2430"/>
      <c r="X662" s="2430"/>
      <c r="Y662" s="2430"/>
      <c r="Z662" s="2430"/>
      <c r="AA662" s="2430"/>
      <c r="AB662" s="2430"/>
      <c r="AC662" s="2430"/>
      <c r="AD662" s="537"/>
      <c r="AE662" s="537"/>
      <c r="AF662" s="537"/>
      <c r="AG662" s="537"/>
      <c r="AH662" s="537"/>
      <c r="AI662" s="537"/>
      <c r="AJ662" s="537"/>
      <c r="AK662" s="537"/>
      <c r="AL662" s="537"/>
      <c r="AN662" s="598"/>
    </row>
    <row r="663" spans="1:42" s="551" customFormat="1" ht="15" customHeight="1">
      <c r="B663" s="537"/>
      <c r="C663" s="540"/>
      <c r="D663" s="664"/>
      <c r="E663" s="2430"/>
      <c r="F663" s="2430"/>
      <c r="G663" s="2430"/>
      <c r="H663" s="2430"/>
      <c r="I663" s="2430"/>
      <c r="J663" s="2430"/>
      <c r="K663" s="2430"/>
      <c r="L663" s="2430"/>
      <c r="M663" s="2430"/>
      <c r="N663" s="2430"/>
      <c r="O663" s="2430"/>
      <c r="P663" s="2430"/>
      <c r="Q663" s="2430"/>
      <c r="R663" s="2430"/>
      <c r="S663" s="2430"/>
      <c r="T663" s="2430"/>
      <c r="U663" s="2430"/>
      <c r="V663" s="2430"/>
      <c r="W663" s="2430"/>
      <c r="X663" s="2430"/>
      <c r="Y663" s="2430"/>
      <c r="Z663" s="2430"/>
      <c r="AA663" s="2430"/>
      <c r="AB663" s="2430"/>
      <c r="AC663" s="2430"/>
      <c r="AD663" s="537"/>
      <c r="AE663" s="537"/>
      <c r="AF663" s="537"/>
      <c r="AG663" s="537"/>
      <c r="AH663" s="537"/>
      <c r="AI663" s="537"/>
      <c r="AJ663" s="537"/>
      <c r="AK663" s="537"/>
      <c r="AL663" s="537"/>
      <c r="AN663" s="598"/>
    </row>
    <row r="664" spans="1:42" s="551" customFormat="1" ht="12.75" customHeight="1">
      <c r="B664" s="537"/>
      <c r="C664" s="540"/>
      <c r="D664" s="537"/>
      <c r="E664" s="947"/>
      <c r="F664" s="947"/>
      <c r="G664" s="947"/>
      <c r="H664" s="947"/>
      <c r="I664" s="947"/>
      <c r="J664" s="947"/>
      <c r="K664" s="947"/>
      <c r="L664" s="947"/>
      <c r="M664" s="947"/>
      <c r="N664" s="947"/>
      <c r="O664" s="947"/>
      <c r="P664" s="947"/>
      <c r="Q664" s="947"/>
      <c r="R664" s="947"/>
      <c r="S664" s="947"/>
      <c r="T664" s="947"/>
      <c r="U664" s="947"/>
      <c r="V664" s="947"/>
      <c r="W664" s="947"/>
      <c r="X664" s="947"/>
      <c r="Y664" s="947"/>
      <c r="Z664" s="947"/>
      <c r="AA664" s="947"/>
      <c r="AB664" s="947"/>
      <c r="AC664" s="537"/>
      <c r="AD664" s="537"/>
      <c r="AE664" s="537"/>
      <c r="AF664" s="537"/>
      <c r="AG664" s="537"/>
      <c r="AH664" s="537"/>
      <c r="AI664" s="537"/>
      <c r="AJ664" s="537"/>
      <c r="AK664" s="537"/>
      <c r="AL664" s="537"/>
      <c r="AN664" s="598"/>
    </row>
    <row r="665" spans="1:42" s="551" customFormat="1" ht="12.75" customHeight="1">
      <c r="B665" s="537"/>
      <c r="C665" s="540"/>
      <c r="D665" s="664" t="s">
        <v>278</v>
      </c>
      <c r="E665" s="2430" t="s">
        <v>1420</v>
      </c>
      <c r="F665" s="2430"/>
      <c r="G665" s="2430"/>
      <c r="H665" s="2430"/>
      <c r="I665" s="2430"/>
      <c r="J665" s="2430"/>
      <c r="K665" s="2430"/>
      <c r="L665" s="2430"/>
      <c r="M665" s="2430"/>
      <c r="N665" s="2430"/>
      <c r="O665" s="2430"/>
      <c r="P665" s="2430"/>
      <c r="Q665" s="2430"/>
      <c r="R665" s="2430"/>
      <c r="S665" s="2430"/>
      <c r="T665" s="2430"/>
      <c r="U665" s="2430"/>
      <c r="V665" s="2430"/>
      <c r="W665" s="2430"/>
      <c r="X665" s="2430"/>
      <c r="Y665" s="2430"/>
      <c r="Z665" s="2430"/>
      <c r="AA665" s="2430"/>
      <c r="AB665" s="2430"/>
      <c r="AC665" s="2430"/>
      <c r="AD665" s="537"/>
      <c r="AE665" s="537"/>
      <c r="AF665" s="2530" t="s">
        <v>1352</v>
      </c>
      <c r="AG665" s="2530"/>
      <c r="AH665" s="2530"/>
      <c r="AI665" s="2530"/>
      <c r="AJ665" s="2530"/>
      <c r="AK665" s="2530"/>
      <c r="AL665" s="2530"/>
      <c r="AN665" s="598"/>
    </row>
    <row r="666" spans="1:42" s="551" customFormat="1" ht="12.75" customHeight="1">
      <c r="B666" s="537"/>
      <c r="C666" s="932"/>
      <c r="D666" s="537"/>
      <c r="E666" s="2430"/>
      <c r="F666" s="2430"/>
      <c r="G666" s="2430"/>
      <c r="H666" s="2430"/>
      <c r="I666" s="2430"/>
      <c r="J666" s="2430"/>
      <c r="K666" s="2430"/>
      <c r="L666" s="2430"/>
      <c r="M666" s="2430"/>
      <c r="N666" s="2430"/>
      <c r="O666" s="2430"/>
      <c r="P666" s="2430"/>
      <c r="Q666" s="2430"/>
      <c r="R666" s="2430"/>
      <c r="S666" s="2430"/>
      <c r="T666" s="2430"/>
      <c r="U666" s="2430"/>
      <c r="V666" s="2430"/>
      <c r="W666" s="2430"/>
      <c r="X666" s="2430"/>
      <c r="Y666" s="2430"/>
      <c r="Z666" s="2430"/>
      <c r="AA666" s="2430"/>
      <c r="AB666" s="2430"/>
      <c r="AC666" s="2430"/>
      <c r="AD666" s="537"/>
      <c r="AE666" s="2530"/>
      <c r="AF666" s="2530"/>
      <c r="AG666" s="2530"/>
      <c r="AH666" s="2530"/>
      <c r="AI666" s="2530"/>
      <c r="AJ666" s="2530"/>
      <c r="AK666" s="2530"/>
      <c r="AL666" s="595"/>
      <c r="AN666" s="598"/>
      <c r="AO666" s="551" t="s">
        <v>591</v>
      </c>
      <c r="AP666" s="674">
        <v>0</v>
      </c>
    </row>
    <row r="667" spans="1:42" s="551" customFormat="1" ht="12.75" customHeight="1">
      <c r="A667" s="680"/>
      <c r="B667" s="537"/>
      <c r="C667" s="537"/>
      <c r="D667" s="664"/>
      <c r="E667" s="2430"/>
      <c r="F667" s="2430"/>
      <c r="G667" s="2430"/>
      <c r="H667" s="2430"/>
      <c r="I667" s="2430"/>
      <c r="J667" s="2430"/>
      <c r="K667" s="2430"/>
      <c r="L667" s="2430"/>
      <c r="M667" s="2430"/>
      <c r="N667" s="2430"/>
      <c r="O667" s="2430"/>
      <c r="P667" s="2430"/>
      <c r="Q667" s="2430"/>
      <c r="R667" s="2430"/>
      <c r="S667" s="2430"/>
      <c r="T667" s="2430"/>
      <c r="U667" s="2430"/>
      <c r="V667" s="2430"/>
      <c r="W667" s="2430"/>
      <c r="X667" s="2430"/>
      <c r="Y667" s="2430"/>
      <c r="Z667" s="2430"/>
      <c r="AA667" s="2430"/>
      <c r="AB667" s="2430"/>
      <c r="AC667" s="2430"/>
      <c r="AD667" s="537"/>
      <c r="AE667" s="537"/>
      <c r="AF667" s="537"/>
      <c r="AG667" s="537"/>
      <c r="AH667" s="537"/>
      <c r="AI667" s="537"/>
      <c r="AJ667" s="537"/>
      <c r="AK667" s="537"/>
      <c r="AL667" s="537"/>
      <c r="AN667" s="598"/>
      <c r="AO667" s="612" t="s">
        <v>687</v>
      </c>
      <c r="AP667" s="551">
        <v>3</v>
      </c>
    </row>
    <row r="668" spans="1:42" s="551" customFormat="1" ht="12.75" customHeight="1">
      <c r="B668" s="537"/>
      <c r="C668" s="932"/>
      <c r="D668" s="664"/>
      <c r="E668" s="576"/>
      <c r="F668" s="576"/>
      <c r="G668" s="576"/>
      <c r="H668" s="576"/>
      <c r="I668" s="576"/>
      <c r="J668" s="576"/>
      <c r="K668" s="576"/>
      <c r="L668" s="576"/>
      <c r="M668" s="576"/>
      <c r="N668" s="576"/>
      <c r="O668" s="576"/>
      <c r="P668" s="576"/>
      <c r="Q668" s="576"/>
      <c r="R668" s="576"/>
      <c r="S668" s="576"/>
      <c r="T668" s="576"/>
      <c r="U668" s="576"/>
      <c r="V668" s="576"/>
      <c r="W668" s="576"/>
      <c r="X668" s="576"/>
      <c r="Y668" s="576"/>
      <c r="Z668" s="576"/>
      <c r="AA668" s="576"/>
      <c r="AB668" s="576"/>
      <c r="AC668" s="537"/>
      <c r="AD668" s="537"/>
      <c r="AE668" s="537"/>
      <c r="AF668" s="537"/>
      <c r="AG668" s="537"/>
      <c r="AH668" s="537"/>
      <c r="AI668" s="537"/>
      <c r="AJ668" s="537"/>
      <c r="AK668" s="537"/>
      <c r="AL668" s="537"/>
      <c r="AN668" s="598"/>
      <c r="AO668" s="612" t="s">
        <v>509</v>
      </c>
      <c r="AP668" s="551">
        <v>2</v>
      </c>
    </row>
    <row r="669" spans="1:42" s="551" customFormat="1" ht="12.75" customHeight="1">
      <c r="A669" s="671"/>
      <c r="B669" s="537"/>
      <c r="C669" s="948"/>
      <c r="D669" s="664" t="s">
        <v>1397</v>
      </c>
      <c r="E669" s="2430" t="s">
        <v>1421</v>
      </c>
      <c r="F669" s="2430"/>
      <c r="G669" s="2430"/>
      <c r="H669" s="2430"/>
      <c r="I669" s="2430"/>
      <c r="J669" s="2430"/>
      <c r="K669" s="2430"/>
      <c r="L669" s="2430"/>
      <c r="M669" s="2430"/>
      <c r="N669" s="2430"/>
      <c r="O669" s="2430"/>
      <c r="P669" s="2430"/>
      <c r="Q669" s="2430"/>
      <c r="R669" s="2430"/>
      <c r="S669" s="2430"/>
      <c r="T669" s="2430"/>
      <c r="U669" s="2430"/>
      <c r="V669" s="2430"/>
      <c r="W669" s="2430"/>
      <c r="X669" s="2430"/>
      <c r="Y669" s="2430"/>
      <c r="Z669" s="2430"/>
      <c r="AA669" s="2430"/>
      <c r="AB669" s="2430"/>
      <c r="AC669" s="2430"/>
      <c r="AD669" s="537"/>
      <c r="AE669" s="537"/>
      <c r="AF669" s="2530" t="s">
        <v>1399</v>
      </c>
      <c r="AG669" s="2530"/>
      <c r="AH669" s="2530"/>
      <c r="AI669" s="2530"/>
      <c r="AJ669" s="2530"/>
      <c r="AK669" s="2530"/>
      <c r="AL669" s="2530"/>
      <c r="AN669" s="598"/>
    </row>
    <row r="670" spans="1:42" s="551" customFormat="1" ht="12.75" customHeight="1">
      <c r="A670" s="671"/>
      <c r="B670" s="537"/>
      <c r="C670" s="948"/>
      <c r="D670" s="664"/>
      <c r="E670" s="2430"/>
      <c r="F670" s="2430"/>
      <c r="G670" s="2430"/>
      <c r="H670" s="2430"/>
      <c r="I670" s="2430"/>
      <c r="J670" s="2430"/>
      <c r="K670" s="2430"/>
      <c r="L670" s="2430"/>
      <c r="M670" s="2430"/>
      <c r="N670" s="2430"/>
      <c r="O670" s="2430"/>
      <c r="P670" s="2430"/>
      <c r="Q670" s="2430"/>
      <c r="R670" s="2430"/>
      <c r="S670" s="2430"/>
      <c r="T670" s="2430"/>
      <c r="U670" s="2430"/>
      <c r="V670" s="2430"/>
      <c r="W670" s="2430"/>
      <c r="X670" s="2430"/>
      <c r="Y670" s="2430"/>
      <c r="Z670" s="2430"/>
      <c r="AA670" s="2430"/>
      <c r="AB670" s="2430"/>
      <c r="AC670" s="2430"/>
      <c r="AD670" s="537"/>
      <c r="AE670" s="595"/>
      <c r="AF670" s="595"/>
      <c r="AG670" s="595"/>
      <c r="AH670" s="595"/>
      <c r="AI670" s="595"/>
      <c r="AJ670" s="595"/>
      <c r="AK670" s="595"/>
      <c r="AL670" s="595"/>
      <c r="AM670" s="597"/>
      <c r="AN670" s="598"/>
    </row>
    <row r="671" spans="1:42" s="551" customFormat="1" ht="12.75" customHeight="1">
      <c r="A671" s="671"/>
      <c r="B671" s="537"/>
      <c r="C671" s="948"/>
      <c r="D671" s="664"/>
      <c r="E671" s="2430"/>
      <c r="F671" s="2430"/>
      <c r="G671" s="2430"/>
      <c r="H671" s="2430"/>
      <c r="I671" s="2430"/>
      <c r="J671" s="2430"/>
      <c r="K671" s="2430"/>
      <c r="L671" s="2430"/>
      <c r="M671" s="2430"/>
      <c r="N671" s="2430"/>
      <c r="O671" s="2430"/>
      <c r="P671" s="2430"/>
      <c r="Q671" s="2430"/>
      <c r="R671" s="2430"/>
      <c r="S671" s="2430"/>
      <c r="T671" s="2430"/>
      <c r="U671" s="2430"/>
      <c r="V671" s="2430"/>
      <c r="W671" s="2430"/>
      <c r="X671" s="2430"/>
      <c r="Y671" s="2430"/>
      <c r="Z671" s="2430"/>
      <c r="AA671" s="2430"/>
      <c r="AB671" s="2430"/>
      <c r="AC671" s="2430"/>
      <c r="AD671" s="537"/>
      <c r="AE671" s="595"/>
      <c r="AF671" s="595"/>
      <c r="AG671" s="595"/>
      <c r="AH671" s="595"/>
      <c r="AI671" s="595"/>
      <c r="AJ671" s="595"/>
      <c r="AK671" s="595"/>
      <c r="AL671" s="595"/>
      <c r="AM671" s="597"/>
      <c r="AN671" s="598"/>
    </row>
    <row r="672" spans="1:42" s="551" customFormat="1" ht="12.75" customHeight="1">
      <c r="B672" s="537"/>
      <c r="C672" s="932"/>
      <c r="D672" s="664"/>
      <c r="E672" s="643"/>
      <c r="F672" s="643"/>
      <c r="G672" s="643"/>
      <c r="H672" s="643"/>
      <c r="I672" s="643"/>
      <c r="J672" s="643"/>
      <c r="K672" s="643"/>
      <c r="L672" s="643"/>
      <c r="M672" s="643"/>
      <c r="N672" s="643"/>
      <c r="O672" s="643"/>
      <c r="P672" s="643"/>
      <c r="Q672" s="643"/>
      <c r="R672" s="643"/>
      <c r="S672" s="643"/>
      <c r="T672" s="643"/>
      <c r="U672" s="643"/>
      <c r="V672" s="643"/>
      <c r="W672" s="643"/>
      <c r="X672" s="643"/>
      <c r="Y672" s="643"/>
      <c r="Z672" s="643"/>
      <c r="AA672" s="643"/>
      <c r="AB672" s="643"/>
      <c r="AC672" s="540"/>
      <c r="AD672" s="540"/>
      <c r="AE672" s="537"/>
      <c r="AF672" s="537"/>
      <c r="AG672" s="537"/>
      <c r="AH672" s="537"/>
      <c r="AI672" s="537"/>
      <c r="AJ672" s="537"/>
      <c r="AK672" s="537"/>
      <c r="AL672" s="595"/>
      <c r="AM672" s="597"/>
      <c r="AN672" s="598"/>
    </row>
    <row r="673" spans="1:42" s="551" customFormat="1" ht="12.75" customHeight="1">
      <c r="B673" s="537"/>
      <c r="C673" s="932"/>
      <c r="D673" s="664" t="s">
        <v>1398</v>
      </c>
      <c r="E673" s="2430" t="s">
        <v>1422</v>
      </c>
      <c r="F673" s="2430"/>
      <c r="G673" s="2430"/>
      <c r="H673" s="2430"/>
      <c r="I673" s="2430"/>
      <c r="J673" s="2430"/>
      <c r="K673" s="2430"/>
      <c r="L673" s="2430"/>
      <c r="M673" s="2430"/>
      <c r="N673" s="2430"/>
      <c r="O673" s="2430"/>
      <c r="P673" s="2430"/>
      <c r="Q673" s="2430"/>
      <c r="R673" s="2430"/>
      <c r="S673" s="2430"/>
      <c r="T673" s="2430"/>
      <c r="U673" s="2430"/>
      <c r="V673" s="2430"/>
      <c r="W673" s="2430"/>
      <c r="X673" s="2430"/>
      <c r="Y673" s="2430"/>
      <c r="Z673" s="2430"/>
      <c r="AA673" s="2430"/>
      <c r="AB673" s="2430"/>
      <c r="AC673" s="2430"/>
      <c r="AD673" s="537"/>
      <c r="AE673" s="537"/>
      <c r="AF673" s="2530" t="s">
        <v>1352</v>
      </c>
      <c r="AG673" s="2530"/>
      <c r="AH673" s="2530"/>
      <c r="AI673" s="2530"/>
      <c r="AJ673" s="2530"/>
      <c r="AK673" s="2530"/>
      <c r="AL673" s="2530"/>
      <c r="AM673" s="597"/>
      <c r="AN673" s="598"/>
    </row>
    <row r="674" spans="1:42" s="551" customFormat="1" ht="12.75" customHeight="1">
      <c r="B674" s="537"/>
      <c r="C674" s="932"/>
      <c r="D674" s="664"/>
      <c r="E674" s="2430"/>
      <c r="F674" s="2430"/>
      <c r="G674" s="2430"/>
      <c r="H674" s="2430"/>
      <c r="I674" s="2430"/>
      <c r="J674" s="2430"/>
      <c r="K674" s="2430"/>
      <c r="L674" s="2430"/>
      <c r="M674" s="2430"/>
      <c r="N674" s="2430"/>
      <c r="O674" s="2430"/>
      <c r="P674" s="2430"/>
      <c r="Q674" s="2430"/>
      <c r="R674" s="2430"/>
      <c r="S674" s="2430"/>
      <c r="T674" s="2430"/>
      <c r="U674" s="2430"/>
      <c r="V674" s="2430"/>
      <c r="W674" s="2430"/>
      <c r="X674" s="2430"/>
      <c r="Y674" s="2430"/>
      <c r="Z674" s="2430"/>
      <c r="AA674" s="2430"/>
      <c r="AB674" s="2430"/>
      <c r="AC674" s="2430"/>
      <c r="AD674" s="537"/>
      <c r="AE674" s="537"/>
      <c r="AF674" s="537"/>
      <c r="AG674" s="537"/>
      <c r="AH674" s="537"/>
      <c r="AI674" s="537"/>
      <c r="AJ674" s="537"/>
      <c r="AK674" s="537"/>
      <c r="AL674" s="537"/>
      <c r="AM674" s="597"/>
      <c r="AN674" s="598"/>
    </row>
    <row r="675" spans="1:42" s="551" customFormat="1" ht="12.75" customHeight="1">
      <c r="B675" s="537"/>
      <c r="C675" s="932"/>
      <c r="D675" s="664"/>
      <c r="E675" s="2430"/>
      <c r="F675" s="2430"/>
      <c r="G675" s="2430"/>
      <c r="H675" s="2430"/>
      <c r="I675" s="2430"/>
      <c r="J675" s="2430"/>
      <c r="K675" s="2430"/>
      <c r="L675" s="2430"/>
      <c r="M675" s="2430"/>
      <c r="N675" s="2430"/>
      <c r="O675" s="2430"/>
      <c r="P675" s="2430"/>
      <c r="Q675" s="2430"/>
      <c r="R675" s="2430"/>
      <c r="S675" s="2430"/>
      <c r="T675" s="2430"/>
      <c r="U675" s="2430"/>
      <c r="V675" s="2430"/>
      <c r="W675" s="2430"/>
      <c r="X675" s="2430"/>
      <c r="Y675" s="2430"/>
      <c r="Z675" s="2430"/>
      <c r="AA675" s="2430"/>
      <c r="AB675" s="2430"/>
      <c r="AC675" s="2430"/>
      <c r="AD675" s="537"/>
      <c r="AE675" s="537"/>
      <c r="AF675" s="537"/>
      <c r="AG675" s="537"/>
      <c r="AH675" s="537"/>
      <c r="AI675" s="537"/>
      <c r="AJ675" s="537"/>
      <c r="AK675" s="537"/>
      <c r="AL675" s="537"/>
      <c r="AM675" s="597"/>
      <c r="AN675" s="598"/>
    </row>
    <row r="676" spans="1:42" s="551" customFormat="1" ht="12.75" customHeight="1">
      <c r="B676" s="537"/>
      <c r="C676" s="932"/>
      <c r="D676" s="664"/>
      <c r="E676" s="537"/>
      <c r="F676" s="537"/>
      <c r="G676" s="537"/>
      <c r="H676" s="537"/>
      <c r="I676" s="537"/>
      <c r="J676" s="537"/>
      <c r="K676" s="537"/>
      <c r="L676" s="537"/>
      <c r="M676" s="537"/>
      <c r="N676" s="537"/>
      <c r="O676" s="537"/>
      <c r="P676" s="537"/>
      <c r="Q676" s="537"/>
      <c r="R676" s="537"/>
      <c r="S676" s="537"/>
      <c r="T676" s="537"/>
      <c r="U676" s="537"/>
      <c r="V676" s="537"/>
      <c r="W676" s="537"/>
      <c r="X676" s="537"/>
      <c r="Y676" s="537"/>
      <c r="Z676" s="537"/>
      <c r="AA676" s="537"/>
      <c r="AB676" s="537"/>
      <c r="AC676" s="537"/>
      <c r="AD676" s="537"/>
      <c r="AE676" s="537"/>
      <c r="AF676" s="537"/>
      <c r="AG676" s="537"/>
      <c r="AH676" s="537"/>
      <c r="AI676" s="537"/>
      <c r="AJ676" s="537"/>
      <c r="AK676" s="537"/>
      <c r="AL676" s="537"/>
      <c r="AM676" s="597"/>
      <c r="AN676" s="598"/>
    </row>
    <row r="677" spans="1:42" s="551" customFormat="1" ht="12.75" customHeight="1">
      <c r="A677" s="680"/>
      <c r="B677" s="537"/>
      <c r="C677" s="932"/>
      <c r="D677" s="664" t="s">
        <v>1409</v>
      </c>
      <c r="E677" s="2430" t="s">
        <v>1423</v>
      </c>
      <c r="F677" s="2430"/>
      <c r="G677" s="2430"/>
      <c r="H677" s="2430"/>
      <c r="I677" s="2430"/>
      <c r="J677" s="2430"/>
      <c r="K677" s="2430"/>
      <c r="L677" s="2430"/>
      <c r="M677" s="2430"/>
      <c r="N677" s="2430"/>
      <c r="O677" s="2430"/>
      <c r="P677" s="2430"/>
      <c r="Q677" s="2430"/>
      <c r="R677" s="2430"/>
      <c r="S677" s="2430"/>
      <c r="T677" s="2430"/>
      <c r="U677" s="2430"/>
      <c r="V677" s="2430"/>
      <c r="W677" s="2430"/>
      <c r="X677" s="2430"/>
      <c r="Y677" s="2430"/>
      <c r="Z677" s="2430"/>
      <c r="AA677" s="2430"/>
      <c r="AB677" s="2430"/>
      <c r="AC677" s="2430"/>
      <c r="AD677" s="537"/>
      <c r="AE677" s="537"/>
      <c r="AF677" s="2530" t="s">
        <v>1408</v>
      </c>
      <c r="AG677" s="2530"/>
      <c r="AH677" s="2530"/>
      <c r="AI677" s="2530"/>
      <c r="AJ677" s="2530"/>
      <c r="AK677" s="2530"/>
      <c r="AL677" s="2530"/>
      <c r="AM677" s="597"/>
      <c r="AN677" s="598"/>
    </row>
    <row r="678" spans="1:42" s="551" customFormat="1" ht="12.75" customHeight="1">
      <c r="A678" s="680"/>
      <c r="B678" s="537"/>
      <c r="C678" s="932"/>
      <c r="D678" s="664"/>
      <c r="E678" s="2430"/>
      <c r="F678" s="2430"/>
      <c r="G678" s="2430"/>
      <c r="H678" s="2430"/>
      <c r="I678" s="2430"/>
      <c r="J678" s="2430"/>
      <c r="K678" s="2430"/>
      <c r="L678" s="2430"/>
      <c r="M678" s="2430"/>
      <c r="N678" s="2430"/>
      <c r="O678" s="2430"/>
      <c r="P678" s="2430"/>
      <c r="Q678" s="2430"/>
      <c r="R678" s="2430"/>
      <c r="S678" s="2430"/>
      <c r="T678" s="2430"/>
      <c r="U678" s="2430"/>
      <c r="V678" s="2430"/>
      <c r="W678" s="2430"/>
      <c r="X678" s="2430"/>
      <c r="Y678" s="2430"/>
      <c r="Z678" s="2430"/>
      <c r="AA678" s="2430"/>
      <c r="AB678" s="2430"/>
      <c r="AC678" s="2430"/>
      <c r="AD678" s="537"/>
      <c r="AE678" s="537"/>
      <c r="AF678" s="595"/>
      <c r="AG678" s="595"/>
      <c r="AH678" s="595"/>
      <c r="AI678" s="595"/>
      <c r="AJ678" s="595"/>
      <c r="AK678" s="595"/>
      <c r="AL678" s="595"/>
      <c r="AM678" s="597"/>
      <c r="AN678" s="598"/>
    </row>
    <row r="679" spans="1:42" s="551" customFormat="1" ht="12.75" customHeight="1">
      <c r="A679" s="680"/>
      <c r="B679" s="537"/>
      <c r="C679" s="932"/>
      <c r="D679" s="664"/>
      <c r="E679" s="2430"/>
      <c r="F679" s="2430"/>
      <c r="G679" s="2430"/>
      <c r="H679" s="2430"/>
      <c r="I679" s="2430"/>
      <c r="J679" s="2430"/>
      <c r="K679" s="2430"/>
      <c r="L679" s="2430"/>
      <c r="M679" s="2430"/>
      <c r="N679" s="2430"/>
      <c r="O679" s="2430"/>
      <c r="P679" s="2430"/>
      <c r="Q679" s="2430"/>
      <c r="R679" s="2430"/>
      <c r="S679" s="2430"/>
      <c r="T679" s="2430"/>
      <c r="U679" s="2430"/>
      <c r="V679" s="2430"/>
      <c r="W679" s="2430"/>
      <c r="X679" s="2430"/>
      <c r="Y679" s="2430"/>
      <c r="Z679" s="2430"/>
      <c r="AA679" s="2430"/>
      <c r="AB679" s="2430"/>
      <c r="AC679" s="2430"/>
      <c r="AD679" s="537"/>
      <c r="AE679" s="595"/>
      <c r="AF679" s="595"/>
      <c r="AG679" s="595"/>
      <c r="AH679" s="595"/>
      <c r="AI679" s="595"/>
      <c r="AJ679" s="595"/>
      <c r="AK679" s="595"/>
      <c r="AL679" s="595"/>
      <c r="AM679" s="597"/>
      <c r="AN679" s="598"/>
    </row>
    <row r="680" spans="1:42" s="551" customFormat="1" ht="12.75" customHeight="1">
      <c r="A680" s="680"/>
      <c r="B680" s="537"/>
      <c r="C680" s="932"/>
      <c r="D680" s="664"/>
      <c r="E680" s="643"/>
      <c r="F680" s="643"/>
      <c r="G680" s="643"/>
      <c r="H680" s="643"/>
      <c r="I680" s="643"/>
      <c r="J680" s="643"/>
      <c r="K680" s="643"/>
      <c r="L680" s="643"/>
      <c r="M680" s="643"/>
      <c r="N680" s="643"/>
      <c r="O680" s="643"/>
      <c r="P680" s="643"/>
      <c r="Q680" s="643"/>
      <c r="R680" s="643"/>
      <c r="S680" s="643"/>
      <c r="T680" s="643"/>
      <c r="U680" s="643"/>
      <c r="V680" s="643"/>
      <c r="W680" s="643"/>
      <c r="X680" s="643"/>
      <c r="Y680" s="643"/>
      <c r="Z680" s="643"/>
      <c r="AA680" s="643"/>
      <c r="AB680" s="643"/>
      <c r="AC680" s="643"/>
      <c r="AD680" s="537"/>
      <c r="AE680" s="595"/>
      <c r="AF680" s="537"/>
      <c r="AG680" s="537"/>
      <c r="AH680" s="537"/>
      <c r="AI680" s="537"/>
      <c r="AJ680" s="537"/>
      <c r="AK680" s="537"/>
      <c r="AL680" s="537"/>
      <c r="AM680" s="597"/>
      <c r="AN680" s="598"/>
      <c r="AO680" s="551" t="s">
        <v>591</v>
      </c>
      <c r="AP680" s="638">
        <v>0</v>
      </c>
    </row>
    <row r="681" spans="1:42" s="551" customFormat="1" ht="12.75" customHeight="1">
      <c r="A681" s="680"/>
      <c r="B681" s="537"/>
      <c r="C681" s="932"/>
      <c r="D681" s="664" t="s">
        <v>1411</v>
      </c>
      <c r="E681" s="2430" t="s">
        <v>1424</v>
      </c>
      <c r="F681" s="2430"/>
      <c r="G681" s="2430"/>
      <c r="H681" s="2430"/>
      <c r="I681" s="2430"/>
      <c r="J681" s="2430"/>
      <c r="K681" s="2430"/>
      <c r="L681" s="2430"/>
      <c r="M681" s="2430"/>
      <c r="N681" s="2430"/>
      <c r="O681" s="2430"/>
      <c r="P681" s="2430"/>
      <c r="Q681" s="2430"/>
      <c r="R681" s="2430"/>
      <c r="S681" s="2430"/>
      <c r="T681" s="2430"/>
      <c r="U681" s="2430"/>
      <c r="V681" s="2430"/>
      <c r="W681" s="2430"/>
      <c r="X681" s="2430"/>
      <c r="Y681" s="2430"/>
      <c r="Z681" s="2430"/>
      <c r="AA681" s="2430"/>
      <c r="AB681" s="2430"/>
      <c r="AC681" s="2430"/>
      <c r="AD681" s="537"/>
      <c r="AE681" s="537"/>
      <c r="AF681" s="2530" t="s">
        <v>1425</v>
      </c>
      <c r="AG681" s="2530"/>
      <c r="AH681" s="2530"/>
      <c r="AI681" s="2530"/>
      <c r="AJ681" s="2530"/>
      <c r="AK681" s="2530"/>
      <c r="AL681" s="2530"/>
      <c r="AM681" s="597"/>
      <c r="AN681" s="598"/>
      <c r="AO681" s="612" t="s">
        <v>687</v>
      </c>
      <c r="AP681" s="551">
        <v>3</v>
      </c>
    </row>
    <row r="682" spans="1:42" s="551" customFormat="1" ht="12.75" customHeight="1">
      <c r="A682" s="680"/>
      <c r="B682" s="537"/>
      <c r="C682" s="932"/>
      <c r="D682" s="664"/>
      <c r="E682" s="2430"/>
      <c r="F682" s="2430"/>
      <c r="G682" s="2430"/>
      <c r="H682" s="2430"/>
      <c r="I682" s="2430"/>
      <c r="J682" s="2430"/>
      <c r="K682" s="2430"/>
      <c r="L682" s="2430"/>
      <c r="M682" s="2430"/>
      <c r="N682" s="2430"/>
      <c r="O682" s="2430"/>
      <c r="P682" s="2430"/>
      <c r="Q682" s="2430"/>
      <c r="R682" s="2430"/>
      <c r="S682" s="2430"/>
      <c r="T682" s="2430"/>
      <c r="U682" s="2430"/>
      <c r="V682" s="2430"/>
      <c r="W682" s="2430"/>
      <c r="X682" s="2430"/>
      <c r="Y682" s="2430"/>
      <c r="Z682" s="2430"/>
      <c r="AA682" s="2430"/>
      <c r="AB682" s="2430"/>
      <c r="AC682" s="2430"/>
      <c r="AD682" s="537"/>
      <c r="AE682" s="537"/>
      <c r="AF682" s="595"/>
      <c r="AG682" s="595"/>
      <c r="AH682" s="595"/>
      <c r="AI682" s="595"/>
      <c r="AJ682" s="595"/>
      <c r="AK682" s="595"/>
      <c r="AL682" s="595"/>
      <c r="AM682" s="597"/>
      <c r="AN682" s="598"/>
      <c r="AO682" s="612" t="s">
        <v>509</v>
      </c>
      <c r="AP682" s="551">
        <v>2</v>
      </c>
    </row>
    <row r="683" spans="1:42" s="551" customFormat="1" ht="12.75" customHeight="1">
      <c r="A683" s="680"/>
      <c r="B683" s="537"/>
      <c r="C683" s="932"/>
      <c r="D683" s="664"/>
      <c r="E683" s="2430"/>
      <c r="F683" s="2430"/>
      <c r="G683" s="2430"/>
      <c r="H683" s="2430"/>
      <c r="I683" s="2430"/>
      <c r="J683" s="2430"/>
      <c r="K683" s="2430"/>
      <c r="L683" s="2430"/>
      <c r="M683" s="2430"/>
      <c r="N683" s="2430"/>
      <c r="O683" s="2430"/>
      <c r="P683" s="2430"/>
      <c r="Q683" s="2430"/>
      <c r="R683" s="2430"/>
      <c r="S683" s="2430"/>
      <c r="T683" s="2430"/>
      <c r="U683" s="2430"/>
      <c r="V683" s="2430"/>
      <c r="W683" s="2430"/>
      <c r="X683" s="2430"/>
      <c r="Y683" s="2430"/>
      <c r="Z683" s="2430"/>
      <c r="AA683" s="2430"/>
      <c r="AB683" s="2430"/>
      <c r="AC683" s="2430"/>
      <c r="AD683" s="537"/>
      <c r="AE683" s="595"/>
      <c r="AF683" s="595"/>
      <c r="AG683" s="595"/>
      <c r="AH683" s="595"/>
      <c r="AI683" s="595"/>
      <c r="AJ683" s="595"/>
      <c r="AK683" s="595"/>
      <c r="AL683" s="595"/>
      <c r="AM683" s="597"/>
      <c r="AN683" s="598"/>
    </row>
    <row r="684" spans="1:42" s="551" customFormat="1" ht="12.75" customHeight="1">
      <c r="A684" s="671"/>
      <c r="B684" s="537"/>
      <c r="C684" s="948"/>
      <c r="D684" s="664"/>
      <c r="E684" s="644"/>
      <c r="F684" s="644"/>
      <c r="G684" s="644"/>
      <c r="H684" s="644"/>
      <c r="I684" s="644"/>
      <c r="J684" s="644"/>
      <c r="K684" s="644"/>
      <c r="L684" s="644"/>
      <c r="M684" s="644"/>
      <c r="N684" s="644"/>
      <c r="O684" s="644"/>
      <c r="P684" s="644"/>
      <c r="Q684" s="644"/>
      <c r="R684" s="644"/>
      <c r="S684" s="644"/>
      <c r="T684" s="644"/>
      <c r="U684" s="644"/>
      <c r="V684" s="644"/>
      <c r="W684" s="644"/>
      <c r="X684" s="644"/>
      <c r="Y684" s="644"/>
      <c r="Z684" s="644"/>
      <c r="AA684" s="644"/>
      <c r="AB684" s="644"/>
      <c r="AC684" s="644"/>
      <c r="AD684" s="537"/>
      <c r="AE684" s="595"/>
      <c r="AF684" s="595"/>
      <c r="AG684" s="595"/>
      <c r="AH684" s="595"/>
      <c r="AI684" s="595"/>
      <c r="AJ684" s="595"/>
      <c r="AK684" s="595"/>
      <c r="AL684" s="595"/>
      <c r="AM684" s="597"/>
      <c r="AN684" s="598"/>
    </row>
    <row r="685" spans="1:42" s="551" customFormat="1" ht="12.75" customHeight="1">
      <c r="A685" s="680"/>
      <c r="B685" s="537"/>
      <c r="C685" s="932"/>
      <c r="D685" s="537" t="s">
        <v>1400</v>
      </c>
      <c r="E685" s="937"/>
      <c r="F685" s="937"/>
      <c r="G685" s="937"/>
      <c r="H685" s="2454" t="s">
        <v>509</v>
      </c>
      <c r="I685" s="2454"/>
      <c r="J685" s="617"/>
      <c r="K685" s="617"/>
      <c r="L685" s="537"/>
      <c r="M685" s="537"/>
      <c r="N685" s="537"/>
      <c r="O685" s="537"/>
      <c r="P685" s="537"/>
      <c r="Q685" s="537"/>
      <c r="R685" s="537"/>
      <c r="S685" s="537"/>
      <c r="T685" s="537"/>
      <c r="U685" s="537"/>
      <c r="V685" s="537"/>
      <c r="W685" s="537"/>
      <c r="X685" s="537"/>
      <c r="Y685" s="537"/>
      <c r="Z685" s="537"/>
      <c r="AA685" s="537"/>
      <c r="AB685" s="537"/>
      <c r="AC685" s="537"/>
      <c r="AD685" s="537"/>
      <c r="AE685" s="537"/>
      <c r="AF685" s="537"/>
      <c r="AG685" s="537"/>
      <c r="AH685" s="537"/>
      <c r="AI685" s="537"/>
      <c r="AJ685" s="537"/>
      <c r="AK685" s="537"/>
      <c r="AL685" s="537"/>
      <c r="AN685" s="598"/>
    </row>
    <row r="686" spans="1:42" s="551" customFormat="1" ht="12.75" customHeight="1">
      <c r="A686" s="680"/>
      <c r="B686" s="537"/>
      <c r="C686" s="932"/>
      <c r="D686" s="537"/>
      <c r="E686" s="937"/>
      <c r="F686" s="937"/>
      <c r="G686" s="617"/>
      <c r="H686" s="617"/>
      <c r="I686" s="617"/>
      <c r="J686" s="617"/>
      <c r="K686" s="617"/>
      <c r="L686" s="617"/>
      <c r="M686" s="617"/>
      <c r="N686" s="617"/>
      <c r="O686" s="617"/>
      <c r="P686" s="617"/>
      <c r="Q686" s="617"/>
      <c r="R686" s="617"/>
      <c r="S686" s="617"/>
      <c r="T686" s="617"/>
      <c r="U686" s="617"/>
      <c r="V686" s="617"/>
      <c r="W686" s="617"/>
      <c r="X686" s="617"/>
      <c r="Y686" s="617"/>
      <c r="Z686" s="937"/>
      <c r="AA686" s="937"/>
      <c r="AB686" s="937"/>
      <c r="AC686" s="537"/>
      <c r="AD686" s="537"/>
      <c r="AE686" s="537"/>
      <c r="AF686" s="537"/>
      <c r="AG686" s="617"/>
      <c r="AH686" s="617"/>
      <c r="AI686" s="617"/>
      <c r="AJ686" s="617"/>
      <c r="AK686" s="617"/>
      <c r="AL686" s="617"/>
      <c r="AM686" s="552"/>
      <c r="AN686" s="598"/>
    </row>
    <row r="687" spans="1:42" s="551" customFormat="1" ht="12.75" customHeight="1">
      <c r="A687" s="684"/>
      <c r="B687" s="602"/>
      <c r="C687" s="945"/>
      <c r="D687" s="602"/>
      <c r="E687" s="940"/>
      <c r="F687" s="666"/>
      <c r="G687" s="666"/>
      <c r="H687" s="666"/>
      <c r="I687" s="666"/>
      <c r="J687" s="666"/>
      <c r="K687" s="666"/>
      <c r="L687" s="666"/>
      <c r="M687" s="666"/>
      <c r="N687" s="666"/>
      <c r="O687" s="666"/>
      <c r="P687" s="666"/>
      <c r="Q687" s="666"/>
      <c r="R687" s="666"/>
      <c r="S687" s="666"/>
      <c r="T687" s="666"/>
      <c r="U687" s="666"/>
      <c r="V687" s="666"/>
      <c r="W687" s="666"/>
      <c r="X687" s="666"/>
      <c r="Y687" s="940"/>
      <c r="Z687" s="940"/>
      <c r="AA687" s="940"/>
      <c r="AB687" s="602"/>
      <c r="AC687" s="602"/>
      <c r="AD687" s="602"/>
      <c r="AE687" s="602"/>
      <c r="AF687" s="602"/>
      <c r="AG687" s="602"/>
      <c r="AH687" s="602"/>
      <c r="AI687" s="566" t="s">
        <v>1426</v>
      </c>
      <c r="AJ687" s="2437">
        <f>VLOOKUP($H$685,$AO$633:$AP$640,2,FALSE)</f>
        <v>4</v>
      </c>
      <c r="AK687" s="2439"/>
      <c r="AL687" s="596"/>
      <c r="AN687" s="598"/>
    </row>
    <row r="688" spans="1:42" s="551" customFormat="1" ht="12.75" customHeight="1">
      <c r="A688" s="680"/>
      <c r="B688" s="537"/>
      <c r="C688" s="932"/>
      <c r="D688" s="537"/>
      <c r="E688" s="617"/>
      <c r="F688" s="617"/>
      <c r="G688" s="617"/>
      <c r="H688" s="617"/>
      <c r="I688" s="617"/>
      <c r="J688" s="617"/>
      <c r="K688" s="617"/>
      <c r="L688" s="617"/>
      <c r="M688" s="617"/>
      <c r="N688" s="617"/>
      <c r="O688" s="617"/>
      <c r="P688" s="617"/>
      <c r="Q688" s="617"/>
      <c r="R688" s="617"/>
      <c r="S688" s="617"/>
      <c r="T688" s="617"/>
      <c r="U688" s="617"/>
      <c r="V688" s="617"/>
      <c r="W688" s="617"/>
      <c r="X688" s="617"/>
      <c r="Y688" s="617"/>
      <c r="Z688" s="617"/>
      <c r="AA688" s="617"/>
      <c r="AB688" s="617"/>
      <c r="AC688" s="617"/>
      <c r="AD688" s="641"/>
      <c r="AE688" s="537"/>
      <c r="AF688" s="537"/>
      <c r="AG688" s="537"/>
      <c r="AH688" s="537"/>
      <c r="AI688" s="537"/>
      <c r="AJ688" s="537"/>
      <c r="AK688" s="537"/>
      <c r="AL688" s="537"/>
      <c r="AN688" s="598"/>
    </row>
    <row r="689" spans="1:51" s="551" customFormat="1" ht="12.75" customHeight="1">
      <c r="A689" s="680"/>
      <c r="B689" s="537"/>
      <c r="C689" s="540" t="s">
        <v>2137</v>
      </c>
      <c r="D689" s="713"/>
      <c r="E689" s="617"/>
      <c r="F689" s="617"/>
      <c r="G689" s="617"/>
      <c r="H689" s="617"/>
      <c r="I689" s="617"/>
      <c r="J689" s="617"/>
      <c r="K689" s="617"/>
      <c r="L689" s="617"/>
      <c r="M689" s="617"/>
      <c r="N689" s="617"/>
      <c r="O689" s="617"/>
      <c r="P689" s="617"/>
      <c r="Q689" s="617"/>
      <c r="R689" s="617"/>
      <c r="S689" s="617"/>
      <c r="T689" s="617"/>
      <c r="U689" s="617"/>
      <c r="V689" s="617"/>
      <c r="W689" s="617"/>
      <c r="X689" s="617"/>
      <c r="Y689" s="617"/>
      <c r="Z689" s="617"/>
      <c r="AA689" s="617"/>
      <c r="AB689" s="617"/>
      <c r="AC689" s="617"/>
      <c r="AD689" s="641"/>
      <c r="AE689" s="537"/>
      <c r="AF689" s="537"/>
      <c r="AG689" s="537"/>
      <c r="AH689" s="537"/>
      <c r="AI689" s="537"/>
      <c r="AJ689" s="537"/>
      <c r="AK689" s="537"/>
      <c r="AL689" s="537"/>
      <c r="AN689" s="598"/>
      <c r="AW689" s="22" t="s">
        <v>2184</v>
      </c>
      <c r="AX689" s="551">
        <f>Application!Q212</f>
        <v>0</v>
      </c>
    </row>
    <row r="690" spans="1:51" s="551" customFormat="1" ht="12.75" customHeight="1">
      <c r="A690" s="680"/>
      <c r="B690" s="537"/>
      <c r="C690" s="949"/>
      <c r="D690" s="537"/>
      <c r="E690" s="537"/>
      <c r="F690" s="537"/>
      <c r="G690" s="537"/>
      <c r="H690" s="537"/>
      <c r="I690" s="537"/>
      <c r="J690" s="537"/>
      <c r="K690" s="537"/>
      <c r="L690" s="537"/>
      <c r="M690" s="537"/>
      <c r="N690" s="537"/>
      <c r="O690" s="537"/>
      <c r="P690" s="537"/>
      <c r="Q690" s="537"/>
      <c r="R690" s="537"/>
      <c r="S690" s="537"/>
      <c r="T690" s="537"/>
      <c r="U690" s="537"/>
      <c r="V690" s="537"/>
      <c r="W690" s="537"/>
      <c r="X690" s="537"/>
      <c r="Y690" s="537"/>
      <c r="Z690" s="537"/>
      <c r="AA690" s="537"/>
      <c r="AB690" s="537"/>
      <c r="AC690" s="537"/>
      <c r="AD690" s="537"/>
      <c r="AE690" s="537"/>
      <c r="AF690" s="537"/>
      <c r="AG690" s="537"/>
      <c r="AH690" s="537"/>
      <c r="AI690" s="537"/>
      <c r="AJ690" s="537"/>
      <c r="AK690" s="537"/>
      <c r="AL690" s="537"/>
      <c r="AN690" s="598"/>
      <c r="AW690" s="22" t="s">
        <v>2185</v>
      </c>
      <c r="AX690" s="1154">
        <f>Application!G753</f>
        <v>84</v>
      </c>
    </row>
    <row r="691" spans="1:51" s="551" customFormat="1" ht="12.75" customHeight="1">
      <c r="A691" s="680"/>
      <c r="B691" s="537"/>
      <c r="C691" s="949"/>
      <c r="D691" s="664" t="s">
        <v>687</v>
      </c>
      <c r="E691" s="2400" t="s">
        <v>2191</v>
      </c>
      <c r="F691" s="2400"/>
      <c r="G691" s="2400"/>
      <c r="H691" s="2400"/>
      <c r="I691" s="2400"/>
      <c r="J691" s="2400"/>
      <c r="K691" s="2400"/>
      <c r="L691" s="2400"/>
      <c r="M691" s="2400"/>
      <c r="N691" s="2400"/>
      <c r="O691" s="2400"/>
      <c r="P691" s="2400"/>
      <c r="Q691" s="2400"/>
      <c r="R691" s="2400"/>
      <c r="S691" s="2400"/>
      <c r="T691" s="2400"/>
      <c r="U691" s="2400"/>
      <c r="V691" s="2400"/>
      <c r="W691" s="2400"/>
      <c r="X691" s="2400"/>
      <c r="Y691" s="2400"/>
      <c r="Z691" s="2400"/>
      <c r="AA691" s="2400"/>
      <c r="AB691" s="2400"/>
      <c r="AC691" s="537"/>
      <c r="AD691" s="537"/>
      <c r="AE691" s="537"/>
      <c r="AF691" s="2530" t="s">
        <v>1352</v>
      </c>
      <c r="AG691" s="2530"/>
      <c r="AH691" s="2530"/>
      <c r="AI691" s="2530"/>
      <c r="AJ691" s="2530"/>
      <c r="AK691" s="2530"/>
      <c r="AL691" s="2530"/>
      <c r="AN691" s="598"/>
      <c r="AW691" s="22" t="s">
        <v>2186</v>
      </c>
      <c r="AX691" s="551">
        <f>Application!DE753</f>
        <v>29</v>
      </c>
    </row>
    <row r="692" spans="1:51" s="551" customFormat="1" ht="12.75" customHeight="1">
      <c r="A692" s="680"/>
      <c r="B692" s="537"/>
      <c r="C692" s="949"/>
      <c r="D692" s="664"/>
      <c r="E692" s="2400"/>
      <c r="F692" s="2400"/>
      <c r="G692" s="2400"/>
      <c r="H692" s="2400"/>
      <c r="I692" s="2400"/>
      <c r="J692" s="2400"/>
      <c r="K692" s="2400"/>
      <c r="L692" s="2400"/>
      <c r="M692" s="2400"/>
      <c r="N692" s="2400"/>
      <c r="O692" s="2400"/>
      <c r="P692" s="2400"/>
      <c r="Q692" s="2400"/>
      <c r="R692" s="2400"/>
      <c r="S692" s="2400"/>
      <c r="T692" s="2400"/>
      <c r="U692" s="2400"/>
      <c r="V692" s="2400"/>
      <c r="W692" s="2400"/>
      <c r="X692" s="2400"/>
      <c r="Y692" s="2400"/>
      <c r="Z692" s="2400"/>
      <c r="AA692" s="2400"/>
      <c r="AB692" s="2400"/>
      <c r="AC692" s="537"/>
      <c r="AD692" s="537"/>
      <c r="AE692" s="537"/>
      <c r="AF692" s="537"/>
      <c r="AG692" s="537"/>
      <c r="AH692" s="537"/>
      <c r="AI692" s="537"/>
      <c r="AJ692" s="537"/>
      <c r="AK692" s="537"/>
      <c r="AL692" s="537"/>
      <c r="AN692" s="598"/>
      <c r="AW692" s="22" t="s">
        <v>2187</v>
      </c>
      <c r="AX692" s="551">
        <f>Application!DJ753</f>
        <v>0</v>
      </c>
    </row>
    <row r="693" spans="1:51" s="551" customFormat="1" ht="12.75" customHeight="1">
      <c r="A693" s="680"/>
      <c r="B693" s="537"/>
      <c r="C693" s="949"/>
      <c r="D693" s="664"/>
      <c r="E693" s="537"/>
      <c r="F693" s="537"/>
      <c r="G693" s="537"/>
      <c r="H693" s="537"/>
      <c r="I693" s="537"/>
      <c r="J693" s="537"/>
      <c r="K693" s="537"/>
      <c r="L693" s="537"/>
      <c r="M693" s="537"/>
      <c r="N693" s="537"/>
      <c r="O693" s="537"/>
      <c r="P693" s="537"/>
      <c r="Q693" s="537"/>
      <c r="R693" s="537"/>
      <c r="S693" s="537"/>
      <c r="T693" s="537"/>
      <c r="U693" s="537"/>
      <c r="V693" s="537"/>
      <c r="W693" s="537"/>
      <c r="X693" s="537"/>
      <c r="Y693" s="537"/>
      <c r="Z693" s="537"/>
      <c r="AA693" s="537"/>
      <c r="AB693" s="537"/>
      <c r="AC693" s="537"/>
      <c r="AD693" s="537"/>
      <c r="AE693" s="537"/>
      <c r="AF693" s="537"/>
      <c r="AG693" s="537"/>
      <c r="AH693" s="537"/>
      <c r="AI693" s="537"/>
      <c r="AJ693" s="537"/>
      <c r="AK693" s="537"/>
      <c r="AL693" s="537"/>
      <c r="AN693" s="598"/>
      <c r="AW693" s="22" t="s">
        <v>2188</v>
      </c>
      <c r="AX693" s="551">
        <f>Application!DO753</f>
        <v>0</v>
      </c>
    </row>
    <row r="694" spans="1:51" s="551" customFormat="1" ht="12.75" customHeight="1">
      <c r="B694" s="537"/>
      <c r="C694" s="932"/>
      <c r="D694" s="664" t="s">
        <v>509</v>
      </c>
      <c r="E694" s="2430" t="s">
        <v>2135</v>
      </c>
      <c r="F694" s="2430"/>
      <c r="G694" s="2430"/>
      <c r="H694" s="2430"/>
      <c r="I694" s="2430"/>
      <c r="J694" s="2430"/>
      <c r="K694" s="2430"/>
      <c r="L694" s="2430"/>
      <c r="M694" s="2430"/>
      <c r="N694" s="2430"/>
      <c r="O694" s="2430"/>
      <c r="P694" s="2430"/>
      <c r="Q694" s="2430"/>
      <c r="R694" s="2430"/>
      <c r="S694" s="2430"/>
      <c r="T694" s="2430"/>
      <c r="U694" s="2430"/>
      <c r="V694" s="2430"/>
      <c r="W694" s="2430"/>
      <c r="X694" s="2430"/>
      <c r="Y694" s="2430"/>
      <c r="Z694" s="2430"/>
      <c r="AA694" s="2430"/>
      <c r="AB694" s="2430"/>
      <c r="AC694" s="537"/>
      <c r="AD694" s="537"/>
      <c r="AE694" s="537"/>
      <c r="AF694" s="2530" t="s">
        <v>1352</v>
      </c>
      <c r="AG694" s="2530"/>
      <c r="AH694" s="2530"/>
      <c r="AI694" s="2530"/>
      <c r="AJ694" s="2530"/>
      <c r="AK694" s="2530"/>
      <c r="AL694" s="2530"/>
      <c r="AN694" s="598"/>
      <c r="AW694" s="22" t="s">
        <v>2189</v>
      </c>
      <c r="AX694" s="551">
        <f>AX691+AX692+AX693</f>
        <v>29</v>
      </c>
    </row>
    <row r="695" spans="1:51" s="551" customFormat="1" ht="12.75" customHeight="1">
      <c r="B695" s="537"/>
      <c r="C695" s="941"/>
      <c r="D695" s="664"/>
      <c r="E695" s="2430"/>
      <c r="F695" s="2430"/>
      <c r="G695" s="2430"/>
      <c r="H695" s="2430"/>
      <c r="I695" s="2430"/>
      <c r="J695" s="2430"/>
      <c r="K695" s="2430"/>
      <c r="L695" s="2430"/>
      <c r="M695" s="2430"/>
      <c r="N695" s="2430"/>
      <c r="O695" s="2430"/>
      <c r="P695" s="2430"/>
      <c r="Q695" s="2430"/>
      <c r="R695" s="2430"/>
      <c r="S695" s="2430"/>
      <c r="T695" s="2430"/>
      <c r="U695" s="2430"/>
      <c r="V695" s="2430"/>
      <c r="W695" s="2430"/>
      <c r="X695" s="2430"/>
      <c r="Y695" s="2430"/>
      <c r="Z695" s="2430"/>
      <c r="AA695" s="2430"/>
      <c r="AB695" s="2430"/>
      <c r="AC695" s="537"/>
      <c r="AD695" s="537"/>
      <c r="AE695" s="617"/>
      <c r="AF695" s="537"/>
      <c r="AG695" s="537"/>
      <c r="AH695" s="537"/>
      <c r="AI695" s="537"/>
      <c r="AJ695" s="537"/>
      <c r="AK695" s="537"/>
      <c r="AL695" s="537"/>
      <c r="AN695" s="598"/>
      <c r="AO695" s="2444" t="b">
        <f>IF(Application!D211="Special Needs",IF(AY695&gt;=0.25,TRUE,FALSE),IF(AX695&gt;=0.25,TRUE,FALSE))</f>
        <v>1</v>
      </c>
      <c r="AP695" s="2444"/>
      <c r="AW695" s="22" t="s">
        <v>2190</v>
      </c>
      <c r="AX695" s="551">
        <f>IFERROR(AX694/AX690,0)</f>
        <v>0.34523809523809523</v>
      </c>
      <c r="AY695" s="551">
        <f>IFERROR(AX694/(AX690-AX689),0)</f>
        <v>0.34523809523809523</v>
      </c>
    </row>
    <row r="696" spans="1:51" s="551" customFormat="1" ht="12.75" customHeight="1">
      <c r="B696" s="537"/>
      <c r="C696" s="941"/>
      <c r="E696" s="2430"/>
      <c r="F696" s="2430"/>
      <c r="G696" s="2430"/>
      <c r="H696" s="2430"/>
      <c r="I696" s="2430"/>
      <c r="J696" s="2430"/>
      <c r="K696" s="2430"/>
      <c r="L696" s="2430"/>
      <c r="M696" s="2430"/>
      <c r="N696" s="2430"/>
      <c r="O696" s="2430"/>
      <c r="P696" s="2430"/>
      <c r="Q696" s="2430"/>
      <c r="R696" s="2430"/>
      <c r="S696" s="2430"/>
      <c r="T696" s="2430"/>
      <c r="U696" s="2430"/>
      <c r="V696" s="2430"/>
      <c r="W696" s="2430"/>
      <c r="X696" s="2430"/>
      <c r="Y696" s="2430"/>
      <c r="Z696" s="2430"/>
      <c r="AA696" s="2430"/>
      <c r="AB696" s="2430"/>
      <c r="AC696" s="537"/>
      <c r="AD696" s="537"/>
      <c r="AE696" s="617"/>
      <c r="AF696" s="617"/>
      <c r="AG696" s="617"/>
      <c r="AH696" s="617"/>
      <c r="AI696" s="617"/>
      <c r="AJ696" s="617"/>
      <c r="AK696" s="617"/>
      <c r="AL696" s="617"/>
      <c r="AN696" s="598"/>
      <c r="AW696" s="14"/>
    </row>
    <row r="697" spans="1:51" s="551" customFormat="1" ht="28.5" customHeight="1">
      <c r="B697" s="537"/>
      <c r="C697" s="941"/>
      <c r="D697" s="537"/>
      <c r="E697" s="2430"/>
      <c r="F697" s="2430"/>
      <c r="G697" s="2430"/>
      <c r="H697" s="2430"/>
      <c r="I697" s="2430"/>
      <c r="J697" s="2430"/>
      <c r="K697" s="2430"/>
      <c r="L697" s="2430"/>
      <c r="M697" s="2430"/>
      <c r="N697" s="2430"/>
      <c r="O697" s="2430"/>
      <c r="P697" s="2430"/>
      <c r="Q697" s="2430"/>
      <c r="R697" s="2430"/>
      <c r="S697" s="2430"/>
      <c r="T697" s="2430"/>
      <c r="U697" s="2430"/>
      <c r="V697" s="2430"/>
      <c r="W697" s="2430"/>
      <c r="X697" s="2430"/>
      <c r="Y697" s="2430"/>
      <c r="Z697" s="2430"/>
      <c r="AA697" s="2430"/>
      <c r="AB697" s="2430"/>
      <c r="AC697" s="537"/>
      <c r="AD697" s="537"/>
      <c r="AE697" s="617"/>
      <c r="AF697" s="617"/>
      <c r="AG697" s="617"/>
      <c r="AH697" s="617"/>
      <c r="AI697" s="617"/>
      <c r="AJ697" s="617"/>
      <c r="AK697" s="617"/>
      <c r="AL697" s="617"/>
      <c r="AN697" s="598"/>
      <c r="AO697" s="551" t="s">
        <v>591</v>
      </c>
      <c r="AP697" s="674">
        <v>0</v>
      </c>
    </row>
    <row r="698" spans="1:51" s="551" customFormat="1" ht="12.75" customHeight="1">
      <c r="B698" s="537"/>
      <c r="C698" s="941"/>
      <c r="E698" s="576"/>
      <c r="F698" s="576"/>
      <c r="G698" s="576"/>
      <c r="H698" s="576"/>
      <c r="I698" s="576"/>
      <c r="J698" s="576"/>
      <c r="K698" s="576"/>
      <c r="L698" s="576"/>
      <c r="M698" s="576"/>
      <c r="N698" s="576"/>
      <c r="O698" s="576"/>
      <c r="P698" s="576"/>
      <c r="Q698" s="576"/>
      <c r="R698" s="576"/>
      <c r="S698" s="576"/>
      <c r="T698" s="576"/>
      <c r="U698" s="576"/>
      <c r="V698" s="576"/>
      <c r="W698" s="576"/>
      <c r="X698" s="576"/>
      <c r="Y698" s="576"/>
      <c r="Z698" s="576"/>
      <c r="AA698" s="576"/>
      <c r="AB698" s="576"/>
      <c r="AC698" s="537"/>
      <c r="AD698" s="537"/>
      <c r="AE698" s="617"/>
      <c r="AF698" s="617"/>
      <c r="AG698" s="617"/>
      <c r="AH698" s="617"/>
      <c r="AI698" s="617"/>
      <c r="AJ698" s="617"/>
      <c r="AK698" s="617"/>
      <c r="AL698" s="617"/>
      <c r="AN698" s="598"/>
      <c r="AO698" s="612" t="s">
        <v>687</v>
      </c>
      <c r="AP698" s="551">
        <v>2</v>
      </c>
    </row>
    <row r="699" spans="1:51" s="551" customFormat="1" ht="12.75" customHeight="1">
      <c r="B699" s="537"/>
      <c r="C699" s="932"/>
      <c r="D699" s="664" t="s">
        <v>278</v>
      </c>
      <c r="E699" s="2430" t="s">
        <v>2136</v>
      </c>
      <c r="F699" s="2430"/>
      <c r="G699" s="2430"/>
      <c r="H699" s="2430"/>
      <c r="I699" s="2430"/>
      <c r="J699" s="2430"/>
      <c r="K699" s="2430"/>
      <c r="L699" s="2430"/>
      <c r="M699" s="2430"/>
      <c r="N699" s="2430"/>
      <c r="O699" s="2430"/>
      <c r="P699" s="2430"/>
      <c r="Q699" s="2430"/>
      <c r="R699" s="2430"/>
      <c r="S699" s="2430"/>
      <c r="T699" s="2430"/>
      <c r="U699" s="2430"/>
      <c r="V699" s="2430"/>
      <c r="W699" s="2430"/>
      <c r="X699" s="2430"/>
      <c r="Y699" s="2430"/>
      <c r="Z699" s="2430"/>
      <c r="AA699" s="2430"/>
      <c r="AB699" s="2430"/>
      <c r="AC699" s="537"/>
      <c r="AD699" s="537"/>
      <c r="AE699" s="537"/>
      <c r="AF699" s="2530" t="s">
        <v>1408</v>
      </c>
      <c r="AG699" s="2530"/>
      <c r="AH699" s="2530"/>
      <c r="AI699" s="2530"/>
      <c r="AJ699" s="2530"/>
      <c r="AK699" s="2530"/>
      <c r="AL699" s="2530"/>
      <c r="AN699" s="598"/>
      <c r="AO699" s="612" t="s">
        <v>509</v>
      </c>
      <c r="AP699" s="551">
        <v>1</v>
      </c>
    </row>
    <row r="700" spans="1:51" s="551" customFormat="1" ht="12" customHeight="1">
      <c r="B700" s="537"/>
      <c r="C700" s="932"/>
      <c r="E700" s="2430"/>
      <c r="F700" s="2430"/>
      <c r="G700" s="2430"/>
      <c r="H700" s="2430"/>
      <c r="I700" s="2430"/>
      <c r="J700" s="2430"/>
      <c r="K700" s="2430"/>
      <c r="L700" s="2430"/>
      <c r="M700" s="2430"/>
      <c r="N700" s="2430"/>
      <c r="O700" s="2430"/>
      <c r="P700" s="2430"/>
      <c r="Q700" s="2430"/>
      <c r="R700" s="2430"/>
      <c r="S700" s="2430"/>
      <c r="T700" s="2430"/>
      <c r="U700" s="2430"/>
      <c r="V700" s="2430"/>
      <c r="W700" s="2430"/>
      <c r="X700" s="2430"/>
      <c r="Y700" s="2430"/>
      <c r="Z700" s="2430"/>
      <c r="AA700" s="2430"/>
      <c r="AB700" s="2430"/>
      <c r="AC700" s="537"/>
      <c r="AD700" s="537"/>
      <c r="AE700" s="617"/>
      <c r="AF700" s="537"/>
      <c r="AG700" s="537"/>
      <c r="AH700" s="537"/>
      <c r="AI700" s="537"/>
      <c r="AJ700" s="537"/>
      <c r="AK700" s="537"/>
      <c r="AL700" s="537"/>
      <c r="AN700" s="598"/>
    </row>
    <row r="701" spans="1:51" s="551" customFormat="1" ht="12" customHeight="1">
      <c r="B701" s="537"/>
      <c r="C701" s="932"/>
      <c r="D701" s="537"/>
      <c r="E701" s="2430"/>
      <c r="F701" s="2430"/>
      <c r="G701" s="2430"/>
      <c r="H701" s="2430"/>
      <c r="I701" s="2430"/>
      <c r="J701" s="2430"/>
      <c r="K701" s="2430"/>
      <c r="L701" s="2430"/>
      <c r="M701" s="2430"/>
      <c r="N701" s="2430"/>
      <c r="O701" s="2430"/>
      <c r="P701" s="2430"/>
      <c r="Q701" s="2430"/>
      <c r="R701" s="2430"/>
      <c r="S701" s="2430"/>
      <c r="T701" s="2430"/>
      <c r="U701" s="2430"/>
      <c r="V701" s="2430"/>
      <c r="W701" s="2430"/>
      <c r="X701" s="2430"/>
      <c r="Y701" s="2430"/>
      <c r="Z701" s="2430"/>
      <c r="AA701" s="2430"/>
      <c r="AB701" s="2430"/>
      <c r="AC701" s="537"/>
      <c r="AD701" s="537"/>
      <c r="AE701" s="617"/>
      <c r="AF701" s="537"/>
      <c r="AG701" s="537"/>
      <c r="AH701" s="537"/>
      <c r="AI701" s="537"/>
      <c r="AJ701" s="537"/>
      <c r="AK701" s="537"/>
      <c r="AL701" s="537"/>
      <c r="AN701" s="598"/>
    </row>
    <row r="702" spans="1:51" s="551" customFormat="1" ht="12" customHeight="1">
      <c r="B702" s="537"/>
      <c r="C702" s="932"/>
      <c r="D702" s="537"/>
      <c r="E702" s="2430"/>
      <c r="F702" s="2430"/>
      <c r="G702" s="2430"/>
      <c r="H702" s="2430"/>
      <c r="I702" s="2430"/>
      <c r="J702" s="2430"/>
      <c r="K702" s="2430"/>
      <c r="L702" s="2430"/>
      <c r="M702" s="2430"/>
      <c r="N702" s="2430"/>
      <c r="O702" s="2430"/>
      <c r="P702" s="2430"/>
      <c r="Q702" s="2430"/>
      <c r="R702" s="2430"/>
      <c r="S702" s="2430"/>
      <c r="T702" s="2430"/>
      <c r="U702" s="2430"/>
      <c r="V702" s="2430"/>
      <c r="W702" s="2430"/>
      <c r="X702" s="2430"/>
      <c r="Y702" s="2430"/>
      <c r="Z702" s="2430"/>
      <c r="AA702" s="2430"/>
      <c r="AB702" s="2430"/>
      <c r="AC702" s="537"/>
      <c r="AD702" s="537"/>
      <c r="AE702" s="617"/>
      <c r="AF702" s="537"/>
      <c r="AG702" s="537"/>
      <c r="AH702" s="537"/>
      <c r="AI702" s="537"/>
      <c r="AJ702" s="537"/>
      <c r="AK702" s="537"/>
      <c r="AL702" s="537"/>
      <c r="AN702" s="598"/>
    </row>
    <row r="703" spans="1:51" s="571" customFormat="1" ht="12.95" customHeight="1">
      <c r="A703" s="551"/>
      <c r="B703" s="537"/>
      <c r="C703" s="932"/>
      <c r="D703" s="537"/>
      <c r="E703" s="2430"/>
      <c r="F703" s="2430"/>
      <c r="G703" s="2430"/>
      <c r="H703" s="2430"/>
      <c r="I703" s="2430"/>
      <c r="J703" s="2430"/>
      <c r="K703" s="2430"/>
      <c r="L703" s="2430"/>
      <c r="M703" s="2430"/>
      <c r="N703" s="2430"/>
      <c r="O703" s="2430"/>
      <c r="P703" s="2430"/>
      <c r="Q703" s="2430"/>
      <c r="R703" s="2430"/>
      <c r="S703" s="2430"/>
      <c r="T703" s="2430"/>
      <c r="U703" s="2430"/>
      <c r="V703" s="2430"/>
      <c r="W703" s="2430"/>
      <c r="X703" s="2430"/>
      <c r="Y703" s="2430"/>
      <c r="Z703" s="2430"/>
      <c r="AA703" s="2430"/>
      <c r="AB703" s="2430"/>
      <c r="AC703" s="537"/>
      <c r="AD703" s="537"/>
      <c r="AE703" s="617"/>
      <c r="AF703" s="617"/>
      <c r="AG703" s="617"/>
      <c r="AH703" s="617"/>
      <c r="AI703" s="617"/>
      <c r="AJ703" s="537"/>
      <c r="AK703" s="537"/>
      <c r="AL703" s="537"/>
      <c r="AM703" s="551"/>
      <c r="AN703" s="685"/>
      <c r="AO703" s="551" t="s">
        <v>591</v>
      </c>
      <c r="AP703" s="674">
        <v>0</v>
      </c>
    </row>
    <row r="704" spans="1:51" s="571" customFormat="1" ht="12" customHeight="1">
      <c r="A704" s="551"/>
      <c r="B704" s="537"/>
      <c r="C704" s="932"/>
      <c r="D704" s="537"/>
      <c r="E704" s="644"/>
      <c r="F704" s="644"/>
      <c r="G704" s="644"/>
      <c r="H704" s="644"/>
      <c r="I704" s="644"/>
      <c r="J704" s="644"/>
      <c r="K704" s="644"/>
      <c r="L704" s="644"/>
      <c r="M704" s="644"/>
      <c r="N704" s="644"/>
      <c r="O704" s="644"/>
      <c r="P704" s="644"/>
      <c r="Q704" s="644"/>
      <c r="R704" s="644"/>
      <c r="S704" s="644"/>
      <c r="T704" s="644"/>
      <c r="U704" s="644"/>
      <c r="V704" s="644"/>
      <c r="W704" s="644"/>
      <c r="X704" s="644"/>
      <c r="Y704" s="644"/>
      <c r="Z704" s="644"/>
      <c r="AA704" s="644"/>
      <c r="AB704" s="644"/>
      <c r="AC704" s="537"/>
      <c r="AD704" s="537"/>
      <c r="AE704" s="617"/>
      <c r="AF704" s="617"/>
      <c r="AG704" s="617"/>
      <c r="AH704" s="617"/>
      <c r="AI704" s="617"/>
      <c r="AJ704" s="537"/>
      <c r="AK704" s="537"/>
      <c r="AL704" s="537"/>
      <c r="AM704" s="551"/>
      <c r="AN704" s="685"/>
      <c r="AO704" s="612" t="s">
        <v>687</v>
      </c>
      <c r="AP704" s="551">
        <v>3</v>
      </c>
    </row>
    <row r="705" spans="1:43" s="571" customFormat="1" ht="12.75" customHeight="1">
      <c r="A705" s="551"/>
      <c r="B705" s="537"/>
      <c r="C705" s="932"/>
      <c r="D705" s="537"/>
      <c r="E705" s="2430" t="s">
        <v>1693</v>
      </c>
      <c r="F705" s="2430"/>
      <c r="G705" s="2430"/>
      <c r="H705" s="2430"/>
      <c r="I705" s="2430"/>
      <c r="J705" s="2430"/>
      <c r="K705" s="2430"/>
      <c r="L705" s="2430"/>
      <c r="M705" s="2430"/>
      <c r="N705" s="2430"/>
      <c r="O705" s="2430"/>
      <c r="P705" s="2430"/>
      <c r="Q705" s="2430"/>
      <c r="R705" s="2430"/>
      <c r="S705" s="2430"/>
      <c r="T705" s="2430"/>
      <c r="U705" s="2430"/>
      <c r="V705" s="2430"/>
      <c r="W705" s="2430"/>
      <c r="X705" s="2430"/>
      <c r="Y705" s="2430"/>
      <c r="Z705" s="2430"/>
      <c r="AA705" s="2430"/>
      <c r="AB705" s="2430"/>
      <c r="AC705" s="537"/>
      <c r="AD705" s="537"/>
      <c r="AE705" s="617"/>
      <c r="AF705" s="617"/>
      <c r="AG705" s="617"/>
      <c r="AH705" s="617"/>
      <c r="AI705" s="617"/>
      <c r="AJ705" s="537"/>
      <c r="AK705" s="537"/>
      <c r="AL705" s="537"/>
      <c r="AM705" s="551"/>
      <c r="AN705" s="685"/>
      <c r="AO705" s="612" t="s">
        <v>509</v>
      </c>
      <c r="AP705" s="551">
        <f>3*$AO$695</f>
        <v>3</v>
      </c>
    </row>
    <row r="706" spans="1:43" s="571" customFormat="1" ht="12.75" customHeight="1">
      <c r="A706" s="551"/>
      <c r="B706" s="537"/>
      <c r="C706" s="932"/>
      <c r="D706" s="537"/>
      <c r="E706" s="2430"/>
      <c r="F706" s="2430"/>
      <c r="G706" s="2430"/>
      <c r="H706" s="2430"/>
      <c r="I706" s="2430"/>
      <c r="J706" s="2430"/>
      <c r="K706" s="2430"/>
      <c r="L706" s="2430"/>
      <c r="M706" s="2430"/>
      <c r="N706" s="2430"/>
      <c r="O706" s="2430"/>
      <c r="P706" s="2430"/>
      <c r="Q706" s="2430"/>
      <c r="R706" s="2430"/>
      <c r="S706" s="2430"/>
      <c r="T706" s="2430"/>
      <c r="U706" s="2430"/>
      <c r="V706" s="2430"/>
      <c r="W706" s="2430"/>
      <c r="X706" s="2430"/>
      <c r="Y706" s="2430"/>
      <c r="Z706" s="2430"/>
      <c r="AA706" s="2430"/>
      <c r="AB706" s="2430"/>
      <c r="AC706" s="537"/>
      <c r="AD706" s="537"/>
      <c r="AE706" s="617"/>
      <c r="AF706" s="617"/>
      <c r="AG706" s="617"/>
      <c r="AH706" s="617"/>
      <c r="AI706" s="617"/>
      <c r="AJ706" s="537"/>
      <c r="AK706" s="537"/>
      <c r="AL706" s="537"/>
      <c r="AM706" s="551"/>
      <c r="AN706" s="685"/>
      <c r="AO706" s="612" t="s">
        <v>278</v>
      </c>
      <c r="AP706" s="551">
        <f>2*$AO$695</f>
        <v>2</v>
      </c>
    </row>
    <row r="707" spans="1:43" s="571" customFormat="1" ht="12.75" customHeight="1">
      <c r="A707" s="551"/>
      <c r="B707" s="537"/>
      <c r="C707" s="932"/>
      <c r="D707" s="537"/>
      <c r="E707" s="2430"/>
      <c r="F707" s="2430"/>
      <c r="G707" s="2430"/>
      <c r="H707" s="2430"/>
      <c r="I707" s="2430"/>
      <c r="J707" s="2430"/>
      <c r="K707" s="2430"/>
      <c r="L707" s="2430"/>
      <c r="M707" s="2430"/>
      <c r="N707" s="2430"/>
      <c r="O707" s="2430"/>
      <c r="P707" s="2430"/>
      <c r="Q707" s="2430"/>
      <c r="R707" s="2430"/>
      <c r="S707" s="2430"/>
      <c r="T707" s="2430"/>
      <c r="U707" s="2430"/>
      <c r="V707" s="2430"/>
      <c r="W707" s="2430"/>
      <c r="X707" s="2430"/>
      <c r="Y707" s="2430"/>
      <c r="Z707" s="2430"/>
      <c r="AA707" s="2430"/>
      <c r="AB707" s="2430"/>
      <c r="AC707" s="537"/>
      <c r="AD707" s="537"/>
      <c r="AE707" s="617"/>
      <c r="AF707" s="617"/>
      <c r="AG707" s="617"/>
      <c r="AH707" s="617"/>
      <c r="AI707" s="617"/>
      <c r="AJ707" s="537"/>
      <c r="AK707" s="537"/>
      <c r="AL707" s="537"/>
      <c r="AM707" s="551"/>
      <c r="AN707" s="685"/>
    </row>
    <row r="708" spans="1:43" s="571" customFormat="1" ht="12.75" customHeight="1">
      <c r="A708" s="551"/>
      <c r="B708" s="537"/>
      <c r="C708" s="932"/>
      <c r="D708" s="537"/>
      <c r="E708" s="644"/>
      <c r="F708" s="644"/>
      <c r="G708" s="644"/>
      <c r="H708" s="644"/>
      <c r="I708" s="644"/>
      <c r="J708" s="644"/>
      <c r="K708" s="644"/>
      <c r="L708" s="644"/>
      <c r="M708" s="644"/>
      <c r="N708" s="644"/>
      <c r="O708" s="644"/>
      <c r="P708" s="644"/>
      <c r="Q708" s="644"/>
      <c r="R708" s="644"/>
      <c r="S708" s="644"/>
      <c r="T708" s="644"/>
      <c r="U708" s="644"/>
      <c r="V708" s="644"/>
      <c r="W708" s="644"/>
      <c r="X708" s="644"/>
      <c r="Y708" s="644"/>
      <c r="Z708" s="644"/>
      <c r="AA708" s="644"/>
      <c r="AB708" s="644"/>
      <c r="AC708" s="537"/>
      <c r="AD708" s="537"/>
      <c r="AE708" s="617"/>
      <c r="AF708" s="617"/>
      <c r="AG708" s="617"/>
      <c r="AH708" s="617"/>
      <c r="AI708" s="617"/>
      <c r="AJ708" s="537"/>
      <c r="AK708" s="537"/>
      <c r="AL708" s="537"/>
      <c r="AM708" s="551"/>
      <c r="AN708" s="685"/>
    </row>
    <row r="709" spans="1:43" s="571" customFormat="1" ht="12.75" customHeight="1">
      <c r="A709" s="551"/>
      <c r="B709" s="537"/>
      <c r="C709" s="932"/>
      <c r="D709" s="537" t="s">
        <v>1400</v>
      </c>
      <c r="E709" s="937"/>
      <c r="F709" s="937"/>
      <c r="G709" s="937"/>
      <c r="H709" s="2454" t="s">
        <v>509</v>
      </c>
      <c r="I709" s="2454"/>
      <c r="J709" s="644"/>
      <c r="K709" s="644"/>
      <c r="L709" s="644"/>
      <c r="M709" s="644"/>
      <c r="N709" s="644"/>
      <c r="O709" s="644"/>
      <c r="P709" s="644"/>
      <c r="Q709" s="644"/>
      <c r="R709" s="644"/>
      <c r="S709" s="644"/>
      <c r="T709" s="644"/>
      <c r="U709" s="644"/>
      <c r="V709" s="644"/>
      <c r="W709" s="644"/>
      <c r="X709" s="644"/>
      <c r="Y709" s="644"/>
      <c r="Z709" s="644"/>
      <c r="AA709" s="644"/>
      <c r="AB709" s="644"/>
      <c r="AC709" s="537"/>
      <c r="AD709" s="537"/>
      <c r="AE709" s="617"/>
      <c r="AF709" s="617"/>
      <c r="AG709" s="617"/>
      <c r="AH709" s="617"/>
      <c r="AI709" s="617"/>
      <c r="AJ709" s="537"/>
      <c r="AK709" s="537"/>
      <c r="AL709" s="537"/>
      <c r="AM709" s="551"/>
      <c r="AN709" s="685"/>
      <c r="AP709" s="571" t="s">
        <v>1427</v>
      </c>
    </row>
    <row r="710" spans="1:43" s="571" customFormat="1">
      <c r="A710" s="551"/>
      <c r="B710" s="537"/>
      <c r="C710" s="932"/>
      <c r="D710" s="537"/>
      <c r="E710" s="644"/>
      <c r="F710" s="644"/>
      <c r="G710" s="644"/>
      <c r="H710" s="644"/>
      <c r="I710" s="644"/>
      <c r="J710" s="644"/>
      <c r="K710" s="644"/>
      <c r="L710" s="644"/>
      <c r="M710" s="644"/>
      <c r="N710" s="644"/>
      <c r="O710" s="644"/>
      <c r="P710" s="644"/>
      <c r="Q710" s="644"/>
      <c r="R710" s="644"/>
      <c r="S710" s="644"/>
      <c r="T710" s="644"/>
      <c r="U710" s="644"/>
      <c r="V710" s="644"/>
      <c r="W710" s="644"/>
      <c r="X710" s="644"/>
      <c r="Y710" s="644"/>
      <c r="Z710" s="644"/>
      <c r="AA710" s="644"/>
      <c r="AB710" s="644"/>
      <c r="AC710" s="537"/>
      <c r="AD710" s="537"/>
      <c r="AE710" s="617"/>
      <c r="AF710" s="617"/>
      <c r="AG710" s="617"/>
      <c r="AH710" s="617"/>
      <c r="AI710" s="617"/>
      <c r="AJ710" s="537"/>
      <c r="AK710" s="537"/>
      <c r="AL710" s="537"/>
      <c r="AM710" s="551"/>
      <c r="AN710" s="685"/>
      <c r="AP710" s="571" t="s">
        <v>1405</v>
      </c>
    </row>
    <row r="711" spans="1:43" s="571" customFormat="1" ht="12.75" customHeight="1">
      <c r="A711" s="607"/>
      <c r="B711" s="602"/>
      <c r="C711" s="945"/>
      <c r="D711" s="602"/>
      <c r="E711" s="602"/>
      <c r="F711" s="602"/>
      <c r="G711" s="602"/>
      <c r="H711" s="602"/>
      <c r="I711" s="602"/>
      <c r="J711" s="950"/>
      <c r="K711" s="950"/>
      <c r="L711" s="666"/>
      <c r="M711" s="666"/>
      <c r="N711" s="666"/>
      <c r="O711" s="666"/>
      <c r="P711" s="666"/>
      <c r="Q711" s="666"/>
      <c r="R711" s="666"/>
      <c r="S711" s="666"/>
      <c r="T711" s="666"/>
      <c r="U711" s="666"/>
      <c r="V711" s="666"/>
      <c r="W711" s="666"/>
      <c r="X711" s="666"/>
      <c r="Y711" s="940"/>
      <c r="Z711" s="940"/>
      <c r="AA711" s="940"/>
      <c r="AB711" s="602"/>
      <c r="AC711" s="602"/>
      <c r="AD711" s="602"/>
      <c r="AE711" s="602"/>
      <c r="AF711" s="602"/>
      <c r="AG711" s="602"/>
      <c r="AH711" s="602"/>
      <c r="AI711" s="566" t="s">
        <v>2138</v>
      </c>
      <c r="AJ711" s="2437">
        <f>VLOOKUP($H$709,$AO$703:$AP$706,2,FALSE)</f>
        <v>3</v>
      </c>
      <c r="AK711" s="2439"/>
      <c r="AL711" s="596"/>
      <c r="AM711" s="551"/>
      <c r="AN711" s="685"/>
      <c r="AP711" s="571" t="s">
        <v>1412</v>
      </c>
    </row>
    <row r="712" spans="1:43" s="571" customFormat="1">
      <c r="A712" s="551"/>
      <c r="B712" s="537"/>
      <c r="C712" s="537"/>
      <c r="D712" s="537"/>
      <c r="E712" s="537"/>
      <c r="F712" s="537"/>
      <c r="G712" s="537"/>
      <c r="H712" s="537"/>
      <c r="I712" s="537"/>
      <c r="J712" s="537"/>
      <c r="K712" s="537"/>
      <c r="L712" s="537"/>
      <c r="M712" s="537"/>
      <c r="N712" s="537"/>
      <c r="O712" s="537"/>
      <c r="P712" s="537"/>
      <c r="Q712" s="537"/>
      <c r="R712" s="537"/>
      <c r="S712" s="537"/>
      <c r="T712" s="537"/>
      <c r="U712" s="537"/>
      <c r="V712" s="537"/>
      <c r="W712" s="537"/>
      <c r="X712" s="537"/>
      <c r="Y712" s="537"/>
      <c r="Z712" s="537"/>
      <c r="AA712" s="537"/>
      <c r="AB712" s="537"/>
      <c r="AC712" s="537"/>
      <c r="AD712" s="537"/>
      <c r="AE712" s="617"/>
      <c r="AF712" s="617"/>
      <c r="AG712" s="617"/>
      <c r="AH712" s="617"/>
      <c r="AI712" s="617"/>
      <c r="AJ712" s="537"/>
      <c r="AK712" s="537"/>
      <c r="AL712" s="537"/>
      <c r="AM712" s="551"/>
      <c r="AN712" s="685"/>
      <c r="AP712" s="571" t="s">
        <v>1428</v>
      </c>
    </row>
    <row r="713" spans="1:43" s="571" customFormat="1" ht="12.75" customHeight="1">
      <c r="A713" s="551"/>
      <c r="B713" s="537"/>
      <c r="C713" s="540" t="s">
        <v>1429</v>
      </c>
      <c r="D713" s="713"/>
      <c r="E713" s="537"/>
      <c r="F713" s="537"/>
      <c r="G713" s="537"/>
      <c r="H713" s="537"/>
      <c r="I713" s="537"/>
      <c r="J713" s="537"/>
      <c r="K713" s="537"/>
      <c r="L713" s="537"/>
      <c r="M713" s="537"/>
      <c r="N713" s="537"/>
      <c r="O713" s="537"/>
      <c r="P713" s="537"/>
      <c r="Q713" s="537"/>
      <c r="R713" s="537"/>
      <c r="S713" s="537"/>
      <c r="T713" s="537"/>
      <c r="U713" s="537"/>
      <c r="V713" s="537"/>
      <c r="W713" s="537"/>
      <c r="X713" s="537"/>
      <c r="Y713" s="537"/>
      <c r="Z713" s="537"/>
      <c r="AA713" s="537"/>
      <c r="AB713" s="537"/>
      <c r="AC713" s="537"/>
      <c r="AD713" s="537"/>
      <c r="AE713" s="617"/>
      <c r="AF713" s="617"/>
      <c r="AG713" s="617"/>
      <c r="AH713" s="617"/>
      <c r="AI713" s="617"/>
      <c r="AJ713" s="537"/>
      <c r="AK713" s="537"/>
      <c r="AL713" s="537"/>
      <c r="AM713" s="551"/>
      <c r="AN713" s="685"/>
      <c r="AP713" s="571" t="s">
        <v>1430</v>
      </c>
    </row>
    <row r="714" spans="1:43" s="571" customFormat="1" ht="12.75" customHeight="1">
      <c r="A714" s="551"/>
      <c r="B714" s="537"/>
      <c r="C714" s="932"/>
      <c r="D714" s="537"/>
      <c r="E714" s="537"/>
      <c r="F714" s="537"/>
      <c r="G714" s="537"/>
      <c r="H714" s="537"/>
      <c r="I714" s="537"/>
      <c r="J714" s="537"/>
      <c r="K714" s="537"/>
      <c r="L714" s="537"/>
      <c r="M714" s="537"/>
      <c r="N714" s="537"/>
      <c r="O714" s="537"/>
      <c r="P714" s="537"/>
      <c r="Q714" s="537"/>
      <c r="R714" s="537"/>
      <c r="S714" s="537"/>
      <c r="T714" s="537"/>
      <c r="U714" s="537"/>
      <c r="V714" s="537"/>
      <c r="W714" s="537"/>
      <c r="X714" s="537"/>
      <c r="Y714" s="537"/>
      <c r="Z714" s="537"/>
      <c r="AA714" s="537"/>
      <c r="AB714" s="537"/>
      <c r="AC714" s="537"/>
      <c r="AD714" s="537"/>
      <c r="AE714" s="617"/>
      <c r="AF714" s="617"/>
      <c r="AG714" s="617"/>
      <c r="AH714" s="617"/>
      <c r="AI714" s="617"/>
      <c r="AJ714" s="537"/>
      <c r="AK714" s="537"/>
      <c r="AL714" s="537"/>
      <c r="AM714" s="551"/>
      <c r="AN714" s="685"/>
      <c r="AP714" s="571" t="s">
        <v>1431</v>
      </c>
    </row>
    <row r="715" spans="1:43" s="571" customFormat="1" ht="12.75" customHeight="1">
      <c r="A715" s="638"/>
      <c r="B715" s="537"/>
      <c r="C715" s="932"/>
      <c r="D715" s="664" t="s">
        <v>687</v>
      </c>
      <c r="E715" s="2542" t="s">
        <v>1695</v>
      </c>
      <c r="F715" s="2542"/>
      <c r="G715" s="2542"/>
      <c r="H715" s="2542"/>
      <c r="I715" s="2542"/>
      <c r="J715" s="2542"/>
      <c r="K715" s="2542"/>
      <c r="L715" s="2542"/>
      <c r="M715" s="2542"/>
      <c r="N715" s="2542"/>
      <c r="O715" s="2542"/>
      <c r="P715" s="2542"/>
      <c r="Q715" s="2542"/>
      <c r="R715" s="2542"/>
      <c r="S715" s="2542"/>
      <c r="T715" s="2542"/>
      <c r="U715" s="2542"/>
      <c r="V715" s="2542"/>
      <c r="W715" s="2542"/>
      <c r="X715" s="2542"/>
      <c r="Y715" s="2542"/>
      <c r="Z715" s="2542"/>
      <c r="AA715" s="2542"/>
      <c r="AB715" s="2542"/>
      <c r="AC715" s="537"/>
      <c r="AD715" s="537"/>
      <c r="AE715" s="537"/>
      <c r="AF715" s="2530" t="s">
        <v>1352</v>
      </c>
      <c r="AG715" s="2530"/>
      <c r="AH715" s="2530"/>
      <c r="AI715" s="2530"/>
      <c r="AJ715" s="2530"/>
      <c r="AK715" s="2530"/>
      <c r="AL715" s="2530"/>
      <c r="AM715" s="551"/>
      <c r="AN715" s="685"/>
      <c r="AP715" s="571" t="s">
        <v>1432</v>
      </c>
    </row>
    <row r="716" spans="1:43" s="571" customFormat="1" ht="11.85" customHeight="1">
      <c r="A716" s="551"/>
      <c r="B716" s="537"/>
      <c r="C716" s="934"/>
      <c r="D716" s="664"/>
      <c r="E716" s="2542"/>
      <c r="F716" s="2542"/>
      <c r="G716" s="2542"/>
      <c r="H716" s="2542"/>
      <c r="I716" s="2542"/>
      <c r="J716" s="2542"/>
      <c r="K716" s="2542"/>
      <c r="L716" s="2542"/>
      <c r="M716" s="2542"/>
      <c r="N716" s="2542"/>
      <c r="O716" s="2542"/>
      <c r="P716" s="2542"/>
      <c r="Q716" s="2542"/>
      <c r="R716" s="2542"/>
      <c r="S716" s="2542"/>
      <c r="T716" s="2542"/>
      <c r="U716" s="2542"/>
      <c r="V716" s="2542"/>
      <c r="W716" s="2542"/>
      <c r="X716" s="2542"/>
      <c r="Y716" s="2542"/>
      <c r="Z716" s="2542"/>
      <c r="AA716" s="2542"/>
      <c r="AB716" s="2542"/>
      <c r="AC716" s="537"/>
      <c r="AD716" s="537"/>
      <c r="AE716" s="537"/>
      <c r="AF716" s="537"/>
      <c r="AG716" s="537"/>
      <c r="AH716" s="537"/>
      <c r="AI716" s="537"/>
      <c r="AJ716" s="537"/>
      <c r="AK716" s="537"/>
      <c r="AL716" s="537"/>
      <c r="AM716" s="551"/>
      <c r="AN716" s="685"/>
      <c r="AP716" s="571" t="s">
        <v>1433</v>
      </c>
    </row>
    <row r="717" spans="1:43" s="571" customFormat="1" ht="14.1" customHeight="1">
      <c r="A717" s="551"/>
      <c r="B717" s="611"/>
      <c r="C717" s="932"/>
      <c r="D717" s="664"/>
      <c r="E717" s="2542"/>
      <c r="F717" s="2542"/>
      <c r="G717" s="2542"/>
      <c r="H717" s="2542"/>
      <c r="I717" s="2542"/>
      <c r="J717" s="2542"/>
      <c r="K717" s="2542"/>
      <c r="L717" s="2542"/>
      <c r="M717" s="2542"/>
      <c r="N717" s="2542"/>
      <c r="O717" s="2542"/>
      <c r="P717" s="2542"/>
      <c r="Q717" s="2542"/>
      <c r="R717" s="2542"/>
      <c r="S717" s="2542"/>
      <c r="T717" s="2542"/>
      <c r="U717" s="2542"/>
      <c r="V717" s="2542"/>
      <c r="W717" s="2542"/>
      <c r="X717" s="2542"/>
      <c r="Y717" s="2542"/>
      <c r="Z717" s="2542"/>
      <c r="AA717" s="2542"/>
      <c r="AB717" s="2542"/>
      <c r="AC717" s="537"/>
      <c r="AD717" s="537"/>
      <c r="AE717" s="617"/>
      <c r="AF717" s="537"/>
      <c r="AG717" s="537"/>
      <c r="AH717" s="537"/>
      <c r="AI717" s="537"/>
      <c r="AJ717" s="537"/>
      <c r="AK717" s="537"/>
      <c r="AL717" s="537"/>
      <c r="AM717" s="551"/>
      <c r="AN717" s="685"/>
      <c r="AP717" s="571" t="s">
        <v>1434</v>
      </c>
    </row>
    <row r="718" spans="1:43" s="571" customFormat="1" ht="14.1" customHeight="1">
      <c r="A718" s="551"/>
      <c r="B718" s="611"/>
      <c r="C718" s="932"/>
      <c r="D718" s="664"/>
      <c r="E718" s="937"/>
      <c r="F718" s="937"/>
      <c r="G718" s="937"/>
      <c r="H718" s="937"/>
      <c r="I718" s="937"/>
      <c r="J718" s="937"/>
      <c r="K718" s="937"/>
      <c r="L718" s="937"/>
      <c r="M718" s="937"/>
      <c r="N718" s="937"/>
      <c r="O718" s="937"/>
      <c r="P718" s="937"/>
      <c r="Q718" s="937"/>
      <c r="R718" s="937"/>
      <c r="S718" s="937"/>
      <c r="T718" s="937"/>
      <c r="U718" s="937"/>
      <c r="V718" s="937"/>
      <c r="W718" s="937"/>
      <c r="X718" s="937"/>
      <c r="Y718" s="937"/>
      <c r="Z718" s="937"/>
      <c r="AA718" s="937"/>
      <c r="AB718" s="937"/>
      <c r="AC718" s="537"/>
      <c r="AD718" s="537"/>
      <c r="AE718" s="617"/>
      <c r="AF718" s="537"/>
      <c r="AG718" s="537"/>
      <c r="AH718" s="537"/>
      <c r="AI718" s="537"/>
      <c r="AJ718" s="537"/>
      <c r="AK718" s="537"/>
      <c r="AL718" s="537"/>
      <c r="AM718" s="551"/>
      <c r="AN718" s="685"/>
      <c r="AP718" s="687" t="s">
        <v>1436</v>
      </c>
    </row>
    <row r="719" spans="1:43" s="571" customFormat="1" ht="14.1" customHeight="1">
      <c r="A719" s="551"/>
      <c r="B719" s="537"/>
      <c r="C719" s="932"/>
      <c r="D719" s="664" t="s">
        <v>509</v>
      </c>
      <c r="E719" s="2543" t="s">
        <v>1435</v>
      </c>
      <c r="F719" s="2543"/>
      <c r="G719" s="2543"/>
      <c r="H719" s="2543"/>
      <c r="I719" s="2543"/>
      <c r="J719" s="2543"/>
      <c r="K719" s="2543"/>
      <c r="L719" s="2543"/>
      <c r="M719" s="2543"/>
      <c r="N719" s="2543"/>
      <c r="O719" s="2543"/>
      <c r="P719" s="2543"/>
      <c r="Q719" s="2543"/>
      <c r="R719" s="2543"/>
      <c r="S719" s="2543"/>
      <c r="T719" s="2543"/>
      <c r="U719" s="2543"/>
      <c r="V719" s="2543"/>
      <c r="W719" s="2543"/>
      <c r="X719" s="2543"/>
      <c r="Y719" s="2543"/>
      <c r="Z719" s="2543"/>
      <c r="AA719" s="2543"/>
      <c r="AB719" s="2543"/>
      <c r="AC719" s="537"/>
      <c r="AD719" s="537"/>
      <c r="AE719" s="537"/>
      <c r="AF719" s="2530" t="s">
        <v>1408</v>
      </c>
      <c r="AG719" s="2530"/>
      <c r="AH719" s="2530"/>
      <c r="AI719" s="2530"/>
      <c r="AJ719" s="2530"/>
      <c r="AK719" s="2530"/>
      <c r="AL719" s="2530"/>
      <c r="AM719" s="551"/>
      <c r="AN719" s="686"/>
    </row>
    <row r="720" spans="1:43" s="571" customFormat="1" ht="12.75" customHeight="1">
      <c r="A720" s="551"/>
      <c r="B720" s="537"/>
      <c r="C720" s="934"/>
      <c r="D720" s="537"/>
      <c r="E720" s="2543"/>
      <c r="F720" s="2543"/>
      <c r="G720" s="2543"/>
      <c r="H720" s="2543"/>
      <c r="I720" s="2543"/>
      <c r="J720" s="2543"/>
      <c r="K720" s="2543"/>
      <c r="L720" s="2543"/>
      <c r="M720" s="2543"/>
      <c r="N720" s="2543"/>
      <c r="O720" s="2543"/>
      <c r="P720" s="2543"/>
      <c r="Q720" s="2543"/>
      <c r="R720" s="2543"/>
      <c r="S720" s="2543"/>
      <c r="T720" s="2543"/>
      <c r="U720" s="2543"/>
      <c r="V720" s="2543"/>
      <c r="W720" s="2543"/>
      <c r="X720" s="2543"/>
      <c r="Y720" s="2543"/>
      <c r="Z720" s="2543"/>
      <c r="AA720" s="2543"/>
      <c r="AB720" s="2543"/>
      <c r="AC720" s="537"/>
      <c r="AD720" s="537"/>
      <c r="AE720" s="537"/>
      <c r="AF720" s="537"/>
      <c r="AG720" s="537"/>
      <c r="AH720" s="537"/>
      <c r="AI720" s="537"/>
      <c r="AJ720" s="537"/>
      <c r="AK720" s="537"/>
      <c r="AL720" s="537"/>
      <c r="AM720" s="551"/>
      <c r="AN720" s="685"/>
      <c r="AP720" s="551" t="s">
        <v>591</v>
      </c>
      <c r="AQ720" s="674">
        <v>0</v>
      </c>
    </row>
    <row r="721" spans="1:81" s="571" customFormat="1" ht="14.1" customHeight="1">
      <c r="A721" s="551"/>
      <c r="B721" s="537"/>
      <c r="C721" s="934"/>
      <c r="D721" s="537"/>
      <c r="E721" s="2543"/>
      <c r="F721" s="2543"/>
      <c r="G721" s="2543"/>
      <c r="H721" s="2543"/>
      <c r="I721" s="2543"/>
      <c r="J721" s="2543"/>
      <c r="K721" s="2543"/>
      <c r="L721" s="2543"/>
      <c r="M721" s="2543"/>
      <c r="N721" s="2543"/>
      <c r="O721" s="2543"/>
      <c r="P721" s="2543"/>
      <c r="Q721" s="2543"/>
      <c r="R721" s="2543"/>
      <c r="S721" s="2543"/>
      <c r="T721" s="2543"/>
      <c r="U721" s="2543"/>
      <c r="V721" s="2543"/>
      <c r="W721" s="2543"/>
      <c r="X721" s="2543"/>
      <c r="Y721" s="2543"/>
      <c r="Z721" s="2543"/>
      <c r="AA721" s="2543"/>
      <c r="AB721" s="2543"/>
      <c r="AC721" s="537"/>
      <c r="AD721" s="537"/>
      <c r="AE721" s="537"/>
      <c r="AF721" s="537"/>
      <c r="AG721" s="537"/>
      <c r="AH721" s="537"/>
      <c r="AI721" s="537"/>
      <c r="AJ721" s="537"/>
      <c r="AK721" s="537"/>
      <c r="AL721" s="537"/>
      <c r="AM721" s="551"/>
      <c r="AN721" s="685"/>
      <c r="AP721" s="612" t="s">
        <v>687</v>
      </c>
      <c r="AQ721" s="551">
        <v>3</v>
      </c>
    </row>
    <row r="722" spans="1:81" s="571" customFormat="1" ht="14.1" customHeight="1">
      <c r="A722" s="551"/>
      <c r="B722" s="537"/>
      <c r="C722" s="934"/>
      <c r="D722" s="537"/>
      <c r="E722" s="951"/>
      <c r="F722" s="951"/>
      <c r="G722" s="951"/>
      <c r="H722" s="951"/>
      <c r="I722" s="951"/>
      <c r="J722" s="951"/>
      <c r="K722" s="951"/>
      <c r="L722" s="951"/>
      <c r="M722" s="951"/>
      <c r="N722" s="951"/>
      <c r="O722" s="951"/>
      <c r="P722" s="951"/>
      <c r="Q722" s="951"/>
      <c r="R722" s="951"/>
      <c r="S722" s="951"/>
      <c r="T722" s="951"/>
      <c r="U722" s="951"/>
      <c r="V722" s="951"/>
      <c r="W722" s="951"/>
      <c r="X722" s="951"/>
      <c r="Y722" s="951"/>
      <c r="Z722" s="951"/>
      <c r="AA722" s="951"/>
      <c r="AB722" s="951"/>
      <c r="AC722" s="537"/>
      <c r="AD722" s="537"/>
      <c r="AE722" s="537"/>
      <c r="AF722" s="537"/>
      <c r="AG722" s="537"/>
      <c r="AH722" s="537"/>
      <c r="AI722" s="537"/>
      <c r="AJ722" s="537"/>
      <c r="AK722" s="537"/>
      <c r="AL722" s="537"/>
      <c r="AM722" s="551"/>
      <c r="AN722" s="685"/>
      <c r="AP722" s="612" t="s">
        <v>509</v>
      </c>
      <c r="AQ722" s="551">
        <v>2</v>
      </c>
    </row>
    <row r="723" spans="1:81" s="571" customFormat="1" ht="14.1" customHeight="1">
      <c r="A723" s="551"/>
      <c r="B723" s="537"/>
      <c r="C723" s="934"/>
      <c r="D723" s="537" t="s">
        <v>1400</v>
      </c>
      <c r="E723" s="937"/>
      <c r="F723" s="937"/>
      <c r="G723" s="937"/>
      <c r="H723" s="2454" t="s">
        <v>591</v>
      </c>
      <c r="I723" s="2454"/>
      <c r="J723" s="951"/>
      <c r="K723" s="951"/>
      <c r="L723" s="951"/>
      <c r="M723" s="951"/>
      <c r="N723" s="951"/>
      <c r="O723" s="951"/>
      <c r="P723" s="951"/>
      <c r="Q723" s="951"/>
      <c r="R723" s="951"/>
      <c r="S723" s="951"/>
      <c r="T723" s="951"/>
      <c r="U723" s="951"/>
      <c r="V723" s="951"/>
      <c r="W723" s="951"/>
      <c r="X723" s="951"/>
      <c r="Y723" s="951"/>
      <c r="Z723" s="951"/>
      <c r="AA723" s="951"/>
      <c r="AB723" s="951"/>
      <c r="AC723" s="537"/>
      <c r="AD723" s="537"/>
      <c r="AE723" s="537"/>
      <c r="AF723" s="537"/>
      <c r="AG723" s="537"/>
      <c r="AH723" s="537"/>
      <c r="AI723" s="537"/>
      <c r="AJ723" s="537"/>
      <c r="AK723" s="537"/>
      <c r="AL723" s="537"/>
      <c r="AM723" s="551"/>
      <c r="AN723" s="685"/>
    </row>
    <row r="724" spans="1:81" s="571" customFormat="1" ht="14.25" customHeight="1">
      <c r="A724" s="551"/>
      <c r="B724" s="537"/>
      <c r="C724" s="934"/>
      <c r="D724" s="537"/>
      <c r="E724" s="951"/>
      <c r="F724" s="951"/>
      <c r="G724" s="951"/>
      <c r="H724" s="951"/>
      <c r="I724" s="951"/>
      <c r="J724" s="951"/>
      <c r="K724" s="951"/>
      <c r="L724" s="951"/>
      <c r="M724" s="951"/>
      <c r="N724" s="951"/>
      <c r="O724" s="951"/>
      <c r="P724" s="951"/>
      <c r="Q724" s="951"/>
      <c r="R724" s="951"/>
      <c r="S724" s="951"/>
      <c r="T724" s="951"/>
      <c r="U724" s="951"/>
      <c r="V724" s="951"/>
      <c r="W724" s="951"/>
      <c r="X724" s="951"/>
      <c r="Y724" s="951"/>
      <c r="Z724" s="951"/>
      <c r="AA724" s="951"/>
      <c r="AB724" s="951"/>
      <c r="AC724" s="537"/>
      <c r="AD724" s="537"/>
      <c r="AE724" s="537"/>
      <c r="AF724" s="537"/>
      <c r="AG724" s="537"/>
      <c r="AH724" s="537"/>
      <c r="AI724" s="537"/>
      <c r="AJ724" s="537"/>
      <c r="AK724" s="537"/>
      <c r="AL724" s="537"/>
      <c r="AM724" s="551"/>
      <c r="AN724" s="685"/>
    </row>
    <row r="725" spans="1:81" s="571" customFormat="1" ht="12.75" customHeight="1">
      <c r="A725" s="607"/>
      <c r="B725" s="602"/>
      <c r="C725" s="939"/>
      <c r="D725" s="602"/>
      <c r="E725" s="602"/>
      <c r="F725" s="602"/>
      <c r="G725" s="602"/>
      <c r="H725" s="602"/>
      <c r="I725" s="602"/>
      <c r="J725" s="952"/>
      <c r="K725" s="952"/>
      <c r="L725" s="952"/>
      <c r="M725" s="952"/>
      <c r="N725" s="952"/>
      <c r="O725" s="952"/>
      <c r="P725" s="952"/>
      <c r="Q725" s="952"/>
      <c r="R725" s="952"/>
      <c r="S725" s="952"/>
      <c r="T725" s="952"/>
      <c r="U725" s="666"/>
      <c r="V725" s="666"/>
      <c r="W725" s="666"/>
      <c r="X725" s="666"/>
      <c r="Y725" s="940"/>
      <c r="Z725" s="940"/>
      <c r="AA725" s="940"/>
      <c r="AB725" s="602"/>
      <c r="AC725" s="602"/>
      <c r="AD725" s="602"/>
      <c r="AE725" s="602"/>
      <c r="AF725" s="602"/>
      <c r="AG725" s="602"/>
      <c r="AH725" s="602"/>
      <c r="AI725" s="566" t="s">
        <v>1437</v>
      </c>
      <c r="AJ725" s="2437">
        <f>VLOOKUP($H$723,$AP$720:$AQ$722,2,FALSE)</f>
        <v>0</v>
      </c>
      <c r="AK725" s="2439"/>
      <c r="AL725" s="596"/>
      <c r="AM725" s="551"/>
      <c r="AN725" s="685"/>
      <c r="AP725" s="2437"/>
      <c r="AQ725" s="2439"/>
    </row>
    <row r="726" spans="1:81" s="571" customFormat="1">
      <c r="A726" s="551"/>
      <c r="B726" s="611"/>
      <c r="C726" s="932"/>
      <c r="D726" s="936"/>
      <c r="E726" s="617"/>
      <c r="F726" s="617"/>
      <c r="G726" s="617"/>
      <c r="H726" s="617"/>
      <c r="I726" s="617"/>
      <c r="J726" s="617"/>
      <c r="K726" s="617"/>
      <c r="L726" s="617"/>
      <c r="M726" s="617"/>
      <c r="N726" s="617"/>
      <c r="O726" s="617"/>
      <c r="P726" s="617"/>
      <c r="Q726" s="617"/>
      <c r="R726" s="617"/>
      <c r="S726" s="617"/>
      <c r="T726" s="617"/>
      <c r="U726" s="617"/>
      <c r="V726" s="617"/>
      <c r="W726" s="617"/>
      <c r="X726" s="617"/>
      <c r="Y726" s="617"/>
      <c r="Z726" s="617"/>
      <c r="AA726" s="617"/>
      <c r="AB726" s="617"/>
      <c r="AC726" s="537"/>
      <c r="AD726" s="537"/>
      <c r="AE726" s="537"/>
      <c r="AF726" s="537"/>
      <c r="AG726" s="537"/>
      <c r="AH726" s="537"/>
      <c r="AI726" s="537"/>
      <c r="AJ726" s="537"/>
      <c r="AK726" s="537"/>
      <c r="AL726" s="537"/>
      <c r="AM726" s="551"/>
      <c r="AN726" s="685"/>
      <c r="AT726" s="14"/>
      <c r="AU726" s="14"/>
      <c r="AV726" s="14"/>
      <c r="AW726" s="14"/>
      <c r="AX726" s="14"/>
      <c r="AY726" s="14"/>
      <c r="AZ726" s="14"/>
    </row>
    <row r="727" spans="1:81" s="571" customFormat="1">
      <c r="A727" s="551"/>
      <c r="B727" s="537"/>
      <c r="C727" s="540" t="s">
        <v>1438</v>
      </c>
      <c r="D727" s="953"/>
      <c r="E727" s="617"/>
      <c r="F727" s="617"/>
      <c r="G727" s="617"/>
      <c r="H727" s="617"/>
      <c r="I727" s="617"/>
      <c r="J727" s="617"/>
      <c r="K727" s="617"/>
      <c r="L727" s="617"/>
      <c r="M727" s="617"/>
      <c r="N727" s="617"/>
      <c r="O727" s="617"/>
      <c r="P727" s="617"/>
      <c r="Q727" s="617"/>
      <c r="R727" s="617"/>
      <c r="S727" s="617"/>
      <c r="T727" s="617"/>
      <c r="U727" s="617"/>
      <c r="V727" s="617"/>
      <c r="W727" s="617"/>
      <c r="X727" s="617"/>
      <c r="Y727" s="617"/>
      <c r="Z727" s="617"/>
      <c r="AA727" s="617"/>
      <c r="AB727" s="617"/>
      <c r="AC727" s="537"/>
      <c r="AD727" s="537"/>
      <c r="AE727" s="537"/>
      <c r="AF727" s="537"/>
      <c r="AG727" s="537"/>
      <c r="AH727" s="537"/>
      <c r="AI727" s="537"/>
      <c r="AJ727" s="537"/>
      <c r="AK727" s="537"/>
      <c r="AL727" s="537"/>
      <c r="AM727" s="551"/>
      <c r="AN727" s="685"/>
      <c r="AT727" s="14"/>
      <c r="AU727" s="14"/>
      <c r="AV727" s="14"/>
      <c r="AW727" s="14"/>
      <c r="AX727" s="14"/>
      <c r="AY727" s="14"/>
      <c r="AZ727" s="14"/>
    </row>
    <row r="728" spans="1:81" s="571" customFormat="1">
      <c r="A728" s="551"/>
      <c r="B728" s="611"/>
      <c r="C728" s="932"/>
      <c r="D728" s="936"/>
      <c r="E728" s="617"/>
      <c r="F728" s="617"/>
      <c r="G728" s="617"/>
      <c r="H728" s="617"/>
      <c r="I728" s="617"/>
      <c r="J728" s="617"/>
      <c r="K728" s="617"/>
      <c r="L728" s="617"/>
      <c r="M728" s="617"/>
      <c r="N728" s="617"/>
      <c r="O728" s="617"/>
      <c r="P728" s="617"/>
      <c r="Q728" s="617"/>
      <c r="R728" s="617"/>
      <c r="S728" s="617"/>
      <c r="T728" s="617"/>
      <c r="U728" s="617"/>
      <c r="V728" s="617"/>
      <c r="W728" s="617"/>
      <c r="X728" s="617"/>
      <c r="Y728" s="617"/>
      <c r="Z728" s="617"/>
      <c r="AA728" s="617"/>
      <c r="AB728" s="617"/>
      <c r="AC728" s="537"/>
      <c r="AD728" s="537"/>
      <c r="AE728" s="537"/>
      <c r="AF728" s="537"/>
      <c r="AG728" s="537"/>
      <c r="AH728" s="537"/>
      <c r="AI728" s="537"/>
      <c r="AJ728" s="537"/>
      <c r="AK728" s="537"/>
      <c r="AL728" s="537"/>
      <c r="AM728" s="551"/>
      <c r="AN728" s="685"/>
      <c r="AT728" s="14"/>
      <c r="AU728" s="14"/>
      <c r="AV728" s="14"/>
      <c r="AW728" s="14"/>
      <c r="AX728" s="14"/>
      <c r="AY728" s="14"/>
      <c r="AZ728" s="14"/>
    </row>
    <row r="729" spans="1:81" s="571" customFormat="1">
      <c r="A729" s="551"/>
      <c r="B729" s="537"/>
      <c r="C729" s="932"/>
      <c r="D729" s="664" t="s">
        <v>687</v>
      </c>
      <c r="E729" s="2430" t="s">
        <v>1696</v>
      </c>
      <c r="F729" s="2430"/>
      <c r="G729" s="2430"/>
      <c r="H729" s="2430"/>
      <c r="I729" s="2430"/>
      <c r="J729" s="2430"/>
      <c r="K729" s="2430"/>
      <c r="L729" s="2430"/>
      <c r="M729" s="2430"/>
      <c r="N729" s="2430"/>
      <c r="O729" s="2430"/>
      <c r="P729" s="2430"/>
      <c r="Q729" s="2430"/>
      <c r="R729" s="2430"/>
      <c r="S729" s="2430"/>
      <c r="T729" s="2430"/>
      <c r="U729" s="2430"/>
      <c r="V729" s="2430"/>
      <c r="W729" s="2430"/>
      <c r="X729" s="2430"/>
      <c r="Y729" s="2430"/>
      <c r="Z729" s="2430"/>
      <c r="AA729" s="2430"/>
      <c r="AB729" s="2430"/>
      <c r="AC729" s="537"/>
      <c r="AD729" s="537"/>
      <c r="AE729" s="537"/>
      <c r="AF729" s="2530" t="s">
        <v>1352</v>
      </c>
      <c r="AG729" s="2530"/>
      <c r="AH729" s="2530"/>
      <c r="AI729" s="2530"/>
      <c r="AJ729" s="2530"/>
      <c r="AK729" s="2530"/>
      <c r="AL729" s="2530"/>
      <c r="AM729" s="551"/>
      <c r="AN729" s="685"/>
      <c r="AT729" s="14"/>
      <c r="AU729" s="14"/>
      <c r="AV729" s="14"/>
      <c r="AW729" s="14"/>
      <c r="AX729" s="14"/>
      <c r="AY729" s="14"/>
      <c r="AZ729" s="14"/>
    </row>
    <row r="730" spans="1:81" s="571" customFormat="1">
      <c r="A730" s="551"/>
      <c r="B730" s="537"/>
      <c r="C730" s="934"/>
      <c r="D730" s="664"/>
      <c r="E730" s="2430"/>
      <c r="F730" s="2430"/>
      <c r="G730" s="2430"/>
      <c r="H730" s="2430"/>
      <c r="I730" s="2430"/>
      <c r="J730" s="2430"/>
      <c r="K730" s="2430"/>
      <c r="L730" s="2430"/>
      <c r="M730" s="2430"/>
      <c r="N730" s="2430"/>
      <c r="O730" s="2430"/>
      <c r="P730" s="2430"/>
      <c r="Q730" s="2430"/>
      <c r="R730" s="2430"/>
      <c r="S730" s="2430"/>
      <c r="T730" s="2430"/>
      <c r="U730" s="2430"/>
      <c r="V730" s="2430"/>
      <c r="W730" s="2430"/>
      <c r="X730" s="2430"/>
      <c r="Y730" s="2430"/>
      <c r="Z730" s="2430"/>
      <c r="AA730" s="2430"/>
      <c r="AB730" s="2430"/>
      <c r="AC730" s="537"/>
      <c r="AD730" s="537"/>
      <c r="AE730" s="537"/>
      <c r="AF730" s="537"/>
      <c r="AG730" s="537"/>
      <c r="AH730" s="537"/>
      <c r="AI730" s="537"/>
      <c r="AJ730" s="537"/>
      <c r="AK730" s="537"/>
      <c r="AL730" s="537"/>
      <c r="AM730" s="551"/>
      <c r="AN730" s="685"/>
      <c r="AT730" s="14"/>
      <c r="AU730" s="14"/>
      <c r="AV730" s="14"/>
      <c r="AW730" s="14"/>
      <c r="AX730" s="14"/>
      <c r="AY730" s="14"/>
      <c r="AZ730" s="14"/>
    </row>
    <row r="731" spans="1:81" s="571" customFormat="1">
      <c r="A731" s="551"/>
      <c r="B731" s="611"/>
      <c r="C731" s="932"/>
      <c r="D731" s="664"/>
      <c r="E731" s="617"/>
      <c r="F731" s="617"/>
      <c r="G731" s="617"/>
      <c r="H731" s="617"/>
      <c r="I731" s="617"/>
      <c r="J731" s="617"/>
      <c r="K731" s="617"/>
      <c r="L731" s="617"/>
      <c r="M731" s="617"/>
      <c r="N731" s="617"/>
      <c r="O731" s="617"/>
      <c r="P731" s="617"/>
      <c r="Q731" s="617"/>
      <c r="R731" s="617"/>
      <c r="S731" s="617"/>
      <c r="T731" s="617"/>
      <c r="U731" s="617"/>
      <c r="V731" s="617"/>
      <c r="W731" s="617"/>
      <c r="X731" s="617"/>
      <c r="Y731" s="617"/>
      <c r="Z731" s="617"/>
      <c r="AA731" s="617"/>
      <c r="AB731" s="617"/>
      <c r="AC731" s="537"/>
      <c r="AD731" s="537"/>
      <c r="AE731" s="537"/>
      <c r="AF731" s="537"/>
      <c r="AG731" s="537"/>
      <c r="AH731" s="537"/>
      <c r="AI731" s="537"/>
      <c r="AJ731" s="537"/>
      <c r="AK731" s="537"/>
      <c r="AL731" s="537"/>
      <c r="AM731" s="551"/>
      <c r="AN731" s="685"/>
      <c r="AT731" s="14"/>
      <c r="AU731" s="14"/>
      <c r="AV731" s="14"/>
      <c r="AW731" s="14"/>
      <c r="AX731" s="14"/>
      <c r="AY731" s="14"/>
      <c r="AZ731" s="14"/>
    </row>
    <row r="732" spans="1:81" s="571" customFormat="1" ht="12.75" customHeight="1">
      <c r="A732" s="551"/>
      <c r="B732" s="537"/>
      <c r="C732" s="932"/>
      <c r="D732" s="664" t="s">
        <v>509</v>
      </c>
      <c r="E732" s="2430" t="s">
        <v>1439</v>
      </c>
      <c r="F732" s="2430"/>
      <c r="G732" s="2430"/>
      <c r="H732" s="2430"/>
      <c r="I732" s="2430"/>
      <c r="J732" s="2430"/>
      <c r="K732" s="2430"/>
      <c r="L732" s="2430"/>
      <c r="M732" s="2430"/>
      <c r="N732" s="2430"/>
      <c r="O732" s="2430"/>
      <c r="P732" s="2430"/>
      <c r="Q732" s="2430"/>
      <c r="R732" s="2430"/>
      <c r="S732" s="2430"/>
      <c r="T732" s="2430"/>
      <c r="U732" s="2430"/>
      <c r="V732" s="2430"/>
      <c r="W732" s="2430"/>
      <c r="X732" s="2430"/>
      <c r="Y732" s="2430"/>
      <c r="Z732" s="2430"/>
      <c r="AA732" s="2430"/>
      <c r="AB732" s="2430"/>
      <c r="AC732" s="537"/>
      <c r="AD732" s="537"/>
      <c r="AE732" s="537"/>
      <c r="AF732" s="2530" t="s">
        <v>1408</v>
      </c>
      <c r="AG732" s="2530"/>
      <c r="AH732" s="2530"/>
      <c r="AI732" s="2530"/>
      <c r="AJ732" s="2530"/>
      <c r="AK732" s="2530"/>
      <c r="AL732" s="2530"/>
      <c r="AM732" s="551"/>
      <c r="AN732" s="685"/>
      <c r="AT732" s="14"/>
      <c r="AU732" s="14"/>
      <c r="AV732" s="14"/>
      <c r="AW732" s="14"/>
      <c r="AX732" s="14"/>
      <c r="AY732" s="14"/>
      <c r="AZ732" s="14"/>
    </row>
    <row r="733" spans="1:81" s="571" customFormat="1">
      <c r="A733" s="551"/>
      <c r="B733" s="537"/>
      <c r="C733" s="934"/>
      <c r="D733" s="537"/>
      <c r="E733" s="2430"/>
      <c r="F733" s="2430"/>
      <c r="G733" s="2430"/>
      <c r="H733" s="2430"/>
      <c r="I733" s="2430"/>
      <c r="J733" s="2430"/>
      <c r="K733" s="2430"/>
      <c r="L733" s="2430"/>
      <c r="M733" s="2430"/>
      <c r="N733" s="2430"/>
      <c r="O733" s="2430"/>
      <c r="P733" s="2430"/>
      <c r="Q733" s="2430"/>
      <c r="R733" s="2430"/>
      <c r="S733" s="2430"/>
      <c r="T733" s="2430"/>
      <c r="U733" s="2430"/>
      <c r="V733" s="2430"/>
      <c r="W733" s="2430"/>
      <c r="X733" s="2430"/>
      <c r="Y733" s="2430"/>
      <c r="Z733" s="2430"/>
      <c r="AA733" s="2430"/>
      <c r="AB733" s="2430"/>
      <c r="AC733" s="537"/>
      <c r="AD733" s="537"/>
      <c r="AE733" s="537"/>
      <c r="AF733" s="537"/>
      <c r="AG733" s="537"/>
      <c r="AH733" s="537"/>
      <c r="AI733" s="537"/>
      <c r="AJ733" s="537"/>
      <c r="AK733" s="537"/>
      <c r="AL733" s="537"/>
      <c r="AM733" s="551"/>
      <c r="AN733" s="685"/>
      <c r="AT733" s="14"/>
      <c r="AU733" s="14"/>
      <c r="AV733" s="14"/>
      <c r="AW733" s="14"/>
      <c r="AX733" s="14"/>
      <c r="AY733" s="14"/>
      <c r="AZ733" s="14"/>
    </row>
    <row r="734" spans="1:81" s="571" customFormat="1">
      <c r="A734" s="551"/>
      <c r="B734" s="537"/>
      <c r="C734" s="934"/>
      <c r="D734" s="537"/>
      <c r="E734" s="644"/>
      <c r="F734" s="644"/>
      <c r="G734" s="644"/>
      <c r="H734" s="644"/>
      <c r="I734" s="644"/>
      <c r="J734" s="644"/>
      <c r="K734" s="644"/>
      <c r="L734" s="644"/>
      <c r="M734" s="644"/>
      <c r="N734" s="644"/>
      <c r="O734" s="644"/>
      <c r="P734" s="644"/>
      <c r="Q734" s="644"/>
      <c r="R734" s="644"/>
      <c r="S734" s="644"/>
      <c r="T734" s="644"/>
      <c r="U734" s="644"/>
      <c r="V734" s="644"/>
      <c r="W734" s="644"/>
      <c r="X734" s="644"/>
      <c r="Y734" s="644"/>
      <c r="Z734" s="644"/>
      <c r="AA734" s="644"/>
      <c r="AB734" s="644"/>
      <c r="AC734" s="537"/>
      <c r="AD734" s="537"/>
      <c r="AE734" s="537"/>
      <c r="AF734" s="537"/>
      <c r="AG734" s="537"/>
      <c r="AH734" s="537"/>
      <c r="AI734" s="537"/>
      <c r="AJ734" s="537"/>
      <c r="AK734" s="537"/>
      <c r="AL734" s="537"/>
      <c r="AM734" s="551"/>
      <c r="AN734" s="685"/>
      <c r="AT734" s="14"/>
      <c r="AU734" s="14"/>
      <c r="AV734" s="14"/>
      <c r="AW734" s="14"/>
      <c r="AX734" s="14"/>
      <c r="AY734" s="14"/>
      <c r="AZ734" s="14"/>
    </row>
    <row r="735" spans="1:81" s="571" customFormat="1" ht="12.75" customHeight="1">
      <c r="A735" s="551"/>
      <c r="B735" s="537"/>
      <c r="C735" s="934"/>
      <c r="D735" s="537" t="s">
        <v>1400</v>
      </c>
      <c r="E735" s="937"/>
      <c r="F735" s="937"/>
      <c r="G735" s="937"/>
      <c r="H735" s="2454" t="s">
        <v>591</v>
      </c>
      <c r="I735" s="2454"/>
      <c r="J735" s="644"/>
      <c r="K735" s="644"/>
      <c r="L735" s="644"/>
      <c r="M735" s="644"/>
      <c r="N735" s="644"/>
      <c r="O735" s="644"/>
      <c r="P735" s="644"/>
      <c r="Q735" s="644"/>
      <c r="R735" s="644"/>
      <c r="S735" s="644"/>
      <c r="T735" s="644"/>
      <c r="U735" s="644"/>
      <c r="V735" s="644"/>
      <c r="W735" s="644"/>
      <c r="X735" s="644"/>
      <c r="Y735" s="644"/>
      <c r="Z735" s="644"/>
      <c r="AA735" s="644"/>
      <c r="AB735" s="644"/>
      <c r="AC735" s="537"/>
      <c r="AD735" s="537"/>
      <c r="AE735" s="537"/>
      <c r="AF735" s="537"/>
      <c r="AG735" s="537"/>
      <c r="AH735" s="537"/>
      <c r="AI735" s="537"/>
      <c r="AJ735" s="537"/>
      <c r="AK735" s="537"/>
      <c r="AL735" s="537"/>
      <c r="AM735" s="551"/>
      <c r="AN735" s="685"/>
      <c r="AT735" s="14"/>
      <c r="AU735" s="14"/>
      <c r="AV735" s="14"/>
      <c r="AW735" s="14"/>
      <c r="AX735" s="14"/>
      <c r="AY735" s="14"/>
      <c r="AZ735" s="14"/>
    </row>
    <row r="736" spans="1:81" s="571" customFormat="1">
      <c r="A736" s="551"/>
      <c r="B736" s="537"/>
      <c r="C736" s="934"/>
      <c r="D736" s="537"/>
      <c r="E736" s="644"/>
      <c r="F736" s="644"/>
      <c r="G736" s="644"/>
      <c r="H736" s="644"/>
      <c r="I736" s="644"/>
      <c r="J736" s="644"/>
      <c r="K736" s="644"/>
      <c r="L736" s="644"/>
      <c r="M736" s="644"/>
      <c r="N736" s="644"/>
      <c r="O736" s="644"/>
      <c r="P736" s="644"/>
      <c r="Q736" s="644"/>
      <c r="R736" s="644"/>
      <c r="S736" s="644"/>
      <c r="T736" s="644"/>
      <c r="U736" s="644"/>
      <c r="V736" s="644"/>
      <c r="W736" s="644"/>
      <c r="X736" s="644"/>
      <c r="Y736" s="644"/>
      <c r="Z736" s="644"/>
      <c r="AA736" s="644"/>
      <c r="AB736" s="644"/>
      <c r="AC736" s="537"/>
      <c r="AD736" s="537"/>
      <c r="AE736" s="537"/>
      <c r="AF736" s="537"/>
      <c r="AG736" s="537"/>
      <c r="AH736" s="537"/>
      <c r="AI736" s="537"/>
      <c r="AJ736" s="537"/>
      <c r="AK736" s="537"/>
      <c r="AL736" s="537"/>
      <c r="AM736" s="551"/>
      <c r="AN736" s="685"/>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1" customFormat="1">
      <c r="A737" s="607"/>
      <c r="B737" s="602"/>
      <c r="C737" s="939"/>
      <c r="D737" s="602"/>
      <c r="E737" s="950"/>
      <c r="F737" s="950"/>
      <c r="G737" s="950"/>
      <c r="H737" s="950"/>
      <c r="I737" s="950"/>
      <c r="J737" s="950"/>
      <c r="K737" s="950"/>
      <c r="L737" s="950"/>
      <c r="M737" s="950"/>
      <c r="N737" s="950"/>
      <c r="O737" s="950"/>
      <c r="P737" s="950"/>
      <c r="Q737" s="950"/>
      <c r="R737" s="950"/>
      <c r="S737" s="950"/>
      <c r="T737" s="950"/>
      <c r="U737" s="950"/>
      <c r="V737" s="666"/>
      <c r="W737" s="666"/>
      <c r="X737" s="666"/>
      <c r="Y737" s="940"/>
      <c r="Z737" s="940"/>
      <c r="AA737" s="940"/>
      <c r="AB737" s="602"/>
      <c r="AC737" s="602"/>
      <c r="AD737" s="602"/>
      <c r="AE737" s="602"/>
      <c r="AF737" s="602"/>
      <c r="AG737" s="602"/>
      <c r="AH737" s="602"/>
      <c r="AI737" s="566" t="s">
        <v>1440</v>
      </c>
      <c r="AJ737" s="2437">
        <f>VLOOKUP($H$735,$AO$666:$AP$668,2,FALSE)</f>
        <v>0</v>
      </c>
      <c r="AK737" s="2439"/>
      <c r="AL737" s="596"/>
      <c r="AM737" s="551"/>
      <c r="AN737" s="685"/>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1" customFormat="1" ht="12.75" customHeight="1">
      <c r="A738" s="551"/>
      <c r="B738" s="537"/>
      <c r="C738" s="934"/>
      <c r="D738" s="537"/>
      <c r="E738" s="537"/>
      <c r="F738" s="537"/>
      <c r="G738" s="537"/>
      <c r="H738" s="537"/>
      <c r="I738" s="537"/>
      <c r="J738" s="644"/>
      <c r="K738" s="644"/>
      <c r="L738" s="644"/>
      <c r="M738" s="644"/>
      <c r="N738" s="537"/>
      <c r="O738" s="537"/>
      <c r="P738" s="537"/>
      <c r="Q738" s="537"/>
      <c r="R738" s="537"/>
      <c r="S738" s="537"/>
      <c r="T738" s="537"/>
      <c r="U738" s="537"/>
      <c r="V738" s="537"/>
      <c r="W738" s="537"/>
      <c r="X738" s="537"/>
      <c r="Y738" s="537"/>
      <c r="Z738" s="537"/>
      <c r="AA738" s="537"/>
      <c r="AB738" s="537"/>
      <c r="AC738" s="537"/>
      <c r="AD738" s="537"/>
      <c r="AE738" s="537"/>
      <c r="AF738" s="537"/>
      <c r="AG738" s="537"/>
      <c r="AH738" s="537"/>
      <c r="AI738" s="537"/>
      <c r="AJ738" s="537"/>
      <c r="AK738" s="537"/>
      <c r="AL738" s="537"/>
      <c r="AM738" s="551"/>
      <c r="AN738" s="685"/>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1" customFormat="1" ht="12.75" customHeight="1">
      <c r="A739" s="551"/>
      <c r="B739" s="537"/>
      <c r="C739" s="540" t="s">
        <v>1441</v>
      </c>
      <c r="D739" s="537"/>
      <c r="E739" s="537"/>
      <c r="F739" s="537"/>
      <c r="G739" s="537"/>
      <c r="H739" s="537"/>
      <c r="I739" s="537"/>
      <c r="J739" s="537"/>
      <c r="K739" s="537"/>
      <c r="L739" s="537"/>
      <c r="M739" s="537"/>
      <c r="N739" s="537"/>
      <c r="O739" s="537"/>
      <c r="P739" s="537"/>
      <c r="Q739" s="537"/>
      <c r="R739" s="537"/>
      <c r="S739" s="537"/>
      <c r="T739" s="537"/>
      <c r="U739" s="537"/>
      <c r="V739" s="537"/>
      <c r="W739" s="537"/>
      <c r="X739" s="537"/>
      <c r="Y739" s="537"/>
      <c r="Z739" s="537"/>
      <c r="AA739" s="537"/>
      <c r="AB739" s="537"/>
      <c r="AC739" s="537"/>
      <c r="AD739" s="537"/>
      <c r="AE739" s="537"/>
      <c r="AF739" s="537"/>
      <c r="AG739" s="537"/>
      <c r="AH739" s="537"/>
      <c r="AI739" s="537"/>
      <c r="AJ739" s="537"/>
      <c r="AK739" s="537"/>
      <c r="AL739" s="537"/>
      <c r="AM739" s="551"/>
      <c r="AN739" s="685"/>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1" customFormat="1">
      <c r="A740" s="551"/>
      <c r="B740" s="611"/>
      <c r="C740" s="954"/>
      <c r="D740" s="611"/>
      <c r="E740" s="611"/>
      <c r="F740" s="537"/>
      <c r="G740" s="537"/>
      <c r="H740" s="611"/>
      <c r="I740" s="611"/>
      <c r="J740" s="611"/>
      <c r="K740" s="611"/>
      <c r="L740" s="611"/>
      <c r="M740" s="611"/>
      <c r="N740" s="611"/>
      <c r="O740" s="611"/>
      <c r="P740" s="611"/>
      <c r="Q740" s="611"/>
      <c r="R740" s="611"/>
      <c r="S740" s="611"/>
      <c r="T740" s="537"/>
      <c r="U740" s="537"/>
      <c r="V740" s="537"/>
      <c r="W740" s="537"/>
      <c r="X740" s="596"/>
      <c r="Y740" s="596"/>
      <c r="Z740" s="596"/>
      <c r="AA740" s="596"/>
      <c r="AB740" s="596"/>
      <c r="AC740" s="537"/>
      <c r="AD740" s="537"/>
      <c r="AE740" s="537"/>
      <c r="AF740" s="537"/>
      <c r="AG740" s="537"/>
      <c r="AH740" s="537"/>
      <c r="AI740" s="537"/>
      <c r="AJ740" s="537"/>
      <c r="AK740" s="537"/>
      <c r="AL740" s="537"/>
      <c r="AM740" s="551"/>
      <c r="AN740" s="685"/>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1" customFormat="1">
      <c r="A741" s="551"/>
      <c r="B741" s="537"/>
      <c r="C741" s="932"/>
      <c r="D741" s="664" t="s">
        <v>687</v>
      </c>
      <c r="E741" s="2430" t="s">
        <v>1442</v>
      </c>
      <c r="F741" s="2430"/>
      <c r="G741" s="2430"/>
      <c r="H741" s="2430"/>
      <c r="I741" s="2430"/>
      <c r="J741" s="2430"/>
      <c r="K741" s="2430"/>
      <c r="L741" s="2430"/>
      <c r="M741" s="2430"/>
      <c r="N741" s="2430"/>
      <c r="O741" s="2430"/>
      <c r="P741" s="2430"/>
      <c r="Q741" s="2430"/>
      <c r="R741" s="2430"/>
      <c r="S741" s="2430"/>
      <c r="T741" s="2430"/>
      <c r="U741" s="2430"/>
      <c r="V741" s="2430"/>
      <c r="W741" s="2430"/>
      <c r="X741" s="2430"/>
      <c r="Y741" s="2430"/>
      <c r="Z741" s="2430"/>
      <c r="AA741" s="2430"/>
      <c r="AB741" s="2430"/>
      <c r="AC741" s="537"/>
      <c r="AD741" s="537"/>
      <c r="AE741" s="537"/>
      <c r="AF741" s="2530" t="s">
        <v>1352</v>
      </c>
      <c r="AG741" s="2530"/>
      <c r="AH741" s="2530"/>
      <c r="AI741" s="2530"/>
      <c r="AJ741" s="2530"/>
      <c r="AK741" s="2530"/>
      <c r="AL741" s="2530"/>
      <c r="AM741" s="551"/>
      <c r="AN741" s="685"/>
      <c r="AT741" s="14"/>
      <c r="AU741" s="14"/>
      <c r="AV741" s="14"/>
      <c r="AW741" s="14"/>
      <c r="AX741" s="14"/>
      <c r="AY741" s="14"/>
      <c r="AZ741" s="14"/>
    </row>
    <row r="742" spans="1:81" s="571" customFormat="1">
      <c r="A742" s="551"/>
      <c r="B742" s="537"/>
      <c r="C742" s="932"/>
      <c r="D742" s="664"/>
      <c r="E742" s="2430"/>
      <c r="F742" s="2430"/>
      <c r="G742" s="2430"/>
      <c r="H742" s="2430"/>
      <c r="I742" s="2430"/>
      <c r="J742" s="2430"/>
      <c r="K742" s="2430"/>
      <c r="L742" s="2430"/>
      <c r="M742" s="2430"/>
      <c r="N742" s="2430"/>
      <c r="O742" s="2430"/>
      <c r="P742" s="2430"/>
      <c r="Q742" s="2430"/>
      <c r="R742" s="2430"/>
      <c r="S742" s="2430"/>
      <c r="T742" s="2430"/>
      <c r="U742" s="2430"/>
      <c r="V742" s="2430"/>
      <c r="W742" s="2430"/>
      <c r="X742" s="2430"/>
      <c r="Y742" s="2430"/>
      <c r="Z742" s="2430"/>
      <c r="AA742" s="2430"/>
      <c r="AB742" s="2430"/>
      <c r="AC742" s="537"/>
      <c r="AD742" s="537"/>
      <c r="AE742" s="537"/>
      <c r="AF742" s="595"/>
      <c r="AG742" s="595"/>
      <c r="AH742" s="595"/>
      <c r="AI742" s="595"/>
      <c r="AJ742" s="595"/>
      <c r="AK742" s="595"/>
      <c r="AL742" s="595"/>
      <c r="AM742" s="551"/>
      <c r="AN742" s="685"/>
      <c r="AT742" s="14"/>
      <c r="AU742" s="14"/>
      <c r="AV742" s="14"/>
      <c r="AW742" s="14"/>
      <c r="AX742" s="14"/>
      <c r="AY742" s="14"/>
      <c r="AZ742" s="14"/>
    </row>
    <row r="743" spans="1:81" s="571" customFormat="1">
      <c r="A743" s="551"/>
      <c r="B743" s="537"/>
      <c r="C743" s="934"/>
      <c r="D743" s="664"/>
      <c r="E743" s="2430"/>
      <c r="F743" s="2430"/>
      <c r="G743" s="2430"/>
      <c r="H743" s="2430"/>
      <c r="I743" s="2430"/>
      <c r="J743" s="2430"/>
      <c r="K743" s="2430"/>
      <c r="L743" s="2430"/>
      <c r="M743" s="2430"/>
      <c r="N743" s="2430"/>
      <c r="O743" s="2430"/>
      <c r="P743" s="2430"/>
      <c r="Q743" s="2430"/>
      <c r="R743" s="2430"/>
      <c r="S743" s="2430"/>
      <c r="T743" s="2430"/>
      <c r="U743" s="2430"/>
      <c r="V743" s="2430"/>
      <c r="W743" s="2430"/>
      <c r="X743" s="2430"/>
      <c r="Y743" s="2430"/>
      <c r="Z743" s="2430"/>
      <c r="AA743" s="2430"/>
      <c r="AB743" s="2430"/>
      <c r="AC743" s="537"/>
      <c r="AD743" s="537"/>
      <c r="AE743" s="537"/>
      <c r="AF743" s="537"/>
      <c r="AG743" s="537"/>
      <c r="AH743" s="537"/>
      <c r="AI743" s="537"/>
      <c r="AJ743" s="537"/>
      <c r="AK743" s="537"/>
      <c r="AL743" s="537"/>
      <c r="AM743" s="551"/>
      <c r="AN743" s="685"/>
    </row>
    <row r="744" spans="1:81" s="571" customFormat="1" ht="12.75" customHeight="1">
      <c r="A744" s="551"/>
      <c r="B744" s="537"/>
      <c r="C744" s="934"/>
      <c r="D744" s="664"/>
      <c r="E744" s="2430"/>
      <c r="F744" s="2430"/>
      <c r="G744" s="2430"/>
      <c r="H744" s="2430"/>
      <c r="I744" s="2430"/>
      <c r="J744" s="2430"/>
      <c r="K744" s="2430"/>
      <c r="L744" s="2430"/>
      <c r="M744" s="2430"/>
      <c r="N744" s="2430"/>
      <c r="O744" s="2430"/>
      <c r="P744" s="2430"/>
      <c r="Q744" s="2430"/>
      <c r="R744" s="2430"/>
      <c r="S744" s="2430"/>
      <c r="T744" s="2430"/>
      <c r="U744" s="2430"/>
      <c r="V744" s="2430"/>
      <c r="W744" s="2430"/>
      <c r="X744" s="2430"/>
      <c r="Y744" s="2430"/>
      <c r="Z744" s="2430"/>
      <c r="AA744" s="2430"/>
      <c r="AB744" s="2430"/>
      <c r="AC744" s="537"/>
      <c r="AD744" s="537"/>
      <c r="AE744" s="537"/>
      <c r="AF744" s="537"/>
      <c r="AG744" s="537"/>
      <c r="AH744" s="537"/>
      <c r="AI744" s="537"/>
      <c r="AJ744" s="537"/>
      <c r="AK744" s="537"/>
      <c r="AL744" s="537"/>
      <c r="AM744" s="551"/>
      <c r="AN744" s="535"/>
      <c r="AO744" s="14"/>
    </row>
    <row r="745" spans="1:81" s="571" customFormat="1">
      <c r="A745" s="680"/>
      <c r="B745" s="596"/>
      <c r="C745" s="932"/>
      <c r="D745" s="664"/>
      <c r="E745" s="947"/>
      <c r="F745" s="947"/>
      <c r="G745" s="947"/>
      <c r="H745" s="947"/>
      <c r="I745" s="947"/>
      <c r="J745" s="947"/>
      <c r="K745" s="947"/>
      <c r="L745" s="947"/>
      <c r="M745" s="947"/>
      <c r="N745" s="947"/>
      <c r="O745" s="947"/>
      <c r="P745" s="947"/>
      <c r="Q745" s="947"/>
      <c r="R745" s="947"/>
      <c r="S745" s="947"/>
      <c r="T745" s="947"/>
      <c r="U745" s="947"/>
      <c r="V745" s="947"/>
      <c r="W745" s="947"/>
      <c r="X745" s="947"/>
      <c r="Y745" s="947"/>
      <c r="Z745" s="947"/>
      <c r="AA745" s="947"/>
      <c r="AB745" s="947"/>
      <c r="AC745" s="537"/>
      <c r="AD745" s="537"/>
      <c r="AE745" s="537"/>
      <c r="AF745" s="537"/>
      <c r="AG745" s="537"/>
      <c r="AH745" s="537"/>
      <c r="AI745" s="537"/>
      <c r="AJ745" s="537"/>
      <c r="AK745" s="537"/>
      <c r="AL745" s="537"/>
      <c r="AM745" s="551"/>
      <c r="AN745" s="685"/>
      <c r="AO745" s="30"/>
      <c r="AP745" s="14"/>
    </row>
    <row r="746" spans="1:81" s="571" customFormat="1">
      <c r="A746" s="551"/>
      <c r="B746" s="537"/>
      <c r="C746" s="932"/>
      <c r="D746" s="664" t="s">
        <v>509</v>
      </c>
      <c r="E746" s="2430" t="s">
        <v>1443</v>
      </c>
      <c r="F746" s="2430"/>
      <c r="G746" s="2430"/>
      <c r="H746" s="2430"/>
      <c r="I746" s="2430"/>
      <c r="J746" s="2430"/>
      <c r="K746" s="2430"/>
      <c r="L746" s="2430"/>
      <c r="M746" s="2430"/>
      <c r="N746" s="2430"/>
      <c r="O746" s="2430"/>
      <c r="P746" s="2430"/>
      <c r="Q746" s="2430"/>
      <c r="R746" s="2430"/>
      <c r="S746" s="2430"/>
      <c r="T746" s="2430"/>
      <c r="U746" s="2430"/>
      <c r="V746" s="2430"/>
      <c r="W746" s="2430"/>
      <c r="X746" s="2430"/>
      <c r="Y746" s="2430"/>
      <c r="Z746" s="2430"/>
      <c r="AA746" s="2430"/>
      <c r="AB746" s="576"/>
      <c r="AC746" s="537"/>
      <c r="AD746" s="537"/>
      <c r="AE746" s="537"/>
      <c r="AF746" s="2530" t="s">
        <v>1408</v>
      </c>
      <c r="AG746" s="2530"/>
      <c r="AH746" s="2530"/>
      <c r="AI746" s="2530"/>
      <c r="AJ746" s="2530"/>
      <c r="AK746" s="2530"/>
      <c r="AL746" s="2530"/>
      <c r="AM746" s="551"/>
      <c r="AN746" s="685"/>
      <c r="AO746" s="30"/>
      <c r="AP746" s="14"/>
    </row>
    <row r="747" spans="1:81" s="571" customFormat="1">
      <c r="A747" s="551"/>
      <c r="B747" s="537"/>
      <c r="C747" s="932"/>
      <c r="D747" s="664"/>
      <c r="E747" s="2430"/>
      <c r="F747" s="2430"/>
      <c r="G747" s="2430"/>
      <c r="H747" s="2430"/>
      <c r="I747" s="2430"/>
      <c r="J747" s="2430"/>
      <c r="K747" s="2430"/>
      <c r="L747" s="2430"/>
      <c r="M747" s="2430"/>
      <c r="N747" s="2430"/>
      <c r="O747" s="2430"/>
      <c r="P747" s="2430"/>
      <c r="Q747" s="2430"/>
      <c r="R747" s="2430"/>
      <c r="S747" s="2430"/>
      <c r="T747" s="2430"/>
      <c r="U747" s="2430"/>
      <c r="V747" s="2430"/>
      <c r="W747" s="2430"/>
      <c r="X747" s="2430"/>
      <c r="Y747" s="2430"/>
      <c r="Z747" s="2430"/>
      <c r="AA747" s="2430"/>
      <c r="AB747" s="576"/>
      <c r="AC747" s="537"/>
      <c r="AD747" s="537"/>
      <c r="AE747" s="537"/>
      <c r="AF747" s="595"/>
      <c r="AG747" s="595"/>
      <c r="AH747" s="595"/>
      <c r="AI747" s="595"/>
      <c r="AJ747" s="595"/>
      <c r="AK747" s="595"/>
      <c r="AL747" s="595"/>
      <c r="AM747" s="551"/>
      <c r="AN747" s="685"/>
      <c r="AO747" s="30"/>
      <c r="AP747" s="14"/>
    </row>
    <row r="748" spans="1:81" s="571" customFormat="1">
      <c r="A748" s="551"/>
      <c r="B748" s="537"/>
      <c r="C748" s="932"/>
      <c r="D748" s="537"/>
      <c r="E748" s="2430"/>
      <c r="F748" s="2430"/>
      <c r="G748" s="2430"/>
      <c r="H748" s="2430"/>
      <c r="I748" s="2430"/>
      <c r="J748" s="2430"/>
      <c r="K748" s="2430"/>
      <c r="L748" s="2430"/>
      <c r="M748" s="2430"/>
      <c r="N748" s="2430"/>
      <c r="O748" s="2430"/>
      <c r="P748" s="2430"/>
      <c r="Q748" s="2430"/>
      <c r="R748" s="2430"/>
      <c r="S748" s="2430"/>
      <c r="T748" s="2430"/>
      <c r="U748" s="2430"/>
      <c r="V748" s="2430"/>
      <c r="W748" s="2430"/>
      <c r="X748" s="2430"/>
      <c r="Y748" s="2430"/>
      <c r="Z748" s="2430"/>
      <c r="AA748" s="2430"/>
      <c r="AB748" s="576"/>
      <c r="AC748" s="595"/>
      <c r="AD748" s="595"/>
      <c r="AE748" s="595"/>
      <c r="AF748" s="595"/>
      <c r="AG748" s="595"/>
      <c r="AH748" s="595"/>
      <c r="AI748" s="595"/>
      <c r="AJ748" s="537"/>
      <c r="AK748" s="537"/>
      <c r="AL748" s="537"/>
      <c r="AM748" s="551"/>
      <c r="AN748" s="685"/>
      <c r="AO748" s="30"/>
      <c r="AP748" s="14"/>
    </row>
    <row r="749" spans="1:81" s="571" customFormat="1">
      <c r="A749" s="551"/>
      <c r="B749" s="537"/>
      <c r="C749" s="932"/>
      <c r="D749" s="537"/>
      <c r="E749" s="2430"/>
      <c r="F749" s="2430"/>
      <c r="G749" s="2430"/>
      <c r="H749" s="2430"/>
      <c r="I749" s="2430"/>
      <c r="J749" s="2430"/>
      <c r="K749" s="2430"/>
      <c r="L749" s="2430"/>
      <c r="M749" s="2430"/>
      <c r="N749" s="2430"/>
      <c r="O749" s="2430"/>
      <c r="P749" s="2430"/>
      <c r="Q749" s="2430"/>
      <c r="R749" s="2430"/>
      <c r="S749" s="2430"/>
      <c r="T749" s="2430"/>
      <c r="U749" s="2430"/>
      <c r="V749" s="2430"/>
      <c r="W749" s="2430"/>
      <c r="X749" s="2430"/>
      <c r="Y749" s="2430"/>
      <c r="Z749" s="2430"/>
      <c r="AA749" s="2430"/>
      <c r="AB749" s="576"/>
      <c r="AC749" s="595"/>
      <c r="AD749" s="595"/>
      <c r="AE749" s="595"/>
      <c r="AF749" s="595"/>
      <c r="AG749" s="595"/>
      <c r="AH749" s="595"/>
      <c r="AI749" s="595"/>
      <c r="AJ749" s="537"/>
      <c r="AK749" s="537"/>
      <c r="AL749" s="537"/>
      <c r="AM749" s="551"/>
      <c r="AN749" s="685"/>
      <c r="AO749" s="30"/>
      <c r="AP749" s="14"/>
    </row>
    <row r="750" spans="1:81" s="571" customFormat="1">
      <c r="A750" s="551"/>
      <c r="B750" s="537"/>
      <c r="C750" s="932"/>
      <c r="D750" s="537"/>
      <c r="E750" s="643"/>
      <c r="F750" s="643"/>
      <c r="G750" s="643"/>
      <c r="H750" s="643"/>
      <c r="I750" s="643"/>
      <c r="J750" s="643"/>
      <c r="K750" s="643"/>
      <c r="L750" s="643"/>
      <c r="M750" s="643"/>
      <c r="N750" s="643"/>
      <c r="O750" s="643"/>
      <c r="P750" s="643"/>
      <c r="Q750" s="643"/>
      <c r="R750" s="643"/>
      <c r="S750" s="643"/>
      <c r="T750" s="643"/>
      <c r="U750" s="643"/>
      <c r="V750" s="643"/>
      <c r="W750" s="643"/>
      <c r="X750" s="643"/>
      <c r="Y750" s="643"/>
      <c r="Z750" s="643"/>
      <c r="AA750" s="643"/>
      <c r="AB750" s="643"/>
      <c r="AC750" s="595"/>
      <c r="AD750" s="595"/>
      <c r="AE750" s="595"/>
      <c r="AF750" s="595"/>
      <c r="AG750" s="595"/>
      <c r="AH750" s="595"/>
      <c r="AI750" s="595"/>
      <c r="AJ750" s="537"/>
      <c r="AK750" s="537"/>
      <c r="AL750" s="537"/>
      <c r="AM750" s="551"/>
      <c r="AN750" s="685"/>
    </row>
    <row r="751" spans="1:81" s="571" customFormat="1" ht="12.75" customHeight="1">
      <c r="A751" s="551"/>
      <c r="B751" s="537"/>
      <c r="C751" s="932"/>
      <c r="D751" s="537" t="s">
        <v>1400</v>
      </c>
      <c r="E751" s="937"/>
      <c r="F751" s="937"/>
      <c r="G751" s="937"/>
      <c r="H751" s="2454" t="s">
        <v>591</v>
      </c>
      <c r="I751" s="2454"/>
      <c r="J751" s="643"/>
      <c r="K751" s="643"/>
      <c r="L751" s="643"/>
      <c r="M751" s="643"/>
      <c r="N751" s="643"/>
      <c r="O751" s="643"/>
      <c r="P751" s="643"/>
      <c r="Q751" s="643"/>
      <c r="R751" s="643"/>
      <c r="S751" s="643"/>
      <c r="T751" s="643"/>
      <c r="U751" s="643"/>
      <c r="V751" s="643"/>
      <c r="W751" s="643"/>
      <c r="X751" s="643"/>
      <c r="Y751" s="643"/>
      <c r="Z751" s="643"/>
      <c r="AA751" s="643"/>
      <c r="AB751" s="643"/>
      <c r="AC751" s="595"/>
      <c r="AD751" s="595"/>
      <c r="AE751" s="595"/>
      <c r="AF751" s="595"/>
      <c r="AG751" s="595"/>
      <c r="AH751" s="595"/>
      <c r="AI751" s="595"/>
      <c r="AJ751" s="537"/>
      <c r="AK751" s="537"/>
      <c r="AL751" s="537"/>
      <c r="AM751" s="551"/>
      <c r="AN751" s="685"/>
    </row>
    <row r="752" spans="1:81" s="571" customFormat="1" ht="12.75" customHeight="1">
      <c r="A752" s="551"/>
      <c r="B752" s="537"/>
      <c r="C752" s="932"/>
      <c r="D752" s="537"/>
      <c r="E752" s="643"/>
      <c r="F752" s="643"/>
      <c r="G752" s="643"/>
      <c r="H752" s="643"/>
      <c r="I752" s="643"/>
      <c r="J752" s="643"/>
      <c r="K752" s="643"/>
      <c r="L752" s="643"/>
      <c r="M752" s="643"/>
      <c r="N752" s="643"/>
      <c r="O752" s="643"/>
      <c r="P752" s="643"/>
      <c r="Q752" s="643"/>
      <c r="R752" s="643"/>
      <c r="S752" s="643"/>
      <c r="T752" s="643"/>
      <c r="U752" s="643"/>
      <c r="V752" s="643"/>
      <c r="W752" s="643"/>
      <c r="X752" s="643"/>
      <c r="Y752" s="643"/>
      <c r="Z752" s="643"/>
      <c r="AA752" s="643"/>
      <c r="AB752" s="643"/>
      <c r="AC752" s="595"/>
      <c r="AD752" s="595"/>
      <c r="AE752" s="595"/>
      <c r="AF752" s="595"/>
      <c r="AG752" s="595"/>
      <c r="AH752" s="595"/>
      <c r="AI752" s="595"/>
      <c r="AJ752" s="537"/>
      <c r="AK752" s="537"/>
      <c r="AL752" s="537"/>
      <c r="AM752" s="551"/>
      <c r="AN752" s="535"/>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1" customFormat="1">
      <c r="A753" s="607"/>
      <c r="B753" s="602"/>
      <c r="C753" s="945"/>
      <c r="D753" s="602"/>
      <c r="E753" s="955"/>
      <c r="F753" s="955"/>
      <c r="G753" s="955"/>
      <c r="H753" s="955"/>
      <c r="I753" s="955"/>
      <c r="J753" s="955"/>
      <c r="K753" s="955"/>
      <c r="L753" s="955"/>
      <c r="M753" s="955"/>
      <c r="N753" s="955"/>
      <c r="O753" s="955"/>
      <c r="P753" s="955"/>
      <c r="Q753" s="955"/>
      <c r="R753" s="955"/>
      <c r="S753" s="955"/>
      <c r="T753" s="955"/>
      <c r="U753" s="955"/>
      <c r="V753" s="955"/>
      <c r="W753" s="955"/>
      <c r="X753" s="955"/>
      <c r="Y753" s="955"/>
      <c r="Z753" s="955"/>
      <c r="AA753" s="955"/>
      <c r="AB753" s="688"/>
      <c r="AC753" s="688"/>
      <c r="AD753" s="688"/>
      <c r="AE753" s="688"/>
      <c r="AF753" s="688"/>
      <c r="AG753" s="688"/>
      <c r="AH753" s="602"/>
      <c r="AI753" s="566" t="s">
        <v>1444</v>
      </c>
      <c r="AJ753" s="2437">
        <f>VLOOKUP($H$751,$AO$680:$AP$682,2,FALSE)</f>
        <v>0</v>
      </c>
      <c r="AK753" s="2439"/>
      <c r="AL753" s="596"/>
      <c r="AM753" s="551"/>
      <c r="AN753" s="535"/>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1" customFormat="1" ht="12.75" customHeight="1">
      <c r="A754" s="638"/>
      <c r="B754" s="537"/>
      <c r="C754" s="934"/>
      <c r="D754" s="537"/>
      <c r="E754" s="537"/>
      <c r="F754" s="537"/>
      <c r="G754" s="537"/>
      <c r="H754" s="537"/>
      <c r="I754" s="537"/>
      <c r="J754" s="643"/>
      <c r="K754" s="643"/>
      <c r="L754" s="644"/>
      <c r="M754" s="644"/>
      <c r="N754" s="644"/>
      <c r="O754" s="644"/>
      <c r="P754" s="644"/>
      <c r="Q754" s="644"/>
      <c r="R754" s="644"/>
      <c r="S754" s="644"/>
      <c r="T754" s="644"/>
      <c r="U754" s="644"/>
      <c r="V754" s="617"/>
      <c r="W754" s="617"/>
      <c r="X754" s="617"/>
      <c r="Y754" s="617"/>
      <c r="Z754" s="937"/>
      <c r="AA754" s="937"/>
      <c r="AB754" s="937"/>
      <c r="AC754" s="537"/>
      <c r="AD754" s="537"/>
      <c r="AE754" s="537"/>
      <c r="AF754" s="537"/>
      <c r="AG754" s="537"/>
      <c r="AH754" s="537"/>
      <c r="AI754" s="537"/>
      <c r="AJ754" s="537"/>
      <c r="AK754" s="537"/>
      <c r="AL754" s="537"/>
      <c r="AM754" s="551"/>
      <c r="AN754" s="535"/>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1" customFormat="1">
      <c r="A755" s="551"/>
      <c r="B755" s="537"/>
      <c r="C755" s="540" t="s">
        <v>1434</v>
      </c>
      <c r="D755" s="617"/>
      <c r="E755" s="537"/>
      <c r="F755" s="537"/>
      <c r="G755" s="537"/>
      <c r="H755" s="537"/>
      <c r="I755" s="537"/>
      <c r="J755" s="537"/>
      <c r="K755" s="537"/>
      <c r="L755" s="537"/>
      <c r="M755" s="537"/>
      <c r="N755" s="537"/>
      <c r="O755" s="537"/>
      <c r="P755" s="537"/>
      <c r="Q755" s="537"/>
      <c r="R755" s="537"/>
      <c r="S755" s="537"/>
      <c r="T755" s="537"/>
      <c r="U755" s="537"/>
      <c r="V755" s="537"/>
      <c r="W755" s="537"/>
      <c r="X755" s="537"/>
      <c r="Y755" s="537"/>
      <c r="Z755" s="537"/>
      <c r="AA755" s="537"/>
      <c r="AB755" s="537"/>
      <c r="AC755" s="537"/>
      <c r="AD755" s="537"/>
      <c r="AE755" s="537"/>
      <c r="AF755" s="537"/>
      <c r="AG755" s="537"/>
      <c r="AH755" s="537"/>
      <c r="AI755" s="537"/>
      <c r="AJ755" s="537"/>
      <c r="AK755" s="537"/>
      <c r="AL755" s="537"/>
      <c r="AM755" s="551"/>
      <c r="AN755" s="535"/>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1" customFormat="1">
      <c r="A756" s="551"/>
      <c r="B756" s="617"/>
      <c r="C756" s="537"/>
      <c r="D756" s="537"/>
      <c r="E756" s="617"/>
      <c r="F756" s="617"/>
      <c r="G756" s="617"/>
      <c r="H756" s="617"/>
      <c r="I756" s="617"/>
      <c r="J756" s="617"/>
      <c r="K756" s="617"/>
      <c r="L756" s="617"/>
      <c r="M756" s="617"/>
      <c r="N756" s="617"/>
      <c r="O756" s="617"/>
      <c r="P756" s="617"/>
      <c r="Q756" s="617"/>
      <c r="R756" s="617"/>
      <c r="S756" s="617"/>
      <c r="T756" s="617"/>
      <c r="U756" s="617"/>
      <c r="V756" s="617"/>
      <c r="W756" s="617"/>
      <c r="X756" s="617"/>
      <c r="Y756" s="617"/>
      <c r="Z756" s="617"/>
      <c r="AA756" s="617"/>
      <c r="AB756" s="617"/>
      <c r="AC756" s="617"/>
      <c r="AD756" s="617"/>
      <c r="AE756" s="617"/>
      <c r="AF756" s="617"/>
      <c r="AG756" s="617"/>
      <c r="AH756" s="617"/>
      <c r="AI756" s="537"/>
      <c r="AJ756" s="537"/>
      <c r="AK756" s="537"/>
      <c r="AL756" s="537"/>
      <c r="AM756" s="551"/>
      <c r="AN756" s="535"/>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1" customFormat="1">
      <c r="A757" s="551"/>
      <c r="B757" s="537"/>
      <c r="C757" s="932"/>
      <c r="D757" s="664" t="s">
        <v>687</v>
      </c>
      <c r="E757" s="2430" t="s">
        <v>1445</v>
      </c>
      <c r="F757" s="2430"/>
      <c r="G757" s="2430"/>
      <c r="H757" s="2430"/>
      <c r="I757" s="2430"/>
      <c r="J757" s="2430"/>
      <c r="K757" s="2430"/>
      <c r="L757" s="2430"/>
      <c r="M757" s="2430"/>
      <c r="N757" s="2430"/>
      <c r="O757" s="2430"/>
      <c r="P757" s="2430"/>
      <c r="Q757" s="2430"/>
      <c r="R757" s="2430"/>
      <c r="S757" s="2430"/>
      <c r="T757" s="2430"/>
      <c r="U757" s="2430"/>
      <c r="V757" s="2430"/>
      <c r="W757" s="2430"/>
      <c r="X757" s="2430"/>
      <c r="Y757" s="2430"/>
      <c r="Z757" s="2430"/>
      <c r="AA757" s="2430"/>
      <c r="AB757" s="2430"/>
      <c r="AC757" s="537"/>
      <c r="AD757" s="537"/>
      <c r="AE757" s="537"/>
      <c r="AF757" s="2530" t="s">
        <v>1408</v>
      </c>
      <c r="AG757" s="2530"/>
      <c r="AH757" s="2530"/>
      <c r="AI757" s="2530"/>
      <c r="AJ757" s="2530"/>
      <c r="AK757" s="2530"/>
      <c r="AL757" s="2530"/>
      <c r="AM757" s="551"/>
      <c r="AN757" s="535"/>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1" customFormat="1">
      <c r="A758" s="551"/>
      <c r="B758" s="537"/>
      <c r="C758" s="934"/>
      <c r="D758" s="664"/>
      <c r="E758" s="2430"/>
      <c r="F758" s="2430"/>
      <c r="G758" s="2430"/>
      <c r="H758" s="2430"/>
      <c r="I758" s="2430"/>
      <c r="J758" s="2430"/>
      <c r="K758" s="2430"/>
      <c r="L758" s="2430"/>
      <c r="M758" s="2430"/>
      <c r="N758" s="2430"/>
      <c r="O758" s="2430"/>
      <c r="P758" s="2430"/>
      <c r="Q758" s="2430"/>
      <c r="R758" s="2430"/>
      <c r="S758" s="2430"/>
      <c r="T758" s="2430"/>
      <c r="U758" s="2430"/>
      <c r="V758" s="2430"/>
      <c r="W758" s="2430"/>
      <c r="X758" s="2430"/>
      <c r="Y758" s="2430"/>
      <c r="Z758" s="2430"/>
      <c r="AA758" s="2430"/>
      <c r="AB758" s="2430"/>
      <c r="AC758" s="537"/>
      <c r="AD758" s="537"/>
      <c r="AE758" s="537"/>
      <c r="AF758" s="537"/>
      <c r="AG758" s="537"/>
      <c r="AH758" s="537"/>
      <c r="AI758" s="537"/>
      <c r="AJ758" s="537"/>
      <c r="AK758" s="537"/>
      <c r="AL758" s="537"/>
      <c r="AM758" s="551"/>
      <c r="AN758" s="535"/>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1" customFormat="1">
      <c r="A759" s="551"/>
      <c r="B759" s="617"/>
      <c r="C759" s="941"/>
      <c r="D759" s="664"/>
      <c r="E759" s="617"/>
      <c r="F759" s="617"/>
      <c r="G759" s="617"/>
      <c r="H759" s="617"/>
      <c r="I759" s="617"/>
      <c r="J759" s="617"/>
      <c r="K759" s="617"/>
      <c r="L759" s="617"/>
      <c r="M759" s="617"/>
      <c r="N759" s="617"/>
      <c r="O759" s="617"/>
      <c r="P759" s="617"/>
      <c r="Q759" s="617"/>
      <c r="R759" s="617"/>
      <c r="S759" s="617"/>
      <c r="T759" s="617"/>
      <c r="U759" s="617"/>
      <c r="V759" s="617"/>
      <c r="W759" s="617"/>
      <c r="X759" s="617"/>
      <c r="Y759" s="617"/>
      <c r="Z759" s="617"/>
      <c r="AA759" s="617"/>
      <c r="AB759" s="617"/>
      <c r="AC759" s="537"/>
      <c r="AD759" s="537"/>
      <c r="AE759" s="617"/>
      <c r="AF759" s="617"/>
      <c r="AG759" s="617"/>
      <c r="AH759" s="617"/>
      <c r="AI759" s="617"/>
      <c r="AJ759" s="617"/>
      <c r="AK759" s="537"/>
      <c r="AL759" s="537"/>
      <c r="AM759" s="551"/>
      <c r="AN759" s="535"/>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1" customFormat="1">
      <c r="A760" s="638"/>
      <c r="B760" s="537"/>
      <c r="C760" s="932"/>
      <c r="D760" s="664" t="s">
        <v>509</v>
      </c>
      <c r="E760" s="2430" t="s">
        <v>1446</v>
      </c>
      <c r="F760" s="2430"/>
      <c r="G760" s="2430"/>
      <c r="H760" s="2430"/>
      <c r="I760" s="2430"/>
      <c r="J760" s="2430"/>
      <c r="K760" s="2430"/>
      <c r="L760" s="2430"/>
      <c r="M760" s="2430"/>
      <c r="N760" s="2430"/>
      <c r="O760" s="2430"/>
      <c r="P760" s="2430"/>
      <c r="Q760" s="2430"/>
      <c r="R760" s="2430"/>
      <c r="S760" s="2430"/>
      <c r="T760" s="2430"/>
      <c r="U760" s="2430"/>
      <c r="V760" s="2430"/>
      <c r="W760" s="2430"/>
      <c r="X760" s="2430"/>
      <c r="Y760" s="2430"/>
      <c r="Z760" s="2430"/>
      <c r="AA760" s="2430"/>
      <c r="AB760" s="2430"/>
      <c r="AC760" s="537"/>
      <c r="AD760" s="537"/>
      <c r="AE760" s="537"/>
      <c r="AF760" s="2530" t="s">
        <v>1425</v>
      </c>
      <c r="AG760" s="2530"/>
      <c r="AH760" s="2530"/>
      <c r="AI760" s="2530"/>
      <c r="AJ760" s="2530"/>
      <c r="AK760" s="2530"/>
      <c r="AL760" s="2530"/>
      <c r="AM760" s="551"/>
      <c r="AN760" s="535"/>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1" customFormat="1" ht="12.75" customHeight="1">
      <c r="A761" s="638"/>
      <c r="B761" s="537"/>
      <c r="C761" s="932"/>
      <c r="D761" s="664"/>
      <c r="E761" s="2430"/>
      <c r="F761" s="2430"/>
      <c r="G761" s="2430"/>
      <c r="H761" s="2430"/>
      <c r="I761" s="2430"/>
      <c r="J761" s="2430"/>
      <c r="K761" s="2430"/>
      <c r="L761" s="2430"/>
      <c r="M761" s="2430"/>
      <c r="N761" s="2430"/>
      <c r="O761" s="2430"/>
      <c r="P761" s="2430"/>
      <c r="Q761" s="2430"/>
      <c r="R761" s="2430"/>
      <c r="S761" s="2430"/>
      <c r="T761" s="2430"/>
      <c r="U761" s="2430"/>
      <c r="V761" s="2430"/>
      <c r="W761" s="2430"/>
      <c r="X761" s="2430"/>
      <c r="Y761" s="2430"/>
      <c r="Z761" s="2430"/>
      <c r="AA761" s="2430"/>
      <c r="AB761" s="2430"/>
      <c r="AC761" s="537"/>
      <c r="AD761" s="537"/>
      <c r="AE761" s="595"/>
      <c r="AF761" s="537"/>
      <c r="AG761" s="537"/>
      <c r="AH761" s="537"/>
      <c r="AI761" s="537"/>
      <c r="AJ761" s="537"/>
      <c r="AK761" s="537"/>
      <c r="AL761" s="537"/>
      <c r="AM761" s="551"/>
      <c r="AN761" s="535"/>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1" customFormat="1">
      <c r="A762" s="551"/>
      <c r="B762" s="537"/>
      <c r="C762" s="934"/>
      <c r="D762" s="537"/>
      <c r="E762" s="644"/>
      <c r="F762" s="644"/>
      <c r="G762" s="644"/>
      <c r="H762" s="644"/>
      <c r="I762" s="644"/>
      <c r="J762" s="644"/>
      <c r="K762" s="644"/>
      <c r="L762" s="644"/>
      <c r="M762" s="644"/>
      <c r="N762" s="644"/>
      <c r="O762" s="644"/>
      <c r="P762" s="644"/>
      <c r="Q762" s="644"/>
      <c r="R762" s="644"/>
      <c r="S762" s="644"/>
      <c r="T762" s="644"/>
      <c r="U762" s="644"/>
      <c r="V762" s="644"/>
      <c r="W762" s="644"/>
      <c r="X762" s="644"/>
      <c r="Y762" s="644"/>
      <c r="Z762" s="644"/>
      <c r="AA762" s="644"/>
      <c r="AB762" s="644"/>
      <c r="AC762" s="537"/>
      <c r="AD762" s="537"/>
      <c r="AE762" s="617"/>
      <c r="AF762" s="617"/>
      <c r="AG762" s="617"/>
      <c r="AH762" s="617"/>
      <c r="AI762" s="537"/>
      <c r="AJ762" s="537"/>
      <c r="AK762" s="537"/>
      <c r="AL762" s="537"/>
      <c r="AM762" s="551"/>
      <c r="AN762" s="535"/>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1" customFormat="1" ht="12.75" customHeight="1">
      <c r="A763" s="551"/>
      <c r="B763" s="537"/>
      <c r="C763" s="537"/>
      <c r="D763" s="537" t="s">
        <v>1400</v>
      </c>
      <c r="E763" s="937"/>
      <c r="F763" s="937"/>
      <c r="G763" s="937"/>
      <c r="H763" s="2454" t="s">
        <v>509</v>
      </c>
      <c r="I763" s="2454"/>
      <c r="J763" s="644"/>
      <c r="K763" s="644"/>
      <c r="L763" s="644"/>
      <c r="M763" s="644"/>
      <c r="N763" s="644"/>
      <c r="O763" s="644"/>
      <c r="P763" s="644"/>
      <c r="Q763" s="537"/>
      <c r="R763" s="537"/>
      <c r="S763" s="537"/>
      <c r="T763" s="537"/>
      <c r="U763" s="537"/>
      <c r="V763" s="537"/>
      <c r="W763" s="644"/>
      <c r="X763" s="644"/>
      <c r="Y763" s="644"/>
      <c r="Z763" s="644"/>
      <c r="AA763" s="644"/>
      <c r="AB763" s="644"/>
      <c r="AC763" s="537"/>
      <c r="AD763" s="537"/>
      <c r="AE763" s="617"/>
      <c r="AF763" s="617"/>
      <c r="AG763" s="617"/>
      <c r="AH763" s="617"/>
      <c r="AI763" s="537"/>
      <c r="AJ763" s="537"/>
      <c r="AK763" s="537"/>
      <c r="AL763" s="537"/>
      <c r="AM763" s="551"/>
      <c r="AN763" s="535"/>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1" customFormat="1" ht="12.75" customHeight="1">
      <c r="A764" s="551"/>
      <c r="B764" s="617"/>
      <c r="C764" s="941"/>
      <c r="D764" s="617"/>
      <c r="E764" s="617"/>
      <c r="F764" s="617"/>
      <c r="G764" s="617"/>
      <c r="H764" s="617"/>
      <c r="I764" s="617"/>
      <c r="J764" s="617"/>
      <c r="K764" s="617"/>
      <c r="L764" s="617"/>
      <c r="M764" s="617"/>
      <c r="N764" s="617"/>
      <c r="O764" s="617"/>
      <c r="P764" s="617"/>
      <c r="Q764" s="617"/>
      <c r="R764" s="617"/>
      <c r="S764" s="617"/>
      <c r="T764" s="617"/>
      <c r="U764" s="617"/>
      <c r="V764" s="617"/>
      <c r="W764" s="617"/>
      <c r="X764" s="617"/>
      <c r="Y764" s="617"/>
      <c r="Z764" s="617"/>
      <c r="AA764" s="617"/>
      <c r="AB764" s="617"/>
      <c r="AC764" s="617"/>
      <c r="AD764" s="617"/>
      <c r="AE764" s="617"/>
      <c r="AF764" s="617"/>
      <c r="AG764" s="617"/>
      <c r="AH764" s="617"/>
      <c r="AI764" s="537"/>
      <c r="AJ764" s="537"/>
      <c r="AK764" s="537"/>
      <c r="AL764" s="537"/>
      <c r="AM764" s="551"/>
      <c r="AN764" s="535"/>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1" customFormat="1" ht="14.1" customHeight="1">
      <c r="A765" s="607"/>
      <c r="B765" s="666"/>
      <c r="C765" s="956"/>
      <c r="D765" s="666"/>
      <c r="E765" s="666"/>
      <c r="F765" s="666"/>
      <c r="G765" s="666"/>
      <c r="H765" s="666"/>
      <c r="I765" s="666"/>
      <c r="J765" s="666"/>
      <c r="K765" s="666"/>
      <c r="L765" s="666"/>
      <c r="M765" s="666"/>
      <c r="N765" s="666"/>
      <c r="O765" s="666"/>
      <c r="P765" s="666"/>
      <c r="Q765" s="666"/>
      <c r="R765" s="666"/>
      <c r="S765" s="666"/>
      <c r="T765" s="666"/>
      <c r="U765" s="666"/>
      <c r="V765" s="666"/>
      <c r="W765" s="666"/>
      <c r="X765" s="666"/>
      <c r="Y765" s="666"/>
      <c r="Z765" s="666"/>
      <c r="AA765" s="666"/>
      <c r="AB765" s="666"/>
      <c r="AC765" s="666"/>
      <c r="AD765" s="666"/>
      <c r="AE765" s="666"/>
      <c r="AF765" s="666"/>
      <c r="AG765" s="666"/>
      <c r="AH765" s="602"/>
      <c r="AI765" s="566" t="s">
        <v>1447</v>
      </c>
      <c r="AJ765" s="2437">
        <f>VLOOKUP($H$763,$AO$697:$AP$699,2,FALSE)</f>
        <v>1</v>
      </c>
      <c r="AK765" s="2439"/>
      <c r="AL765" s="596"/>
      <c r="AM765" s="551"/>
      <c r="AN765" s="535"/>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1" customFormat="1">
      <c r="A766" s="551"/>
      <c r="B766" s="617"/>
      <c r="C766" s="941"/>
      <c r="D766" s="617"/>
      <c r="E766" s="617"/>
      <c r="F766" s="617"/>
      <c r="G766" s="617"/>
      <c r="H766" s="617"/>
      <c r="I766" s="617"/>
      <c r="J766" s="617"/>
      <c r="K766" s="617"/>
      <c r="L766" s="617"/>
      <c r="M766" s="617"/>
      <c r="N766" s="617"/>
      <c r="O766" s="617"/>
      <c r="P766" s="617"/>
      <c r="Q766" s="617"/>
      <c r="R766" s="617"/>
      <c r="S766" s="617"/>
      <c r="T766" s="617"/>
      <c r="U766" s="617"/>
      <c r="V766" s="617"/>
      <c r="W766" s="617"/>
      <c r="X766" s="617"/>
      <c r="Y766" s="617"/>
      <c r="Z766" s="617"/>
      <c r="AA766" s="617"/>
      <c r="AB766" s="617"/>
      <c r="AC766" s="617"/>
      <c r="AD766" s="617"/>
      <c r="AE766" s="617"/>
      <c r="AF766" s="617"/>
      <c r="AG766" s="617"/>
      <c r="AH766" s="537"/>
      <c r="AI766" s="544"/>
      <c r="AJ766" s="596"/>
      <c r="AK766" s="596"/>
      <c r="AL766" s="596"/>
      <c r="AM766" s="551"/>
      <c r="AN766" s="535"/>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1" customFormat="1">
      <c r="A767" s="551"/>
      <c r="B767" s="617"/>
      <c r="C767" s="540" t="s">
        <v>1436</v>
      </c>
      <c r="D767" s="617"/>
      <c r="E767" s="617"/>
      <c r="F767" s="617"/>
      <c r="G767" s="617"/>
      <c r="H767" s="617"/>
      <c r="I767" s="617"/>
      <c r="J767" s="617"/>
      <c r="K767" s="617"/>
      <c r="L767" s="617"/>
      <c r="M767" s="617"/>
      <c r="N767" s="617"/>
      <c r="O767" s="617"/>
      <c r="P767" s="617"/>
      <c r="Q767" s="617"/>
      <c r="R767" s="617"/>
      <c r="S767" s="617"/>
      <c r="T767" s="617"/>
      <c r="U767" s="617"/>
      <c r="V767" s="617"/>
      <c r="W767" s="617"/>
      <c r="X767" s="617"/>
      <c r="Y767" s="617"/>
      <c r="Z767" s="617"/>
      <c r="AA767" s="617"/>
      <c r="AB767" s="617"/>
      <c r="AC767" s="617"/>
      <c r="AD767" s="617"/>
      <c r="AE767" s="617"/>
      <c r="AF767" s="617"/>
      <c r="AG767" s="617"/>
      <c r="AH767" s="537"/>
      <c r="AI767" s="544"/>
      <c r="AJ767" s="596"/>
      <c r="AK767" s="596"/>
      <c r="AL767" s="596"/>
      <c r="AM767" s="551"/>
      <c r="AN767" s="535"/>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1" customFormat="1">
      <c r="A768" s="551"/>
      <c r="B768" s="617"/>
      <c r="C768" s="941"/>
      <c r="D768" s="617"/>
      <c r="E768" s="617"/>
      <c r="F768" s="617"/>
      <c r="G768" s="617"/>
      <c r="H768" s="617"/>
      <c r="I768" s="617"/>
      <c r="J768" s="617"/>
      <c r="K768" s="617"/>
      <c r="L768" s="617"/>
      <c r="M768" s="617"/>
      <c r="N768" s="617"/>
      <c r="O768" s="617"/>
      <c r="P768" s="617"/>
      <c r="Q768" s="617"/>
      <c r="R768" s="617"/>
      <c r="S768" s="617"/>
      <c r="T768" s="617"/>
      <c r="U768" s="617"/>
      <c r="V768" s="617"/>
      <c r="W768" s="617"/>
      <c r="X768" s="617"/>
      <c r="Y768" s="617"/>
      <c r="Z768" s="617"/>
      <c r="AA768" s="617"/>
      <c r="AB768" s="617"/>
      <c r="AC768" s="617"/>
      <c r="AD768" s="617"/>
      <c r="AE768" s="617"/>
      <c r="AF768" s="617"/>
      <c r="AG768" s="617"/>
      <c r="AH768" s="537"/>
      <c r="AI768" s="544"/>
      <c r="AJ768" s="596"/>
      <c r="AK768" s="596"/>
      <c r="AL768" s="596"/>
      <c r="AM768" s="551"/>
      <c r="AN768" s="685"/>
    </row>
    <row r="769" spans="1:81" s="571" customFormat="1" ht="13.7" customHeight="1">
      <c r="A769" s="551"/>
      <c r="B769" s="617"/>
      <c r="C769" s="941"/>
      <c r="D769" s="664" t="s">
        <v>687</v>
      </c>
      <c r="E769" s="2430" t="s">
        <v>1692</v>
      </c>
      <c r="F769" s="2430"/>
      <c r="G769" s="2430"/>
      <c r="H769" s="2430"/>
      <c r="I769" s="2430"/>
      <c r="J769" s="2430"/>
      <c r="K769" s="2430"/>
      <c r="L769" s="2430"/>
      <c r="M769" s="2430"/>
      <c r="N769" s="2430"/>
      <c r="O769" s="2430"/>
      <c r="P769" s="2430"/>
      <c r="Q769" s="2430"/>
      <c r="R769" s="2430"/>
      <c r="S769" s="2430"/>
      <c r="T769" s="2430"/>
      <c r="U769" s="2430"/>
      <c r="V769" s="2430"/>
      <c r="W769" s="2430"/>
      <c r="X769" s="2430"/>
      <c r="Y769" s="2430"/>
      <c r="Z769" s="2430"/>
      <c r="AA769" s="2430"/>
      <c r="AB769" s="2430"/>
      <c r="AC769" s="2430"/>
      <c r="AD769" s="2430"/>
      <c r="AE769" s="537"/>
      <c r="AF769" s="2530" t="s">
        <v>1408</v>
      </c>
      <c r="AG769" s="2530"/>
      <c r="AH769" s="2530"/>
      <c r="AI769" s="2530"/>
      <c r="AJ769" s="2530"/>
      <c r="AK769" s="2530"/>
      <c r="AL769" s="2530"/>
      <c r="AM769" s="614"/>
      <c r="AN769" s="685"/>
      <c r="AO769" s="551" t="s">
        <v>591</v>
      </c>
      <c r="AP769" s="674">
        <v>0</v>
      </c>
    </row>
    <row r="770" spans="1:81" s="571" customFormat="1" ht="13.7" customHeight="1">
      <c r="A770" s="551"/>
      <c r="B770" s="617"/>
      <c r="C770" s="941"/>
      <c r="D770" s="664"/>
      <c r="E770" s="2430"/>
      <c r="F770" s="2430"/>
      <c r="G770" s="2430"/>
      <c r="H770" s="2430"/>
      <c r="I770" s="2430"/>
      <c r="J770" s="2430"/>
      <c r="K770" s="2430"/>
      <c r="L770" s="2430"/>
      <c r="M770" s="2430"/>
      <c r="N770" s="2430"/>
      <c r="O770" s="2430"/>
      <c r="P770" s="2430"/>
      <c r="Q770" s="2430"/>
      <c r="R770" s="2430"/>
      <c r="S770" s="2430"/>
      <c r="T770" s="2430"/>
      <c r="U770" s="2430"/>
      <c r="V770" s="2430"/>
      <c r="W770" s="2430"/>
      <c r="X770" s="2430"/>
      <c r="Y770" s="2430"/>
      <c r="Z770" s="2430"/>
      <c r="AA770" s="2430"/>
      <c r="AB770" s="2430"/>
      <c r="AC770" s="2430"/>
      <c r="AD770" s="2430"/>
      <c r="AE770" s="537"/>
      <c r="AF770" s="595"/>
      <c r="AG770" s="595"/>
      <c r="AH770" s="595"/>
      <c r="AI770" s="595"/>
      <c r="AJ770" s="595"/>
      <c r="AK770" s="595"/>
      <c r="AL770" s="595"/>
      <c r="AM770" s="614"/>
      <c r="AN770" s="685"/>
      <c r="AO770" s="612" t="s">
        <v>687</v>
      </c>
      <c r="AP770" s="551">
        <v>2</v>
      </c>
    </row>
    <row r="771" spans="1:81" s="571" customFormat="1">
      <c r="A771" s="551"/>
      <c r="B771" s="617"/>
      <c r="C771" s="941"/>
      <c r="D771" s="664"/>
      <c r="E771" s="2430"/>
      <c r="F771" s="2430"/>
      <c r="G771" s="2430"/>
      <c r="H771" s="2430"/>
      <c r="I771" s="2430"/>
      <c r="J771" s="2430"/>
      <c r="K771" s="2430"/>
      <c r="L771" s="2430"/>
      <c r="M771" s="2430"/>
      <c r="N771" s="2430"/>
      <c r="O771" s="2430"/>
      <c r="P771" s="2430"/>
      <c r="Q771" s="2430"/>
      <c r="R771" s="2430"/>
      <c r="S771" s="2430"/>
      <c r="T771" s="2430"/>
      <c r="U771" s="2430"/>
      <c r="V771" s="2430"/>
      <c r="W771" s="2430"/>
      <c r="X771" s="2430"/>
      <c r="Y771" s="2430"/>
      <c r="Z771" s="2430"/>
      <c r="AA771" s="2430"/>
      <c r="AB771" s="2430"/>
      <c r="AC771" s="2430"/>
      <c r="AD771" s="2430"/>
      <c r="AE771" s="537"/>
      <c r="AF771" s="537"/>
      <c r="AG771" s="537"/>
      <c r="AH771" s="537"/>
      <c r="AI771" s="537"/>
      <c r="AJ771" s="537"/>
      <c r="AK771" s="537"/>
      <c r="AL771" s="595"/>
      <c r="AM771" s="614"/>
      <c r="AN771" s="535"/>
      <c r="AO771" s="612" t="s">
        <v>509</v>
      </c>
      <c r="AP771" s="551">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1" customFormat="1" ht="18.600000000000001" customHeight="1">
      <c r="A772" s="551"/>
      <c r="B772" s="617"/>
      <c r="C772" s="941"/>
      <c r="D772" s="664"/>
      <c r="E772" s="2430"/>
      <c r="F772" s="2430"/>
      <c r="G772" s="2430"/>
      <c r="H772" s="2430"/>
      <c r="I772" s="2430"/>
      <c r="J772" s="2430"/>
      <c r="K772" s="2430"/>
      <c r="L772" s="2430"/>
      <c r="M772" s="2430"/>
      <c r="N772" s="2430"/>
      <c r="O772" s="2430"/>
      <c r="P772" s="2430"/>
      <c r="Q772" s="2430"/>
      <c r="R772" s="2430"/>
      <c r="S772" s="2430"/>
      <c r="T772" s="2430"/>
      <c r="U772" s="2430"/>
      <c r="V772" s="2430"/>
      <c r="W772" s="2430"/>
      <c r="X772" s="2430"/>
      <c r="Y772" s="2430"/>
      <c r="Z772" s="2430"/>
      <c r="AA772" s="2430"/>
      <c r="AB772" s="2430"/>
      <c r="AC772" s="2430"/>
      <c r="AD772" s="2430"/>
      <c r="AE772" s="595"/>
      <c r="AF772" s="595"/>
      <c r="AG772" s="595"/>
      <c r="AH772" s="595"/>
      <c r="AI772" s="595"/>
      <c r="AJ772" s="595"/>
      <c r="AK772" s="595"/>
      <c r="AL772" s="595"/>
      <c r="AM772" s="614"/>
      <c r="AN772" s="535"/>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1" customFormat="1" ht="12.75" customHeight="1">
      <c r="B773" s="617"/>
      <c r="C773" s="941"/>
      <c r="D773" s="664"/>
      <c r="E773" s="909"/>
      <c r="F773" s="909"/>
      <c r="G773" s="909"/>
      <c r="H773" s="909"/>
      <c r="I773" s="909"/>
      <c r="J773" s="909"/>
      <c r="K773" s="909"/>
      <c r="L773" s="909"/>
      <c r="M773" s="909"/>
      <c r="N773" s="909"/>
      <c r="O773" s="909"/>
      <c r="P773" s="909"/>
      <c r="Q773" s="909"/>
      <c r="R773" s="909"/>
      <c r="S773" s="909"/>
      <c r="T773" s="909"/>
      <c r="U773" s="909"/>
      <c r="V773" s="909"/>
      <c r="W773" s="909"/>
      <c r="X773" s="909"/>
      <c r="Y773" s="909"/>
      <c r="Z773" s="909"/>
      <c r="AA773" s="909"/>
      <c r="AB773" s="909"/>
      <c r="AC773" s="909"/>
      <c r="AD773" s="909"/>
      <c r="AE773" s="595"/>
      <c r="AF773" s="537"/>
      <c r="AG773" s="537"/>
      <c r="AH773" s="537"/>
      <c r="AI773" s="537"/>
      <c r="AJ773" s="537"/>
      <c r="AK773" s="537"/>
      <c r="AL773" s="537"/>
      <c r="AM773" s="614"/>
      <c r="AN773" s="598"/>
    </row>
    <row r="774" spans="1:81" s="551" customFormat="1" ht="12.75" customHeight="1">
      <c r="B774" s="617"/>
      <c r="C774" s="941"/>
      <c r="D774" s="664" t="s">
        <v>509</v>
      </c>
      <c r="E774" s="2541" t="s">
        <v>1697</v>
      </c>
      <c r="F774" s="2541"/>
      <c r="G774" s="2541"/>
      <c r="H774" s="2541"/>
      <c r="I774" s="2541"/>
      <c r="J774" s="2541"/>
      <c r="K774" s="2541"/>
      <c r="L774" s="2541"/>
      <c r="M774" s="2541"/>
      <c r="N774" s="2541"/>
      <c r="O774" s="2541"/>
      <c r="P774" s="2541"/>
      <c r="Q774" s="2541"/>
      <c r="R774" s="2541"/>
      <c r="S774" s="2541"/>
      <c r="T774" s="2541"/>
      <c r="U774" s="2541"/>
      <c r="V774" s="2541"/>
      <c r="W774" s="2541"/>
      <c r="X774" s="2541"/>
      <c r="Y774" s="2541"/>
      <c r="Z774" s="2541"/>
      <c r="AA774" s="2541"/>
      <c r="AB774" s="2541"/>
      <c r="AC774" s="2541"/>
      <c r="AD774" s="2541"/>
      <c r="AE774" s="537"/>
      <c r="AF774" s="2530" t="s">
        <v>1352</v>
      </c>
      <c r="AG774" s="2530"/>
      <c r="AH774" s="2530"/>
      <c r="AI774" s="2530"/>
      <c r="AJ774" s="2530"/>
      <c r="AK774" s="2530"/>
      <c r="AL774" s="2530"/>
      <c r="AM774" s="614"/>
      <c r="AN774" s="598"/>
    </row>
    <row r="775" spans="1:81" s="551" customFormat="1" ht="12.75" customHeight="1">
      <c r="B775" s="617"/>
      <c r="C775" s="941"/>
      <c r="D775" s="664"/>
      <c r="E775" s="2541"/>
      <c r="F775" s="2541"/>
      <c r="G775" s="2541"/>
      <c r="H775" s="2541"/>
      <c r="I775" s="2541"/>
      <c r="J775" s="2541"/>
      <c r="K775" s="2541"/>
      <c r="L775" s="2541"/>
      <c r="M775" s="2541"/>
      <c r="N775" s="2541"/>
      <c r="O775" s="2541"/>
      <c r="P775" s="2541"/>
      <c r="Q775" s="2541"/>
      <c r="R775" s="2541"/>
      <c r="S775" s="2541"/>
      <c r="T775" s="2541"/>
      <c r="U775" s="2541"/>
      <c r="V775" s="2541"/>
      <c r="W775" s="2541"/>
      <c r="X775" s="2541"/>
      <c r="Y775" s="2541"/>
      <c r="Z775" s="2541"/>
      <c r="AA775" s="2541"/>
      <c r="AB775" s="2541"/>
      <c r="AC775" s="2541"/>
      <c r="AD775" s="2541"/>
      <c r="AE775" s="595"/>
      <c r="AF775" s="595"/>
      <c r="AG775" s="595"/>
      <c r="AH775" s="595"/>
      <c r="AI775" s="595"/>
      <c r="AJ775" s="595"/>
      <c r="AK775" s="595"/>
      <c r="AL775" s="595"/>
      <c r="AM775" s="614"/>
      <c r="AN775" s="598"/>
    </row>
    <row r="776" spans="1:81" s="551" customFormat="1" ht="12.75" customHeight="1">
      <c r="B776" s="617"/>
      <c r="C776" s="941"/>
      <c r="D776" s="664"/>
      <c r="E776" s="2541"/>
      <c r="F776" s="2541"/>
      <c r="G776" s="2541"/>
      <c r="H776" s="2541"/>
      <c r="I776" s="2541"/>
      <c r="J776" s="2541"/>
      <c r="K776" s="2541"/>
      <c r="L776" s="2541"/>
      <c r="M776" s="2541"/>
      <c r="N776" s="2541"/>
      <c r="O776" s="2541"/>
      <c r="P776" s="2541"/>
      <c r="Q776" s="2541"/>
      <c r="R776" s="2541"/>
      <c r="S776" s="2541"/>
      <c r="T776" s="2541"/>
      <c r="U776" s="2541"/>
      <c r="V776" s="2541"/>
      <c r="W776" s="2541"/>
      <c r="X776" s="2541"/>
      <c r="Y776" s="2541"/>
      <c r="Z776" s="2541"/>
      <c r="AA776" s="2541"/>
      <c r="AB776" s="2541"/>
      <c r="AC776" s="2541"/>
      <c r="AD776" s="2541"/>
      <c r="AE776" s="595"/>
      <c r="AF776" s="595"/>
      <c r="AG776" s="595"/>
      <c r="AH776" s="595"/>
      <c r="AI776" s="595"/>
      <c r="AJ776" s="595"/>
      <c r="AK776" s="595"/>
      <c r="AL776" s="595"/>
      <c r="AM776" s="614"/>
      <c r="AN776" s="598"/>
    </row>
    <row r="777" spans="1:81" s="551" customFormat="1" ht="12.75" customHeight="1">
      <c r="B777" s="617"/>
      <c r="C777" s="941"/>
      <c r="D777" s="664"/>
      <c r="E777" s="2541"/>
      <c r="F777" s="2541"/>
      <c r="G777" s="2541"/>
      <c r="H777" s="2541"/>
      <c r="I777" s="2541"/>
      <c r="J777" s="2541"/>
      <c r="K777" s="2541"/>
      <c r="L777" s="2541"/>
      <c r="M777" s="2541"/>
      <c r="N777" s="2541"/>
      <c r="O777" s="2541"/>
      <c r="P777" s="2541"/>
      <c r="Q777" s="2541"/>
      <c r="R777" s="2541"/>
      <c r="S777" s="2541"/>
      <c r="T777" s="2541"/>
      <c r="U777" s="2541"/>
      <c r="V777" s="2541"/>
      <c r="W777" s="2541"/>
      <c r="X777" s="2541"/>
      <c r="Y777" s="2541"/>
      <c r="Z777" s="2541"/>
      <c r="AA777" s="2541"/>
      <c r="AB777" s="2541"/>
      <c r="AC777" s="2541"/>
      <c r="AD777" s="2541"/>
      <c r="AE777" s="595"/>
      <c r="AF777" s="595"/>
      <c r="AG777" s="595"/>
      <c r="AH777" s="595"/>
      <c r="AI777" s="595"/>
      <c r="AJ777" s="595"/>
      <c r="AK777" s="595"/>
      <c r="AL777" s="595"/>
      <c r="AM777" s="614"/>
      <c r="AN777" s="598"/>
    </row>
    <row r="778" spans="1:81" s="551" customFormat="1" ht="12.75" customHeight="1">
      <c r="A778" s="571"/>
      <c r="B778" s="537"/>
      <c r="C778" s="537"/>
      <c r="D778" s="537"/>
      <c r="E778" s="537"/>
      <c r="F778" s="537"/>
      <c r="G778" s="537"/>
      <c r="H778" s="537"/>
      <c r="I778" s="537"/>
      <c r="J778" s="537"/>
      <c r="K778" s="537"/>
      <c r="L778" s="537"/>
      <c r="M778" s="537"/>
      <c r="N778" s="537"/>
      <c r="O778" s="537"/>
      <c r="P778" s="537"/>
      <c r="Q778" s="537"/>
      <c r="R778" s="537"/>
      <c r="S778" s="537"/>
      <c r="T778" s="537"/>
      <c r="U778" s="537"/>
      <c r="V778" s="537"/>
      <c r="W778" s="537"/>
      <c r="X778" s="537"/>
      <c r="Y778" s="537"/>
      <c r="Z778" s="537"/>
      <c r="AA778" s="537"/>
      <c r="AB778" s="537"/>
      <c r="AC778" s="537"/>
      <c r="AD778" s="537"/>
      <c r="AE778" s="537"/>
      <c r="AF778" s="537"/>
      <c r="AG778" s="537"/>
      <c r="AH778" s="537"/>
      <c r="AI778" s="537"/>
      <c r="AJ778" s="537"/>
      <c r="AK778" s="537"/>
      <c r="AL778" s="537"/>
      <c r="AM778" s="571"/>
      <c r="AN778" s="598"/>
    </row>
    <row r="779" spans="1:81" s="551" customFormat="1" ht="12.75" customHeight="1">
      <c r="B779" s="617"/>
      <c r="C779" s="941"/>
      <c r="D779" s="537" t="s">
        <v>1400</v>
      </c>
      <c r="E779" s="937"/>
      <c r="F779" s="937"/>
      <c r="G779" s="937"/>
      <c r="H779" s="2454" t="s">
        <v>591</v>
      </c>
      <c r="I779" s="2454"/>
      <c r="J779" s="644"/>
      <c r="K779" s="644"/>
      <c r="L779" s="644"/>
      <c r="M779" s="644"/>
      <c r="N779" s="644"/>
      <c r="O779" s="644"/>
      <c r="P779" s="644"/>
      <c r="Q779" s="644"/>
      <c r="R779" s="644"/>
      <c r="S779" s="644"/>
      <c r="T779" s="644"/>
      <c r="U779" s="644"/>
      <c r="V779" s="644"/>
      <c r="W779" s="644"/>
      <c r="X779" s="644"/>
      <c r="Y779" s="644"/>
      <c r="Z779" s="644"/>
      <c r="AA779" s="644"/>
      <c r="AB779" s="644"/>
      <c r="AC779" s="644"/>
      <c r="AD779" s="644"/>
      <c r="AE779" s="644"/>
      <c r="AF779" s="644"/>
      <c r="AG779" s="617"/>
      <c r="AH779" s="537"/>
      <c r="AI779" s="544"/>
      <c r="AJ779" s="596"/>
      <c r="AK779" s="596"/>
      <c r="AL779" s="596"/>
      <c r="AN779" s="598"/>
    </row>
    <row r="780" spans="1:81" s="551" customFormat="1" ht="12.75" customHeight="1">
      <c r="B780" s="617"/>
      <c r="C780" s="941"/>
      <c r="D780" s="617"/>
      <c r="E780" s="617"/>
      <c r="F780" s="617"/>
      <c r="G780" s="617"/>
      <c r="H780" s="617"/>
      <c r="I780" s="617"/>
      <c r="J780" s="617"/>
      <c r="K780" s="617"/>
      <c r="L780" s="617"/>
      <c r="M780" s="617"/>
      <c r="N780" s="617"/>
      <c r="O780" s="617"/>
      <c r="P780" s="617"/>
      <c r="Q780" s="617"/>
      <c r="R780" s="617"/>
      <c r="S780" s="617"/>
      <c r="T780" s="617"/>
      <c r="U780" s="617"/>
      <c r="V780" s="617"/>
      <c r="W780" s="617"/>
      <c r="X780" s="617"/>
      <c r="Y780" s="617"/>
      <c r="Z780" s="617"/>
      <c r="AA780" s="617"/>
      <c r="AB780" s="617"/>
      <c r="AC780" s="617"/>
      <c r="AD780" s="617"/>
      <c r="AE780" s="617"/>
      <c r="AF780" s="617"/>
      <c r="AG780" s="617"/>
      <c r="AH780" s="537"/>
      <c r="AI780" s="544"/>
      <c r="AJ780" s="596"/>
      <c r="AK780" s="596"/>
      <c r="AL780" s="596"/>
      <c r="AN780" s="598"/>
    </row>
    <row r="781" spans="1:81" s="551" customFormat="1" ht="12.75" customHeight="1">
      <c r="A781" s="607"/>
      <c r="B781" s="666"/>
      <c r="C781" s="956"/>
      <c r="D781" s="666"/>
      <c r="E781" s="666"/>
      <c r="F781" s="666"/>
      <c r="G781" s="666"/>
      <c r="H781" s="666"/>
      <c r="I781" s="666"/>
      <c r="J781" s="666"/>
      <c r="K781" s="666"/>
      <c r="L781" s="666"/>
      <c r="M781" s="666"/>
      <c r="N781" s="666"/>
      <c r="O781" s="666"/>
      <c r="P781" s="666"/>
      <c r="Q781" s="666"/>
      <c r="R781" s="666"/>
      <c r="S781" s="666"/>
      <c r="T781" s="666"/>
      <c r="U781" s="666"/>
      <c r="V781" s="666"/>
      <c r="W781" s="666"/>
      <c r="X781" s="666"/>
      <c r="Y781" s="666"/>
      <c r="Z781" s="666"/>
      <c r="AA781" s="666"/>
      <c r="AB781" s="666"/>
      <c r="AC781" s="666"/>
      <c r="AD781" s="666"/>
      <c r="AE781" s="666"/>
      <c r="AF781" s="666"/>
      <c r="AG781" s="666"/>
      <c r="AH781" s="602"/>
      <c r="AI781" s="566" t="s">
        <v>1448</v>
      </c>
      <c r="AJ781" s="2437">
        <f>VLOOKUP($H$779,$AO$769:$AP$771,2,FALSE)</f>
        <v>0</v>
      </c>
      <c r="AK781" s="2439"/>
      <c r="AL781" s="596"/>
      <c r="AN781" s="598"/>
    </row>
    <row r="782" spans="1:81" s="571" customFormat="1">
      <c r="A782" s="551"/>
      <c r="B782" s="617"/>
      <c r="C782" s="941"/>
      <c r="D782" s="617"/>
      <c r="E782" s="617"/>
      <c r="F782" s="617"/>
      <c r="G782" s="617"/>
      <c r="H782" s="617"/>
      <c r="I782" s="617"/>
      <c r="J782" s="617"/>
      <c r="K782" s="617"/>
      <c r="L782" s="617"/>
      <c r="M782" s="617"/>
      <c r="N782" s="617"/>
      <c r="O782" s="617"/>
      <c r="P782" s="617"/>
      <c r="Q782" s="617"/>
      <c r="R782" s="617"/>
      <c r="S782" s="617"/>
      <c r="T782" s="617"/>
      <c r="U782" s="617"/>
      <c r="V782" s="617"/>
      <c r="W782" s="617"/>
      <c r="X782" s="617"/>
      <c r="Y782" s="617"/>
      <c r="Z782" s="617"/>
      <c r="AA782" s="617"/>
      <c r="AB782" s="617"/>
      <c r="AC782" s="617"/>
      <c r="AD782" s="617"/>
      <c r="AE782" s="617"/>
      <c r="AF782" s="617"/>
      <c r="AG782" s="617"/>
      <c r="AH782" s="537"/>
      <c r="AI782" s="544"/>
      <c r="AJ782" s="596"/>
      <c r="AK782" s="596"/>
      <c r="AL782" s="596"/>
      <c r="AM782" s="551"/>
      <c r="AN782" s="685"/>
      <c r="AS782" s="675"/>
      <c r="AT782" s="675"/>
      <c r="AU782" s="675"/>
      <c r="AV782" s="675"/>
      <c r="AW782" s="675"/>
      <c r="AX782" s="675"/>
      <c r="AY782" s="675"/>
      <c r="AZ782" s="675"/>
      <c r="BA782" s="675"/>
      <c r="BB782" s="675"/>
      <c r="BC782" s="675"/>
      <c r="BD782" s="691"/>
      <c r="BE782" s="691"/>
      <c r="BF782" s="691"/>
      <c r="BG782" s="691"/>
      <c r="BH782" s="691"/>
      <c r="BI782" s="675"/>
      <c r="BJ782" s="675"/>
      <c r="BK782" s="675"/>
      <c r="BL782" s="675"/>
      <c r="BM782" s="675"/>
      <c r="BN782" s="675"/>
      <c r="BO782" s="675"/>
      <c r="BP782" s="675"/>
      <c r="BQ782" s="675"/>
      <c r="BR782" s="675"/>
      <c r="BS782" s="675"/>
      <c r="BT782" s="675"/>
      <c r="BU782" s="675"/>
      <c r="BV782" s="675"/>
      <c r="BW782" s="675"/>
      <c r="BX782" s="675"/>
      <c r="BY782" s="675"/>
      <c r="BZ782" s="675"/>
      <c r="CA782" s="675"/>
      <c r="CB782" s="675"/>
      <c r="CC782" s="675"/>
    </row>
    <row r="783" spans="1:81" s="571" customFormat="1">
      <c r="A783" s="551"/>
      <c r="B783" s="617"/>
      <c r="C783" s="540" t="s">
        <v>1449</v>
      </c>
      <c r="D783" s="617"/>
      <c r="E783" s="617"/>
      <c r="F783" s="617"/>
      <c r="G783" s="617"/>
      <c r="H783" s="617"/>
      <c r="I783" s="617"/>
      <c r="J783" s="617"/>
      <c r="K783" s="617"/>
      <c r="L783" s="617"/>
      <c r="M783" s="617"/>
      <c r="N783" s="617"/>
      <c r="O783" s="617"/>
      <c r="P783" s="617"/>
      <c r="Q783" s="617"/>
      <c r="R783" s="617"/>
      <c r="S783" s="617"/>
      <c r="T783" s="617"/>
      <c r="U783" s="617"/>
      <c r="V783" s="617"/>
      <c r="W783" s="617"/>
      <c r="X783" s="617"/>
      <c r="Y783" s="617"/>
      <c r="Z783" s="617"/>
      <c r="AA783" s="617"/>
      <c r="AB783" s="617"/>
      <c r="AC783" s="617"/>
      <c r="AD783" s="617"/>
      <c r="AE783" s="617"/>
      <c r="AF783" s="617"/>
      <c r="AG783" s="617"/>
      <c r="AH783" s="537"/>
      <c r="AI783" s="544"/>
      <c r="AJ783" s="596"/>
      <c r="AK783" s="596"/>
      <c r="AL783" s="596"/>
      <c r="AM783" s="551"/>
      <c r="AN783" s="685"/>
      <c r="AT783" s="675"/>
      <c r="AU783" s="675"/>
      <c r="AV783" s="675"/>
      <c r="AW783" s="675"/>
      <c r="AX783" s="675"/>
      <c r="AY783" s="675"/>
      <c r="AZ783" s="675"/>
    </row>
    <row r="784" spans="1:81" s="571" customFormat="1">
      <c r="A784" s="551"/>
      <c r="B784" s="617"/>
      <c r="C784" s="941"/>
      <c r="D784" s="617"/>
      <c r="E784" s="617"/>
      <c r="F784" s="617"/>
      <c r="G784" s="617"/>
      <c r="H784" s="617"/>
      <c r="I784" s="617"/>
      <c r="J784" s="617"/>
      <c r="K784" s="617"/>
      <c r="L784" s="617"/>
      <c r="M784" s="617"/>
      <c r="N784" s="617"/>
      <c r="O784" s="617"/>
      <c r="P784" s="617"/>
      <c r="Q784" s="617"/>
      <c r="R784" s="617"/>
      <c r="S784" s="617"/>
      <c r="T784" s="617"/>
      <c r="U784" s="617"/>
      <c r="V784" s="617"/>
      <c r="W784" s="617"/>
      <c r="X784" s="617"/>
      <c r="Y784" s="617"/>
      <c r="Z784" s="617"/>
      <c r="AA784" s="617"/>
      <c r="AB784" s="617"/>
      <c r="AC784" s="617"/>
      <c r="AD784" s="617"/>
      <c r="AE784" s="537"/>
      <c r="AF784" s="537"/>
      <c r="AG784" s="537"/>
      <c r="AH784" s="537"/>
      <c r="AI784" s="537"/>
      <c r="AJ784" s="537"/>
      <c r="AK784" s="537"/>
      <c r="AL784" s="596"/>
      <c r="AM784" s="551"/>
      <c r="AN784" s="685"/>
      <c r="AO784" s="551" t="s">
        <v>591</v>
      </c>
      <c r="AP784" s="681">
        <v>0</v>
      </c>
      <c r="AS784" s="675"/>
      <c r="AT784" s="675"/>
      <c r="AU784" s="675"/>
      <c r="AV784" s="675"/>
      <c r="AW784" s="675"/>
      <c r="AX784" s="675"/>
      <c r="AY784" s="675"/>
      <c r="AZ784" s="675"/>
      <c r="BA784" s="675"/>
      <c r="BB784" s="675"/>
      <c r="BC784" s="675"/>
      <c r="BD784" s="691"/>
      <c r="BE784" s="691"/>
      <c r="BF784" s="691"/>
      <c r="BG784" s="691"/>
      <c r="BH784" s="691"/>
      <c r="BI784" s="675"/>
      <c r="BJ784" s="675"/>
      <c r="BK784" s="675"/>
      <c r="BL784" s="675"/>
      <c r="BM784" s="675"/>
      <c r="BN784" s="675"/>
      <c r="BO784" s="675"/>
      <c r="BP784" s="675"/>
      <c r="BQ784" s="675"/>
      <c r="BR784" s="675"/>
      <c r="BS784" s="675"/>
      <c r="BT784" s="675"/>
      <c r="BU784" s="675"/>
      <c r="BV784" s="675"/>
      <c r="BW784" s="675"/>
      <c r="BX784" s="675"/>
      <c r="BY784" s="675"/>
      <c r="BZ784" s="675"/>
      <c r="CA784" s="675"/>
      <c r="CB784" s="675"/>
      <c r="CC784" s="675"/>
    </row>
    <row r="785" spans="1:81" s="571" customFormat="1" ht="13.7" customHeight="1">
      <c r="A785" s="551"/>
      <c r="B785" s="617"/>
      <c r="C785" s="941"/>
      <c r="D785" s="664" t="s">
        <v>687</v>
      </c>
      <c r="E785" s="2430" t="s">
        <v>2034</v>
      </c>
      <c r="F785" s="2430"/>
      <c r="G785" s="2430"/>
      <c r="H785" s="2430"/>
      <c r="I785" s="2430"/>
      <c r="J785" s="2430"/>
      <c r="K785" s="2430"/>
      <c r="L785" s="2430"/>
      <c r="M785" s="2430"/>
      <c r="N785" s="2430"/>
      <c r="O785" s="2430"/>
      <c r="P785" s="2430"/>
      <c r="Q785" s="2430"/>
      <c r="R785" s="2430"/>
      <c r="S785" s="2430"/>
      <c r="T785" s="2430"/>
      <c r="U785" s="2430"/>
      <c r="V785" s="2430"/>
      <c r="W785" s="2430"/>
      <c r="X785" s="2430"/>
      <c r="Y785" s="2430"/>
      <c r="Z785" s="2430"/>
      <c r="AA785" s="2430"/>
      <c r="AB785" s="2430"/>
      <c r="AC785" s="2430"/>
      <c r="AD785" s="2430"/>
      <c r="AE785" s="537"/>
      <c r="AF785" s="2530" t="s">
        <v>1352</v>
      </c>
      <c r="AG785" s="2530"/>
      <c r="AH785" s="2530"/>
      <c r="AI785" s="2530"/>
      <c r="AJ785" s="2530"/>
      <c r="AK785" s="2530"/>
      <c r="AL785" s="2530"/>
      <c r="AM785" s="614"/>
      <c r="AN785" s="685"/>
      <c r="AO785" s="612" t="s">
        <v>545</v>
      </c>
      <c r="AP785" s="551">
        <v>3</v>
      </c>
      <c r="AT785" s="675"/>
      <c r="AU785" s="675"/>
      <c r="AV785" s="675"/>
      <c r="AW785" s="675"/>
      <c r="AX785" s="675"/>
      <c r="AY785" s="675"/>
      <c r="AZ785" s="675"/>
    </row>
    <row r="786" spans="1:81" s="571" customFormat="1" ht="13.7" customHeight="1">
      <c r="A786" s="551"/>
      <c r="B786" s="617"/>
      <c r="C786" s="941"/>
      <c r="D786" s="664"/>
      <c r="E786" s="2430"/>
      <c r="F786" s="2430"/>
      <c r="G786" s="2430"/>
      <c r="H786" s="2430"/>
      <c r="I786" s="2430"/>
      <c r="J786" s="2430"/>
      <c r="K786" s="2430"/>
      <c r="L786" s="2430"/>
      <c r="M786" s="2430"/>
      <c r="N786" s="2430"/>
      <c r="O786" s="2430"/>
      <c r="P786" s="2430"/>
      <c r="Q786" s="2430"/>
      <c r="R786" s="2430"/>
      <c r="S786" s="2430"/>
      <c r="T786" s="2430"/>
      <c r="U786" s="2430"/>
      <c r="V786" s="2430"/>
      <c r="W786" s="2430"/>
      <c r="X786" s="2430"/>
      <c r="Y786" s="2430"/>
      <c r="Z786" s="2430"/>
      <c r="AA786" s="2430"/>
      <c r="AB786" s="2430"/>
      <c r="AC786" s="2430"/>
      <c r="AD786" s="2430"/>
      <c r="AE786" s="537"/>
      <c r="AF786" s="595"/>
      <c r="AG786" s="595"/>
      <c r="AH786" s="595"/>
      <c r="AI786" s="595"/>
      <c r="AJ786" s="595"/>
      <c r="AK786" s="595"/>
      <c r="AL786" s="595"/>
      <c r="AM786" s="614"/>
      <c r="AN786" s="685"/>
      <c r="AO786" s="612"/>
      <c r="AP786" s="551"/>
      <c r="AT786" s="675"/>
      <c r="AU786" s="675"/>
      <c r="AV786" s="675"/>
      <c r="AW786" s="675"/>
      <c r="AX786" s="675"/>
      <c r="AY786" s="675"/>
      <c r="AZ786" s="675"/>
    </row>
    <row r="787" spans="1:81" s="571" customFormat="1">
      <c r="A787" s="551"/>
      <c r="B787" s="617"/>
      <c r="C787" s="941"/>
      <c r="D787" s="664"/>
      <c r="E787" s="2430"/>
      <c r="F787" s="2430"/>
      <c r="G787" s="2430"/>
      <c r="H787" s="2430"/>
      <c r="I787" s="2430"/>
      <c r="J787" s="2430"/>
      <c r="K787" s="2430"/>
      <c r="L787" s="2430"/>
      <c r="M787" s="2430"/>
      <c r="N787" s="2430"/>
      <c r="O787" s="2430"/>
      <c r="P787" s="2430"/>
      <c r="Q787" s="2430"/>
      <c r="R787" s="2430"/>
      <c r="S787" s="2430"/>
      <c r="T787" s="2430"/>
      <c r="U787" s="2430"/>
      <c r="V787" s="2430"/>
      <c r="W787" s="2430"/>
      <c r="X787" s="2430"/>
      <c r="Y787" s="2430"/>
      <c r="Z787" s="2430"/>
      <c r="AA787" s="2430"/>
      <c r="AB787" s="2430"/>
      <c r="AC787" s="2430"/>
      <c r="AD787" s="2430"/>
      <c r="AE787" s="595"/>
      <c r="AF787" s="595"/>
      <c r="AG787" s="595"/>
      <c r="AH787" s="595"/>
      <c r="AI787" s="595"/>
      <c r="AJ787" s="595"/>
      <c r="AK787" s="595"/>
      <c r="AL787" s="595"/>
      <c r="AM787" s="614"/>
      <c r="AN787" s="685"/>
      <c r="AO787" s="612"/>
      <c r="AP787" s="551"/>
      <c r="AT787" s="675"/>
      <c r="AU787" s="675"/>
      <c r="AV787" s="675"/>
      <c r="AW787" s="675"/>
      <c r="AX787" s="675"/>
      <c r="AY787" s="675"/>
      <c r="AZ787" s="675"/>
    </row>
    <row r="788" spans="1:81" s="571" customFormat="1">
      <c r="A788" s="551"/>
      <c r="B788" s="617"/>
      <c r="C788" s="941"/>
      <c r="D788" s="664"/>
      <c r="E788" s="2430"/>
      <c r="F788" s="2430"/>
      <c r="G788" s="2430"/>
      <c r="H788" s="2430"/>
      <c r="I788" s="2430"/>
      <c r="J788" s="2430"/>
      <c r="K788" s="2430"/>
      <c r="L788" s="2430"/>
      <c r="M788" s="2430"/>
      <c r="N788" s="2430"/>
      <c r="O788" s="2430"/>
      <c r="P788" s="2430"/>
      <c r="Q788" s="2430"/>
      <c r="R788" s="2430"/>
      <c r="S788" s="2430"/>
      <c r="T788" s="2430"/>
      <c r="U788" s="2430"/>
      <c r="V788" s="2430"/>
      <c r="W788" s="2430"/>
      <c r="X788" s="2430"/>
      <c r="Y788" s="2430"/>
      <c r="Z788" s="2430"/>
      <c r="AA788" s="2430"/>
      <c r="AB788" s="2430"/>
      <c r="AC788" s="2430"/>
      <c r="AD788" s="2430"/>
      <c r="AE788" s="595"/>
      <c r="AF788" s="595"/>
      <c r="AG788" s="595"/>
      <c r="AH788" s="595"/>
      <c r="AI788" s="595"/>
      <c r="AJ788" s="595"/>
      <c r="AK788" s="595"/>
      <c r="AL788" s="595"/>
      <c r="AM788" s="614"/>
      <c r="AN788" s="685"/>
      <c r="AO788" s="692"/>
      <c r="AT788" s="675"/>
      <c r="AU788" s="675"/>
      <c r="AV788" s="675"/>
      <c r="AW788" s="675"/>
      <c r="AX788" s="675"/>
      <c r="AY788" s="675"/>
      <c r="AZ788" s="675"/>
    </row>
    <row r="789" spans="1:81" s="571" customFormat="1">
      <c r="A789" s="551"/>
      <c r="B789" s="617"/>
      <c r="C789" s="941"/>
      <c r="D789" s="664"/>
      <c r="E789" s="644"/>
      <c r="F789" s="644"/>
      <c r="G789" s="644"/>
      <c r="H789" s="644"/>
      <c r="I789" s="644"/>
      <c r="J789" s="644"/>
      <c r="K789" s="644"/>
      <c r="L789" s="644"/>
      <c r="M789" s="644"/>
      <c r="N789" s="644"/>
      <c r="O789" s="644"/>
      <c r="P789" s="644"/>
      <c r="Q789" s="644"/>
      <c r="R789" s="644"/>
      <c r="S789" s="644"/>
      <c r="T789" s="644"/>
      <c r="U789" s="644"/>
      <c r="V789" s="644"/>
      <c r="W789" s="644"/>
      <c r="X789" s="644"/>
      <c r="Y789" s="644"/>
      <c r="Z789" s="644"/>
      <c r="AA789" s="644"/>
      <c r="AB789" s="644"/>
      <c r="AC789" s="644"/>
      <c r="AD789" s="644"/>
      <c r="AE789" s="595"/>
      <c r="AF789" s="595"/>
      <c r="AG789" s="595"/>
      <c r="AH789" s="595"/>
      <c r="AI789" s="595"/>
      <c r="AJ789" s="595"/>
      <c r="AK789" s="595"/>
      <c r="AL789" s="595"/>
      <c r="AM789" s="614"/>
      <c r="AN789" s="685"/>
      <c r="AO789" s="692"/>
      <c r="AT789" s="675"/>
      <c r="AU789" s="675"/>
      <c r="AV789" s="675"/>
      <c r="AW789" s="675"/>
      <c r="AX789" s="675"/>
      <c r="AY789" s="675"/>
      <c r="AZ789" s="675"/>
    </row>
    <row r="790" spans="1:81" s="571" customFormat="1">
      <c r="A790" s="551"/>
      <c r="B790" s="617"/>
      <c r="C790" s="941"/>
      <c r="D790" s="537" t="s">
        <v>1400</v>
      </c>
      <c r="E790" s="937"/>
      <c r="F790" s="937"/>
      <c r="G790" s="937"/>
      <c r="H790" s="2454" t="s">
        <v>591</v>
      </c>
      <c r="I790" s="2454"/>
      <c r="J790" s="617"/>
      <c r="K790" s="617"/>
      <c r="L790" s="617"/>
      <c r="M790" s="617"/>
      <c r="N790" s="617"/>
      <c r="O790" s="617"/>
      <c r="P790" s="617"/>
      <c r="Q790" s="617"/>
      <c r="R790" s="617"/>
      <c r="S790" s="617"/>
      <c r="T790" s="617"/>
      <c r="U790" s="617"/>
      <c r="V790" s="617"/>
      <c r="W790" s="617"/>
      <c r="X790" s="617"/>
      <c r="Y790" s="617"/>
      <c r="Z790" s="617"/>
      <c r="AA790" s="617"/>
      <c r="AB790" s="617"/>
      <c r="AC790" s="617"/>
      <c r="AD790" s="617"/>
      <c r="AE790" s="617"/>
      <c r="AF790" s="617"/>
      <c r="AG790" s="617"/>
      <c r="AH790" s="537"/>
      <c r="AI790" s="544"/>
      <c r="AJ790" s="596"/>
      <c r="AK790" s="596"/>
      <c r="AL790" s="596"/>
      <c r="AM790" s="551"/>
      <c r="AN790" s="685"/>
      <c r="AS790" s="675"/>
      <c r="AT790" s="675"/>
      <c r="AU790" s="675"/>
      <c r="AV790" s="675"/>
      <c r="AW790" s="675"/>
      <c r="AX790" s="675"/>
      <c r="AY790" s="675"/>
      <c r="AZ790" s="675"/>
      <c r="BA790" s="675"/>
      <c r="BB790" s="675"/>
      <c r="BC790" s="675"/>
      <c r="BD790" s="691"/>
      <c r="BE790" s="691"/>
      <c r="BF790" s="691"/>
      <c r="BG790" s="691"/>
      <c r="BH790" s="691"/>
      <c r="BI790" s="675"/>
      <c r="BJ790" s="675"/>
      <c r="BK790" s="675"/>
      <c r="BL790" s="675"/>
      <c r="BM790" s="675"/>
      <c r="BN790" s="675"/>
      <c r="BO790" s="675"/>
      <c r="BP790" s="675"/>
      <c r="BQ790" s="675"/>
      <c r="BR790" s="675"/>
      <c r="BS790" s="675"/>
      <c r="BT790" s="675"/>
      <c r="BU790" s="675"/>
      <c r="BV790" s="675"/>
      <c r="BW790" s="675"/>
      <c r="BX790" s="675"/>
      <c r="BY790" s="675"/>
      <c r="BZ790" s="675"/>
      <c r="CA790" s="675"/>
      <c r="CB790" s="675"/>
      <c r="CC790" s="675"/>
    </row>
    <row r="791" spans="1:81" s="571" customFormat="1">
      <c r="A791" s="551"/>
      <c r="B791" s="617"/>
      <c r="C791" s="689"/>
      <c r="D791" s="552"/>
      <c r="E791" s="552"/>
      <c r="F791" s="552"/>
      <c r="G791" s="552"/>
      <c r="H791" s="552"/>
      <c r="I791" s="552"/>
      <c r="J791" s="552"/>
      <c r="K791" s="552"/>
      <c r="L791" s="552"/>
      <c r="M791" s="552"/>
      <c r="N791" s="552"/>
      <c r="O791" s="552"/>
      <c r="P791" s="552"/>
      <c r="Q791" s="552"/>
      <c r="R791" s="552"/>
      <c r="S791" s="552"/>
      <c r="T791" s="552"/>
      <c r="U791" s="552"/>
      <c r="V791" s="552"/>
      <c r="W791" s="552"/>
      <c r="X791" s="552"/>
      <c r="Y791" s="552"/>
      <c r="Z791" s="552"/>
      <c r="AA791" s="552"/>
      <c r="AB791" s="552"/>
      <c r="AC791" s="552"/>
      <c r="AD791" s="617"/>
      <c r="AE791" s="552"/>
      <c r="AF791" s="552"/>
      <c r="AG791" s="552"/>
      <c r="AH791" s="552"/>
      <c r="AI791" s="551"/>
      <c r="AJ791" s="551"/>
      <c r="AK791" s="551"/>
      <c r="AL791" s="551"/>
      <c r="AM791" s="551"/>
      <c r="AN791" s="685"/>
      <c r="AT791" s="675"/>
      <c r="AU791" s="675"/>
      <c r="AV791" s="675"/>
      <c r="AW791" s="675"/>
      <c r="AX791" s="675"/>
      <c r="AY791" s="675"/>
      <c r="AZ791" s="675"/>
    </row>
    <row r="792" spans="1:81" s="571" customFormat="1">
      <c r="A792" s="607"/>
      <c r="B792" s="666"/>
      <c r="C792" s="690"/>
      <c r="D792" s="665"/>
      <c r="E792" s="665"/>
      <c r="F792" s="665"/>
      <c r="G792" s="665"/>
      <c r="H792" s="665"/>
      <c r="I792" s="665"/>
      <c r="J792" s="665"/>
      <c r="K792" s="665"/>
      <c r="L792" s="665"/>
      <c r="M792" s="665"/>
      <c r="N792" s="665"/>
      <c r="O792" s="665"/>
      <c r="P792" s="665"/>
      <c r="Q792" s="665"/>
      <c r="R792" s="665"/>
      <c r="S792" s="665"/>
      <c r="T792" s="665"/>
      <c r="U792" s="665"/>
      <c r="V792" s="665"/>
      <c r="W792" s="665"/>
      <c r="X792" s="665"/>
      <c r="Y792" s="665"/>
      <c r="Z792" s="665"/>
      <c r="AA792" s="665"/>
      <c r="AB792" s="665"/>
      <c r="AC792" s="666"/>
      <c r="AD792" s="665"/>
      <c r="AE792" s="665"/>
      <c r="AF792" s="665"/>
      <c r="AG792" s="665"/>
      <c r="AH792" s="565"/>
      <c r="AI792" s="566" t="s">
        <v>1450</v>
      </c>
      <c r="AJ792" s="2437">
        <f>VLOOKUP($H$790,$AO$784:$AP$785,2,FALSE)</f>
        <v>0</v>
      </c>
      <c r="AK792" s="2439"/>
      <c r="AL792" s="596"/>
      <c r="AM792" s="551"/>
      <c r="AN792" s="685"/>
      <c r="AS792" s="675"/>
      <c r="AT792" s="675"/>
      <c r="AU792" s="675"/>
      <c r="AV792" s="675"/>
      <c r="AW792" s="675"/>
      <c r="AX792" s="675"/>
      <c r="AY792" s="675"/>
      <c r="AZ792" s="675"/>
      <c r="BA792" s="675"/>
      <c r="BB792" s="675"/>
      <c r="BC792" s="675"/>
      <c r="BD792" s="691"/>
      <c r="BE792" s="691"/>
      <c r="BF792" s="691"/>
      <c r="BG792" s="691"/>
      <c r="BH792" s="691"/>
      <c r="BI792" s="675"/>
      <c r="BJ792" s="675"/>
      <c r="BK792" s="675"/>
      <c r="BL792" s="675"/>
      <c r="BM792" s="675"/>
      <c r="BN792" s="675"/>
      <c r="BO792" s="675"/>
      <c r="BP792" s="675"/>
      <c r="BQ792" s="675"/>
      <c r="BR792" s="675"/>
      <c r="BS792" s="675"/>
      <c r="BT792" s="675"/>
      <c r="BU792" s="675"/>
      <c r="BV792" s="675"/>
      <c r="BW792" s="675"/>
      <c r="BX792" s="675"/>
      <c r="BY792" s="675"/>
      <c r="BZ792" s="675"/>
      <c r="CA792" s="675"/>
      <c r="CB792" s="675"/>
      <c r="CC792" s="675"/>
    </row>
    <row r="793" spans="1:81" s="551" customFormat="1" ht="12.75" customHeight="1">
      <c r="B793" s="617"/>
      <c r="C793" s="689"/>
      <c r="D793" s="552"/>
      <c r="E793" s="552"/>
      <c r="F793" s="552"/>
      <c r="G793" s="552"/>
      <c r="H793" s="552"/>
      <c r="I793" s="552"/>
      <c r="J793" s="552"/>
      <c r="K793" s="552"/>
      <c r="L793" s="552"/>
      <c r="M793" s="552"/>
      <c r="N793" s="552"/>
      <c r="O793" s="552"/>
      <c r="P793" s="552"/>
      <c r="Q793" s="552"/>
      <c r="R793" s="552"/>
      <c r="S793" s="552"/>
      <c r="T793" s="552"/>
      <c r="U793" s="552"/>
      <c r="V793" s="552"/>
      <c r="W793" s="552"/>
      <c r="X793" s="552"/>
      <c r="Y793" s="552"/>
      <c r="Z793" s="552"/>
      <c r="AA793" s="552"/>
      <c r="AB793" s="552"/>
      <c r="AC793" s="552"/>
      <c r="AD793" s="617"/>
      <c r="AE793" s="552"/>
      <c r="AF793" s="552"/>
      <c r="AG793" s="552"/>
      <c r="AH793" s="552"/>
      <c r="AN793" s="598"/>
    </row>
    <row r="794" spans="1:81" s="551" customFormat="1" ht="12.75" customHeight="1">
      <c r="A794" s="607"/>
      <c r="B794" s="665"/>
      <c r="C794" s="665"/>
      <c r="D794" s="665"/>
      <c r="E794" s="665"/>
      <c r="F794" s="665"/>
      <c r="G794" s="665"/>
      <c r="H794" s="665"/>
      <c r="I794" s="665"/>
      <c r="J794" s="665"/>
      <c r="K794" s="665"/>
      <c r="L794" s="665"/>
      <c r="M794" s="665"/>
      <c r="N794" s="665"/>
      <c r="O794" s="665"/>
      <c r="P794" s="665"/>
      <c r="Q794" s="665"/>
      <c r="R794" s="665"/>
      <c r="S794" s="665"/>
      <c r="T794" s="665"/>
      <c r="U794" s="665"/>
      <c r="V794" s="665"/>
      <c r="W794" s="665"/>
      <c r="X794" s="665"/>
      <c r="Y794" s="665"/>
      <c r="Z794" s="665"/>
      <c r="AA794" s="665"/>
      <c r="AB794" s="665"/>
      <c r="AC794" s="666"/>
      <c r="AD794" s="665"/>
      <c r="AE794" s="565"/>
      <c r="AF794" s="565"/>
      <c r="AG794" s="565"/>
      <c r="AH794" s="565"/>
      <c r="AI794" s="566"/>
      <c r="AJ794" s="566" t="s">
        <v>1451</v>
      </c>
      <c r="AK794" s="2437">
        <f>IF(($AJ$621+$AJ$640+$AJ$652+$AJ$687+$AJ$711+$AJ$725+$AJ$737+$AJ$753+$AJ$765+$AJ$781+AJ792)&gt;10,10,($AJ$621+$AJ$640+$AJ$652+$AJ$687+$AJ$711+$AJ$725+$AJ$737+$AJ$753+$AJ$765+$AJ$781+AJ792))</f>
        <v>10</v>
      </c>
      <c r="AL794" s="2438"/>
      <c r="AM794" s="2439"/>
      <c r="AN794" s="598"/>
    </row>
    <row r="795" spans="1:81" s="551" customFormat="1" ht="12.75" customHeight="1">
      <c r="B795" s="552"/>
      <c r="C795" s="552"/>
      <c r="D795" s="552"/>
      <c r="E795" s="552"/>
      <c r="F795" s="552"/>
      <c r="G795" s="552"/>
      <c r="H795" s="552"/>
      <c r="I795" s="552"/>
      <c r="J795" s="552"/>
      <c r="K795" s="552"/>
      <c r="L795" s="552"/>
      <c r="M795" s="552"/>
      <c r="N795" s="552"/>
      <c r="O795" s="552"/>
      <c r="P795" s="552"/>
      <c r="Q795" s="552"/>
      <c r="R795" s="552"/>
      <c r="S795" s="552"/>
      <c r="T795" s="552"/>
      <c r="U795" s="552"/>
      <c r="V795" s="552"/>
      <c r="W795" s="552"/>
      <c r="X795" s="552"/>
      <c r="Y795" s="552"/>
      <c r="Z795" s="552"/>
      <c r="AA795" s="552"/>
      <c r="AB795" s="552"/>
      <c r="AC795" s="617"/>
      <c r="AD795" s="552"/>
      <c r="AI795" s="544"/>
      <c r="AJ795" s="544"/>
      <c r="AK795" s="596"/>
      <c r="AL795" s="596"/>
      <c r="AM795" s="596"/>
      <c r="AN795" s="598"/>
    </row>
    <row r="796" spans="1:81">
      <c r="B796" s="551"/>
      <c r="C796" s="551"/>
      <c r="D796" s="551"/>
      <c r="E796" s="551"/>
      <c r="F796" s="551"/>
      <c r="G796" s="551"/>
      <c r="H796" s="551"/>
      <c r="I796" s="551"/>
      <c r="J796" s="551"/>
      <c r="K796" s="551"/>
      <c r="L796" s="551"/>
      <c r="M796" s="551"/>
      <c r="N796" s="551"/>
      <c r="O796" s="551"/>
      <c r="P796" s="551"/>
      <c r="Q796" s="551"/>
      <c r="R796" s="551"/>
      <c r="S796" s="551"/>
      <c r="T796" s="551"/>
      <c r="U796" s="551"/>
      <c r="V796" s="551"/>
      <c r="W796" s="551"/>
      <c r="X796" s="551"/>
      <c r="Y796" s="551"/>
      <c r="Z796" s="551"/>
      <c r="AA796" s="551"/>
      <c r="AB796" s="551"/>
      <c r="AC796" s="551"/>
      <c r="AD796" s="551"/>
      <c r="AE796" s="551"/>
      <c r="AF796" s="551"/>
      <c r="AG796" s="551"/>
      <c r="AH796" s="551"/>
      <c r="AI796" s="551"/>
      <c r="AJ796" s="551"/>
      <c r="AK796" s="551"/>
      <c r="AL796" s="551"/>
      <c r="AM796" s="551"/>
    </row>
    <row r="797" spans="1:81">
      <c r="A797" s="2521" t="s">
        <v>1568</v>
      </c>
      <c r="B797" s="2522"/>
      <c r="C797" s="2522"/>
      <c r="D797" s="2522"/>
      <c r="E797" s="2522"/>
      <c r="F797" s="2522"/>
      <c r="G797" s="2522"/>
      <c r="H797" s="2522"/>
      <c r="I797" s="2522"/>
      <c r="J797" s="2522"/>
      <c r="K797" s="2522"/>
      <c r="L797" s="2522"/>
      <c r="M797" s="2522"/>
      <c r="N797" s="2522"/>
      <c r="O797" s="2522"/>
      <c r="P797" s="2522"/>
      <c r="Q797" s="2522"/>
      <c r="R797" s="2522"/>
      <c r="S797" s="2522"/>
      <c r="T797" s="2522"/>
      <c r="U797" s="2522"/>
      <c r="V797" s="2522"/>
      <c r="W797" s="2522"/>
      <c r="X797" s="2522"/>
      <c r="Y797" s="2522"/>
      <c r="Z797" s="2522"/>
      <c r="AA797" s="2522"/>
      <c r="AB797" s="2522"/>
      <c r="AC797" s="2522"/>
      <c r="AD797" s="2522"/>
      <c r="AE797" s="2522"/>
      <c r="AF797" s="2522"/>
      <c r="AG797" s="2522"/>
      <c r="AH797" s="2522"/>
      <c r="AI797" s="2522"/>
      <c r="AJ797" s="2522"/>
      <c r="AK797" s="2522"/>
      <c r="AL797" s="2522"/>
      <c r="AM797" s="2522"/>
    </row>
    <row r="798" spans="1:81">
      <c r="A798" s="2523"/>
      <c r="B798" s="2523"/>
      <c r="C798" s="2523"/>
      <c r="D798" s="2523"/>
      <c r="E798" s="2523"/>
      <c r="F798" s="2523"/>
      <c r="G798" s="2523"/>
      <c r="H798" s="2523"/>
      <c r="I798" s="2523"/>
      <c r="J798" s="2523"/>
      <c r="K798" s="2523"/>
      <c r="L798" s="2523"/>
      <c r="M798" s="2523"/>
      <c r="N798" s="2523"/>
      <c r="O798" s="2523"/>
      <c r="P798" s="2523"/>
      <c r="Q798" s="2523"/>
      <c r="R798" s="2523"/>
      <c r="S798" s="2523"/>
      <c r="T798" s="2523"/>
      <c r="U798" s="2523"/>
      <c r="V798" s="2523"/>
      <c r="W798" s="2523"/>
      <c r="X798" s="2523"/>
      <c r="Y798" s="2523"/>
      <c r="Z798" s="2523"/>
      <c r="AA798" s="2523"/>
      <c r="AB798" s="2523"/>
      <c r="AC798" s="2523"/>
      <c r="AD798" s="2523"/>
      <c r="AE798" s="2523"/>
      <c r="AF798" s="2523"/>
      <c r="AG798" s="2523"/>
      <c r="AH798" s="2523"/>
      <c r="AI798" s="2523"/>
      <c r="AJ798" s="2523"/>
      <c r="AK798" s="2523"/>
      <c r="AL798" s="2523"/>
      <c r="AM798" s="2523"/>
      <c r="AO798" s="817"/>
      <c r="AP798" s="817"/>
      <c r="AQ798" s="817"/>
    </row>
    <row r="799" spans="1:81">
      <c r="A799" s="551"/>
      <c r="B799" s="572"/>
      <c r="C799" s="573"/>
      <c r="D799" s="573"/>
      <c r="E799" s="573"/>
      <c r="F799" s="573"/>
      <c r="G799" s="573"/>
      <c r="H799" s="573"/>
      <c r="I799" s="574"/>
      <c r="J799" s="574"/>
      <c r="K799" s="574"/>
      <c r="L799" s="574"/>
      <c r="M799" s="574"/>
      <c r="N799" s="574"/>
      <c r="O799" s="574"/>
      <c r="P799" s="574"/>
      <c r="Q799" s="574"/>
      <c r="S799" s="540"/>
      <c r="T799" s="540"/>
      <c r="U799" s="540"/>
      <c r="V799" s="540"/>
      <c r="W799" s="540"/>
      <c r="X799" s="540"/>
      <c r="Y799" s="540"/>
      <c r="Z799" s="540"/>
      <c r="AA799" s="540"/>
      <c r="AB799" s="540"/>
      <c r="AC799" s="540"/>
      <c r="AD799" s="540"/>
      <c r="AE799" s="540"/>
      <c r="AG799" s="540"/>
      <c r="AH799" s="540"/>
      <c r="AI799" s="540"/>
      <c r="AJ799" s="540"/>
      <c r="AK799" s="551"/>
      <c r="AL799" s="551"/>
      <c r="AM799" s="538"/>
      <c r="AO799" s="817"/>
      <c r="AP799" s="817"/>
      <c r="AQ799" s="817"/>
    </row>
    <row r="800" spans="1:81">
      <c r="A800" s="2452"/>
      <c r="B800" s="2452"/>
      <c r="C800" s="2452"/>
      <c r="D800" s="2452"/>
      <c r="E800" s="2452"/>
      <c r="F800" s="2452"/>
      <c r="G800" s="2452"/>
      <c r="H800" s="2452"/>
      <c r="I800" s="2452"/>
      <c r="J800" s="2452"/>
      <c r="K800" s="2452"/>
      <c r="L800" s="2452"/>
      <c r="M800" s="2452"/>
      <c r="N800" s="2452"/>
      <c r="O800" s="2452"/>
      <c r="P800" s="2452"/>
      <c r="Q800" s="2452"/>
      <c r="R800" s="2452"/>
      <c r="S800" s="2452"/>
      <c r="T800" s="2452"/>
      <c r="U800" s="2452"/>
      <c r="V800" s="2452"/>
      <c r="W800" s="2452"/>
      <c r="X800" s="2452"/>
      <c r="Y800" s="2452"/>
      <c r="Z800" s="2452"/>
      <c r="AA800" s="2452"/>
      <c r="AB800" s="2452"/>
      <c r="AC800" s="2452"/>
      <c r="AD800" s="2452"/>
      <c r="AE800" s="2452"/>
      <c r="AF800" s="2452"/>
      <c r="AG800" s="2452"/>
      <c r="AH800" s="2452"/>
      <c r="AI800" s="2452"/>
      <c r="AJ800" s="2452"/>
      <c r="AK800" s="2452"/>
      <c r="AL800" s="2452"/>
      <c r="AM800" s="2452"/>
      <c r="AP800" s="817"/>
      <c r="AQ800" s="817"/>
    </row>
    <row r="801" spans="1:81">
      <c r="A801" s="2452"/>
      <c r="B801" s="2452"/>
      <c r="C801" s="2452"/>
      <c r="D801" s="2452"/>
      <c r="E801" s="2452"/>
      <c r="F801" s="2452"/>
      <c r="G801" s="2452"/>
      <c r="H801" s="2452"/>
      <c r="I801" s="2452"/>
      <c r="J801" s="2452"/>
      <c r="K801" s="2452"/>
      <c r="L801" s="2452"/>
      <c r="M801" s="2452"/>
      <c r="N801" s="2452"/>
      <c r="O801" s="2452"/>
      <c r="P801" s="2452"/>
      <c r="Q801" s="2452"/>
      <c r="R801" s="2452"/>
      <c r="S801" s="2452"/>
      <c r="T801" s="2452"/>
      <c r="U801" s="2452"/>
      <c r="V801" s="2452"/>
      <c r="W801" s="2452"/>
      <c r="X801" s="2452"/>
      <c r="Y801" s="2452"/>
      <c r="Z801" s="2452"/>
      <c r="AA801" s="2452"/>
      <c r="AB801" s="2452"/>
      <c r="AC801" s="2452"/>
      <c r="AD801" s="2452"/>
      <c r="AE801" s="2452"/>
      <c r="AF801" s="2452"/>
      <c r="AG801" s="2452"/>
      <c r="AH801" s="2452"/>
      <c r="AI801" s="2452"/>
      <c r="AJ801" s="2452"/>
      <c r="AK801" s="2452"/>
      <c r="AL801" s="2452"/>
      <c r="AM801" s="2452"/>
      <c r="AO801" s="817"/>
      <c r="AQ801" s="817"/>
    </row>
    <row r="802" spans="1:81">
      <c r="A802" s="818"/>
      <c r="B802" s="668"/>
      <c r="C802" s="668"/>
      <c r="D802" s="668"/>
      <c r="E802" s="668"/>
      <c r="F802" s="668"/>
      <c r="G802" s="668"/>
      <c r="H802" s="668"/>
      <c r="I802" s="668"/>
      <c r="J802" s="668"/>
      <c r="K802" s="668"/>
      <c r="L802" s="668"/>
      <c r="M802" s="668"/>
      <c r="N802" s="668"/>
      <c r="O802" s="668"/>
      <c r="P802" s="668"/>
      <c r="Q802" s="668"/>
      <c r="R802" s="668"/>
      <c r="S802" s="670"/>
      <c r="T802" s="2524" t="s">
        <v>1569</v>
      </c>
      <c r="U802" s="2525"/>
      <c r="V802" s="2525"/>
      <c r="W802" s="2525"/>
      <c r="X802" s="2525"/>
      <c r="Y802" s="2526"/>
      <c r="Z802" s="2524" t="s">
        <v>1570</v>
      </c>
      <c r="AA802" s="2525"/>
      <c r="AB802" s="2525"/>
      <c r="AC802" s="2525"/>
      <c r="AD802" s="2525"/>
      <c r="AE802" s="2526"/>
      <c r="AF802" s="2524" t="s">
        <v>1571</v>
      </c>
      <c r="AG802" s="2525"/>
      <c r="AH802" s="2525"/>
      <c r="AI802" s="2525"/>
      <c r="AJ802" s="2525"/>
      <c r="AK802" s="2526"/>
      <c r="AL802" s="819"/>
      <c r="AM802" s="597"/>
      <c r="AO802" s="817"/>
      <c r="AP802" s="817"/>
      <c r="AQ802" s="817"/>
    </row>
    <row r="803" spans="1:81">
      <c r="A803" s="820"/>
      <c r="B803" s="695"/>
      <c r="C803" s="695"/>
      <c r="D803" s="695"/>
      <c r="E803" s="695"/>
      <c r="F803" s="695"/>
      <c r="G803" s="695"/>
      <c r="H803" s="695"/>
      <c r="I803" s="695"/>
      <c r="J803" s="695"/>
      <c r="K803" s="695"/>
      <c r="L803" s="695"/>
      <c r="M803" s="695"/>
      <c r="N803" s="695"/>
      <c r="O803" s="695"/>
      <c r="P803" s="695"/>
      <c r="Q803" s="695"/>
      <c r="R803" s="695"/>
      <c r="S803" s="709"/>
      <c r="T803" s="2527"/>
      <c r="U803" s="2528"/>
      <c r="V803" s="2528"/>
      <c r="W803" s="2528"/>
      <c r="X803" s="2528"/>
      <c r="Y803" s="2529"/>
      <c r="Z803" s="2527"/>
      <c r="AA803" s="2528"/>
      <c r="AB803" s="2528"/>
      <c r="AC803" s="2528"/>
      <c r="AD803" s="2528"/>
      <c r="AE803" s="2529"/>
      <c r="AF803" s="2527"/>
      <c r="AG803" s="2528"/>
      <c r="AH803" s="2528"/>
      <c r="AI803" s="2528"/>
      <c r="AJ803" s="2528"/>
      <c r="AK803" s="2529"/>
      <c r="AL803" s="819"/>
      <c r="AM803" s="597"/>
      <c r="AO803" s="817"/>
      <c r="AP803" s="817"/>
      <c r="AQ803" s="817"/>
    </row>
    <row r="804" spans="1:81">
      <c r="A804" s="820" t="s">
        <v>757</v>
      </c>
      <c r="B804" s="2481" t="s">
        <v>1304</v>
      </c>
      <c r="C804" s="2481"/>
      <c r="D804" s="2481"/>
      <c r="E804" s="2481"/>
      <c r="F804" s="2481"/>
      <c r="G804" s="2481"/>
      <c r="H804" s="2481"/>
      <c r="I804" s="2481"/>
      <c r="J804" s="2481"/>
      <c r="K804" s="2481"/>
      <c r="L804" s="2481"/>
      <c r="M804" s="2481"/>
      <c r="N804" s="2481"/>
      <c r="O804" s="2481"/>
      <c r="P804" s="2481"/>
      <c r="Q804" s="2481"/>
      <c r="R804" s="2481"/>
      <c r="S804" s="2482"/>
      <c r="T804" s="2509">
        <f>AK62</f>
        <v>20</v>
      </c>
      <c r="U804" s="2485"/>
      <c r="V804" s="2485"/>
      <c r="W804" s="2485"/>
      <c r="X804" s="2485"/>
      <c r="Y804" s="2486"/>
      <c r="Z804" s="2484">
        <v>20</v>
      </c>
      <c r="AA804" s="2485"/>
      <c r="AB804" s="2485"/>
      <c r="AC804" s="2485"/>
      <c r="AD804" s="2485"/>
      <c r="AE804" s="2486"/>
      <c r="AF804" s="2449">
        <f>IF(T804&gt;Z804,Z804,T804)</f>
        <v>20</v>
      </c>
      <c r="AG804" s="2449"/>
      <c r="AH804" s="2449"/>
      <c r="AI804" s="2449"/>
      <c r="AJ804" s="2449"/>
      <c r="AK804" s="2449"/>
      <c r="AL804" s="819"/>
      <c r="AM804" s="597"/>
      <c r="AO804" s="817"/>
      <c r="AP804" s="817"/>
      <c r="AQ804" s="817"/>
    </row>
    <row r="805" spans="1:81">
      <c r="A805" s="820" t="s">
        <v>1541</v>
      </c>
      <c r="B805" s="2481" t="s">
        <v>1313</v>
      </c>
      <c r="C805" s="2481"/>
      <c r="D805" s="2481"/>
      <c r="E805" s="2481"/>
      <c r="F805" s="2481"/>
      <c r="G805" s="2481"/>
      <c r="H805" s="2481"/>
      <c r="I805" s="2481"/>
      <c r="J805" s="2481"/>
      <c r="K805" s="2481"/>
      <c r="L805" s="2481"/>
      <c r="M805" s="2481"/>
      <c r="N805" s="2481"/>
      <c r="O805" s="2481"/>
      <c r="P805" s="2481"/>
      <c r="Q805" s="2481"/>
      <c r="R805" s="2481"/>
      <c r="S805" s="2482"/>
      <c r="T805" s="2509">
        <f>AK84</f>
        <v>0</v>
      </c>
      <c r="U805" s="2485"/>
      <c r="V805" s="2485"/>
      <c r="W805" s="2485"/>
      <c r="X805" s="2485"/>
      <c r="Y805" s="2486"/>
      <c r="Z805" s="2484">
        <v>10</v>
      </c>
      <c r="AA805" s="2485"/>
      <c r="AB805" s="2485"/>
      <c r="AC805" s="2485"/>
      <c r="AD805" s="2485"/>
      <c r="AE805" s="2486"/>
      <c r="AF805" s="2449">
        <f>IF(T805&gt;Z805,Z805,T805)</f>
        <v>0</v>
      </c>
      <c r="AG805" s="2449"/>
      <c r="AH805" s="2449"/>
      <c r="AI805" s="2449"/>
      <c r="AJ805" s="2449"/>
      <c r="AK805" s="2449"/>
      <c r="AL805" s="819"/>
      <c r="AM805" s="597"/>
      <c r="AO805" s="817"/>
      <c r="AP805" s="817"/>
      <c r="AQ805" s="817"/>
    </row>
    <row r="806" spans="1:81">
      <c r="A806" s="820" t="s">
        <v>1550</v>
      </c>
      <c r="B806" s="2481" t="s">
        <v>1323</v>
      </c>
      <c r="C806" s="2481"/>
      <c r="D806" s="2481"/>
      <c r="E806" s="2481"/>
      <c r="F806" s="2481"/>
      <c r="G806" s="2481"/>
      <c r="H806" s="2481"/>
      <c r="I806" s="2481"/>
      <c r="J806" s="2481"/>
      <c r="K806" s="2481"/>
      <c r="L806" s="2481"/>
      <c r="M806" s="2481"/>
      <c r="N806" s="2481"/>
      <c r="O806" s="2481"/>
      <c r="P806" s="2481"/>
      <c r="Q806" s="2481"/>
      <c r="R806" s="2481"/>
      <c r="S806" s="2482"/>
      <c r="T806" s="2509">
        <f ca="1">AK109</f>
        <v>20</v>
      </c>
      <c r="U806" s="2485"/>
      <c r="V806" s="2485"/>
      <c r="W806" s="2485"/>
      <c r="X806" s="2485"/>
      <c r="Y806" s="2486"/>
      <c r="Z806" s="2484">
        <v>20</v>
      </c>
      <c r="AA806" s="2485"/>
      <c r="AB806" s="2485"/>
      <c r="AC806" s="2485"/>
      <c r="AD806" s="2485"/>
      <c r="AE806" s="2486"/>
      <c r="AF806" s="2449">
        <f ca="1">IF(T806&gt;Z806,Z806,T806)</f>
        <v>20</v>
      </c>
      <c r="AG806" s="2449"/>
      <c r="AH806" s="2449"/>
      <c r="AI806" s="2449"/>
      <c r="AJ806" s="2449"/>
      <c r="AK806" s="2449"/>
      <c r="AL806" s="819"/>
      <c r="AM806" s="597"/>
      <c r="AO806" s="817"/>
      <c r="AP806" s="817"/>
      <c r="AQ806" s="817"/>
    </row>
    <row r="807" spans="1:81">
      <c r="A807" s="820" t="s">
        <v>1572</v>
      </c>
      <c r="B807" s="2481" t="s">
        <v>1333</v>
      </c>
      <c r="C807" s="2481"/>
      <c r="D807" s="2481"/>
      <c r="E807" s="2481"/>
      <c r="F807" s="2481"/>
      <c r="G807" s="2481"/>
      <c r="H807" s="2481"/>
      <c r="I807" s="2481"/>
      <c r="J807" s="2481"/>
      <c r="K807" s="2481"/>
      <c r="L807" s="2481"/>
      <c r="M807" s="2481"/>
      <c r="N807" s="2481"/>
      <c r="O807" s="2481"/>
      <c r="P807" s="2481"/>
      <c r="Q807" s="2481"/>
      <c r="R807" s="2481"/>
      <c r="S807" s="2482"/>
      <c r="T807" s="2509">
        <f>AK143</f>
        <v>10</v>
      </c>
      <c r="U807" s="2485"/>
      <c r="V807" s="2485"/>
      <c r="W807" s="2485"/>
      <c r="X807" s="2485"/>
      <c r="Y807" s="2486"/>
      <c r="Z807" s="2484">
        <v>10</v>
      </c>
      <c r="AA807" s="2485"/>
      <c r="AB807" s="2485"/>
      <c r="AC807" s="2485"/>
      <c r="AD807" s="2485"/>
      <c r="AE807" s="2486"/>
      <c r="AF807" s="2449">
        <f>IF(T807&gt;Z807,Z807,T807)</f>
        <v>10</v>
      </c>
      <c r="AG807" s="2449"/>
      <c r="AH807" s="2449"/>
      <c r="AI807" s="2449"/>
      <c r="AJ807" s="2449"/>
      <c r="AK807" s="2449"/>
      <c r="AL807" s="819"/>
      <c r="AM807" s="597"/>
      <c r="AO807" s="817"/>
      <c r="AP807" s="817"/>
      <c r="AQ807" s="817"/>
    </row>
    <row r="808" spans="1:81">
      <c r="A808" s="821" t="s">
        <v>1573</v>
      </c>
      <c r="B808" s="2481" t="s">
        <v>1574</v>
      </c>
      <c r="C808" s="2481"/>
      <c r="D808" s="2481"/>
      <c r="E808" s="2481"/>
      <c r="F808" s="2481"/>
      <c r="G808" s="2481"/>
      <c r="H808" s="2481"/>
      <c r="I808" s="2481"/>
      <c r="J808" s="2481"/>
      <c r="K808" s="2481"/>
      <c r="L808" s="2481"/>
      <c r="M808" s="2481"/>
      <c r="N808" s="2481"/>
      <c r="O808" s="2481"/>
      <c r="P808" s="2481"/>
      <c r="Q808" s="2481"/>
      <c r="R808" s="2481"/>
      <c r="S808" s="2482"/>
      <c r="T808" s="2483">
        <f>SUM(T809:Y810)</f>
        <v>10</v>
      </c>
      <c r="U808" s="2483"/>
      <c r="V808" s="2483"/>
      <c r="W808" s="2483"/>
      <c r="X808" s="2483"/>
      <c r="Y808" s="2483"/>
      <c r="Z808" s="2449">
        <v>10</v>
      </c>
      <c r="AA808" s="2449"/>
      <c r="AB808" s="2449"/>
      <c r="AC808" s="2449"/>
      <c r="AD808" s="2449"/>
      <c r="AE808" s="2449"/>
      <c r="AF808" s="2449">
        <f>IF(T808&gt;Z808,Z808,T808)</f>
        <v>10</v>
      </c>
      <c r="AG808" s="2449"/>
      <c r="AH808" s="2449"/>
      <c r="AI808" s="2449"/>
      <c r="AJ808" s="2449"/>
      <c r="AK808" s="2449"/>
      <c r="AL808" s="819"/>
      <c r="AM808" s="597"/>
    </row>
    <row r="809" spans="1:81">
      <c r="A809" s="536"/>
      <c r="B809" s="602"/>
      <c r="C809" s="2487" t="s">
        <v>1575</v>
      </c>
      <c r="D809" s="2487"/>
      <c r="E809" s="2487"/>
      <c r="F809" s="2487"/>
      <c r="G809" s="2487"/>
      <c r="H809" s="2487"/>
      <c r="I809" s="2487"/>
      <c r="J809" s="2487"/>
      <c r="K809" s="2487"/>
      <c r="L809" s="2487"/>
      <c r="M809" s="2487"/>
      <c r="N809" s="2487"/>
      <c r="O809" s="2487"/>
      <c r="P809" s="2487"/>
      <c r="Q809" s="2487"/>
      <c r="R809" s="2487"/>
      <c r="S809" s="2488"/>
      <c r="T809" s="2489">
        <f>AJ166</f>
        <v>7</v>
      </c>
      <c r="U809" s="2489"/>
      <c r="V809" s="2489"/>
      <c r="W809" s="2489"/>
      <c r="X809" s="2489"/>
      <c r="Y809" s="2489"/>
      <c r="Z809" s="2490">
        <v>7</v>
      </c>
      <c r="AA809" s="2490"/>
      <c r="AB809" s="2490"/>
      <c r="AC809" s="2490"/>
      <c r="AD809" s="2490"/>
      <c r="AE809" s="2490"/>
      <c r="AF809" s="2491"/>
      <c r="AG809" s="2491"/>
      <c r="AH809" s="2491"/>
      <c r="AI809" s="2491"/>
      <c r="AJ809" s="2491"/>
      <c r="AK809" s="2491"/>
      <c r="AL809" s="819"/>
      <c r="AM809" s="597"/>
    </row>
    <row r="810" spans="1:81">
      <c r="A810" s="601"/>
      <c r="B810" s="602"/>
      <c r="C810" s="2487" t="s">
        <v>1576</v>
      </c>
      <c r="D810" s="2487"/>
      <c r="E810" s="2487"/>
      <c r="F810" s="2487"/>
      <c r="G810" s="2487"/>
      <c r="H810" s="2487"/>
      <c r="I810" s="2487"/>
      <c r="J810" s="2487"/>
      <c r="K810" s="2487"/>
      <c r="L810" s="2487"/>
      <c r="M810" s="2487"/>
      <c r="N810" s="2487"/>
      <c r="O810" s="2487"/>
      <c r="P810" s="2487"/>
      <c r="Q810" s="2487"/>
      <c r="R810" s="2487"/>
      <c r="S810" s="2488"/>
      <c r="T810" s="2489">
        <f>AJ180</f>
        <v>3</v>
      </c>
      <c r="U810" s="2489"/>
      <c r="V810" s="2489"/>
      <c r="W810" s="2489"/>
      <c r="X810" s="2489"/>
      <c r="Y810" s="2489"/>
      <c r="Z810" s="2490">
        <v>3</v>
      </c>
      <c r="AA810" s="2490"/>
      <c r="AB810" s="2490"/>
      <c r="AC810" s="2490"/>
      <c r="AD810" s="2490"/>
      <c r="AE810" s="2490"/>
      <c r="AF810" s="2491"/>
      <c r="AG810" s="2491"/>
      <c r="AH810" s="2491"/>
      <c r="AI810" s="2491"/>
      <c r="AJ810" s="2491"/>
      <c r="AK810" s="2491"/>
      <c r="AL810" s="819"/>
      <c r="AM810" s="597"/>
      <c r="AO810" s="551"/>
    </row>
    <row r="811" spans="1:81">
      <c r="A811" s="821" t="s">
        <v>1361</v>
      </c>
      <c r="B811" s="2481" t="s">
        <v>1577</v>
      </c>
      <c r="C811" s="2481"/>
      <c r="D811" s="2481"/>
      <c r="E811" s="2481"/>
      <c r="F811" s="2481"/>
      <c r="G811" s="2481"/>
      <c r="H811" s="2481"/>
      <c r="I811" s="2481"/>
      <c r="J811" s="2481"/>
      <c r="K811" s="2481"/>
      <c r="L811" s="2481"/>
      <c r="M811" s="2481"/>
      <c r="N811" s="2481"/>
      <c r="O811" s="2481"/>
      <c r="P811" s="2481"/>
      <c r="Q811" s="2481"/>
      <c r="R811" s="2481"/>
      <c r="S811" s="2482"/>
      <c r="T811" s="2483">
        <f>AK191</f>
        <v>0</v>
      </c>
      <c r="U811" s="2483"/>
      <c r="V811" s="2483"/>
      <c r="W811" s="2483"/>
      <c r="X811" s="2483"/>
      <c r="Y811" s="2483"/>
      <c r="Z811" s="2449">
        <v>10</v>
      </c>
      <c r="AA811" s="2449"/>
      <c r="AB811" s="2449"/>
      <c r="AC811" s="2449"/>
      <c r="AD811" s="2449"/>
      <c r="AE811" s="2449"/>
      <c r="AF811" s="2449">
        <f>IF(T811&gt;Z811,Z811,T811)</f>
        <v>0</v>
      </c>
      <c r="AG811" s="2449"/>
      <c r="AH811" s="2449"/>
      <c r="AI811" s="2449"/>
      <c r="AJ811" s="2449"/>
      <c r="AK811" s="2449"/>
      <c r="AL811" s="819"/>
      <c r="AM811" s="597"/>
    </row>
    <row r="812" spans="1:81">
      <c r="A812" s="820" t="s">
        <v>1370</v>
      </c>
      <c r="B812" s="2481" t="s">
        <v>1371</v>
      </c>
      <c r="C812" s="2481"/>
      <c r="D812" s="2481"/>
      <c r="E812" s="2481"/>
      <c r="F812" s="2481"/>
      <c r="G812" s="2481"/>
      <c r="H812" s="2481"/>
      <c r="I812" s="2481"/>
      <c r="J812" s="2481"/>
      <c r="K812" s="2481"/>
      <c r="L812" s="2481"/>
      <c r="M812" s="2481"/>
      <c r="N812" s="2481"/>
      <c r="O812" s="2481"/>
      <c r="P812" s="2481"/>
      <c r="Q812" s="2481"/>
      <c r="R812" s="2481"/>
      <c r="S812" s="2482"/>
      <c r="T812" s="2483">
        <f>AK273</f>
        <v>8</v>
      </c>
      <c r="U812" s="2483"/>
      <c r="V812" s="2483"/>
      <c r="W812" s="2483"/>
      <c r="X812" s="2483"/>
      <c r="Y812" s="2483"/>
      <c r="Z812" s="2484">
        <v>8</v>
      </c>
      <c r="AA812" s="2485"/>
      <c r="AB812" s="2485"/>
      <c r="AC812" s="2485"/>
      <c r="AD812" s="2485"/>
      <c r="AE812" s="2486"/>
      <c r="AF812" s="2449">
        <f>IF(T812&gt;Z812,Z812,T812)</f>
        <v>8</v>
      </c>
      <c r="AG812" s="2449"/>
      <c r="AH812" s="2449"/>
      <c r="AI812" s="2449"/>
      <c r="AJ812" s="2449"/>
      <c r="AK812" s="2449"/>
      <c r="AL812" s="819"/>
      <c r="AM812" s="597"/>
    </row>
    <row r="813" spans="1:81" s="535" customFormat="1" hidden="1">
      <c r="A813" s="821" t="s">
        <v>589</v>
      </c>
      <c r="B813" s="2481" t="s">
        <v>1578</v>
      </c>
      <c r="C813" s="2481"/>
      <c r="D813" s="2481"/>
      <c r="E813" s="2481"/>
      <c r="F813" s="2481"/>
      <c r="G813" s="2481"/>
      <c r="H813" s="2481"/>
      <c r="I813" s="2481"/>
      <c r="J813" s="2481"/>
      <c r="K813" s="2481"/>
      <c r="L813" s="2481"/>
      <c r="M813" s="2481"/>
      <c r="N813" s="2481"/>
      <c r="O813" s="2481"/>
      <c r="P813" s="2481"/>
      <c r="Q813" s="2481"/>
      <c r="R813" s="2481"/>
      <c r="S813" s="2482"/>
      <c r="T813" s="2483">
        <f>IF(AK535&gt;5,5,AK535)</f>
        <v>0</v>
      </c>
      <c r="U813" s="2483"/>
      <c r="V813" s="2483"/>
      <c r="W813" s="2483"/>
      <c r="X813" s="2483"/>
      <c r="Y813" s="2483"/>
      <c r="Z813" s="2449">
        <v>5</v>
      </c>
      <c r="AA813" s="2449"/>
      <c r="AB813" s="2449"/>
      <c r="AC813" s="2449"/>
      <c r="AD813" s="2449"/>
      <c r="AE813" s="2449"/>
      <c r="AF813" s="2449">
        <f>IF(T813&gt;Z813,5,T813)</f>
        <v>0</v>
      </c>
      <c r="AG813" s="2449"/>
      <c r="AH813" s="2449"/>
      <c r="AI813" s="2449"/>
      <c r="AJ813" s="2449"/>
      <c r="AK813" s="2449"/>
      <c r="AL813" s="819"/>
      <c r="AM813" s="597"/>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5" customFormat="1">
      <c r="A814" s="820" t="s">
        <v>1376</v>
      </c>
      <c r="B814" s="2481" t="s">
        <v>1579</v>
      </c>
      <c r="C814" s="2481"/>
      <c r="D814" s="2481"/>
      <c r="E814" s="2481"/>
      <c r="F814" s="2481"/>
      <c r="G814" s="2481"/>
      <c r="H814" s="2481"/>
      <c r="I814" s="2481"/>
      <c r="J814" s="2481"/>
      <c r="K814" s="2481"/>
      <c r="L814" s="2481"/>
      <c r="M814" s="2481"/>
      <c r="N814" s="2481"/>
      <c r="O814" s="2481"/>
      <c r="P814" s="2481"/>
      <c r="Q814" s="2481"/>
      <c r="R814" s="2481"/>
      <c r="S814" s="2482"/>
      <c r="T814" s="2483">
        <f>AK285</f>
        <v>10</v>
      </c>
      <c r="U814" s="2483"/>
      <c r="V814" s="2483"/>
      <c r="W814" s="2483"/>
      <c r="X814" s="2483"/>
      <c r="Y814" s="2483"/>
      <c r="Z814" s="2449">
        <v>10</v>
      </c>
      <c r="AA814" s="2449"/>
      <c r="AB814" s="2449"/>
      <c r="AC814" s="2449"/>
      <c r="AD814" s="2449"/>
      <c r="AE814" s="2449"/>
      <c r="AF814" s="2492">
        <f>IF(T814&gt;Z814,Z814,T814)</f>
        <v>10</v>
      </c>
      <c r="AG814" s="2493"/>
      <c r="AH814" s="2493"/>
      <c r="AI814" s="2493"/>
      <c r="AJ814" s="2493"/>
      <c r="AK814" s="2494"/>
      <c r="AL814" s="819"/>
      <c r="AM814" s="597"/>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5" customFormat="1">
      <c r="A815" s="821" t="s">
        <v>1380</v>
      </c>
      <c r="B815" s="2481" t="s">
        <v>1381</v>
      </c>
      <c r="C815" s="2481"/>
      <c r="D815" s="2481"/>
      <c r="E815" s="2481"/>
      <c r="F815" s="2481"/>
      <c r="G815" s="2481"/>
      <c r="H815" s="2481"/>
      <c r="I815" s="2481"/>
      <c r="J815" s="2481"/>
      <c r="K815" s="2481"/>
      <c r="L815" s="2481"/>
      <c r="M815" s="2481"/>
      <c r="N815" s="2481"/>
      <c r="O815" s="2481"/>
      <c r="P815" s="2481"/>
      <c r="Q815" s="2481"/>
      <c r="R815" s="2481"/>
      <c r="S815" s="2482"/>
      <c r="T815" s="2483">
        <f>AK338</f>
        <v>0</v>
      </c>
      <c r="U815" s="2483"/>
      <c r="V815" s="2483"/>
      <c r="W815" s="2483"/>
      <c r="X815" s="2483"/>
      <c r="Y815" s="2483"/>
      <c r="Z815" s="2492">
        <v>10</v>
      </c>
      <c r="AA815" s="2493"/>
      <c r="AB815" s="2493"/>
      <c r="AC815" s="2493"/>
      <c r="AD815" s="2493"/>
      <c r="AE815" s="2494"/>
      <c r="AF815" s="2492">
        <f>IF(T815&gt;Z815,Z815,T815)</f>
        <v>0</v>
      </c>
      <c r="AG815" s="2493"/>
      <c r="AH815" s="2493"/>
      <c r="AI815" s="2493"/>
      <c r="AJ815" s="2493"/>
      <c r="AK815" s="2494"/>
      <c r="AL815" s="540"/>
      <c r="AM815" s="597"/>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5" customFormat="1" hidden="1">
      <c r="A816" s="821"/>
      <c r="B816" s="822"/>
      <c r="C816" s="823" t="s">
        <v>1580</v>
      </c>
      <c r="D816" s="824"/>
      <c r="E816" s="824"/>
      <c r="F816" s="824"/>
      <c r="G816" s="824"/>
      <c r="H816" s="824"/>
      <c r="I816" s="824"/>
      <c r="J816" s="824"/>
      <c r="K816" s="824"/>
      <c r="L816" s="824"/>
      <c r="M816" s="824"/>
      <c r="N816" s="824"/>
      <c r="O816" s="824"/>
      <c r="P816" s="824"/>
      <c r="Q816" s="824"/>
      <c r="R816" s="822"/>
      <c r="S816" s="825"/>
      <c r="T816" s="2489">
        <f>AK338</f>
        <v>0</v>
      </c>
      <c r="U816" s="2489"/>
      <c r="V816" s="2489"/>
      <c r="W816" s="2489"/>
      <c r="X816" s="2489"/>
      <c r="Y816" s="2489"/>
      <c r="Z816" s="2437">
        <v>20</v>
      </c>
      <c r="AA816" s="2438"/>
      <c r="AB816" s="2438"/>
      <c r="AC816" s="2438"/>
      <c r="AD816" s="2438"/>
      <c r="AE816" s="2439"/>
      <c r="AF816" s="2491"/>
      <c r="AG816" s="2491"/>
      <c r="AH816" s="2491"/>
      <c r="AI816" s="2491"/>
      <c r="AJ816" s="2491"/>
      <c r="AK816" s="2491"/>
      <c r="AL816" s="540"/>
      <c r="AM816" s="597"/>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5" customFormat="1">
      <c r="A817" s="821" t="s">
        <v>1453</v>
      </c>
      <c r="B817" s="2481" t="s">
        <v>845</v>
      </c>
      <c r="C817" s="2481"/>
      <c r="D817" s="2481"/>
      <c r="E817" s="2481"/>
      <c r="F817" s="2481"/>
      <c r="G817" s="2481"/>
      <c r="H817" s="2481"/>
      <c r="I817" s="2481"/>
      <c r="J817" s="2481"/>
      <c r="K817" s="2481"/>
      <c r="L817" s="2481"/>
      <c r="M817" s="2481"/>
      <c r="N817" s="2481"/>
      <c r="O817" s="2481"/>
      <c r="P817" s="2481"/>
      <c r="Q817" s="2481"/>
      <c r="R817" s="2481"/>
      <c r="S817" s="2482"/>
      <c r="T817" s="2483">
        <f>AK469</f>
        <v>10</v>
      </c>
      <c r="U817" s="2483"/>
      <c r="V817" s="2483"/>
      <c r="W817" s="2483"/>
      <c r="X817" s="2483"/>
      <c r="Y817" s="2483"/>
      <c r="Z817" s="2492">
        <v>10</v>
      </c>
      <c r="AA817" s="2493"/>
      <c r="AB817" s="2493"/>
      <c r="AC817" s="2493"/>
      <c r="AD817" s="2493"/>
      <c r="AE817" s="2494"/>
      <c r="AF817" s="2449">
        <f>IF(T817&gt;Z817,Z817,T817)</f>
        <v>10</v>
      </c>
      <c r="AG817" s="2449"/>
      <c r="AH817" s="2449"/>
      <c r="AI817" s="2449"/>
      <c r="AJ817" s="2449"/>
      <c r="AK817" s="2449"/>
      <c r="AL817" s="540"/>
      <c r="AM817" s="597"/>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5" customFormat="1">
      <c r="A818" s="821" t="s">
        <v>1558</v>
      </c>
      <c r="B818" s="2481" t="s">
        <v>1559</v>
      </c>
      <c r="C818" s="2481"/>
      <c r="D818" s="2481"/>
      <c r="E818" s="2481"/>
      <c r="F818" s="2481"/>
      <c r="G818" s="2481"/>
      <c r="H818" s="2481"/>
      <c r="I818" s="2481"/>
      <c r="J818" s="2481"/>
      <c r="K818" s="2481"/>
      <c r="L818" s="2481"/>
      <c r="M818" s="2481"/>
      <c r="N818" s="2481"/>
      <c r="O818" s="2481"/>
      <c r="P818" s="2481"/>
      <c r="Q818" s="2481"/>
      <c r="R818" s="2481"/>
      <c r="S818" s="2482"/>
      <c r="T818" s="2483">
        <f>AK559</f>
        <v>12</v>
      </c>
      <c r="U818" s="2483"/>
      <c r="V818" s="2483"/>
      <c r="W818" s="2483"/>
      <c r="X818" s="2483"/>
      <c r="Y818" s="2483"/>
      <c r="Z818" s="2492">
        <v>12</v>
      </c>
      <c r="AA818" s="2493"/>
      <c r="AB818" s="2493"/>
      <c r="AC818" s="2493"/>
      <c r="AD818" s="2493"/>
      <c r="AE818" s="2494"/>
      <c r="AF818" s="2449">
        <f>IF(T818&gt;Z818,Z818,T818)</f>
        <v>12</v>
      </c>
      <c r="AG818" s="2449"/>
      <c r="AH818" s="2449"/>
      <c r="AI818" s="2449"/>
      <c r="AJ818" s="2449"/>
      <c r="AK818" s="2449"/>
      <c r="AL818" s="540"/>
      <c r="AM818" s="597"/>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5" customFormat="1">
      <c r="A819" s="821" t="s">
        <v>2022</v>
      </c>
      <c r="B819" s="2481" t="s">
        <v>1581</v>
      </c>
      <c r="C819" s="2481"/>
      <c r="D819" s="2481"/>
      <c r="E819" s="2481"/>
      <c r="F819" s="2481"/>
      <c r="G819" s="2481"/>
      <c r="H819" s="2481"/>
      <c r="I819" s="2481"/>
      <c r="J819" s="2481"/>
      <c r="K819" s="2481"/>
      <c r="L819" s="2481"/>
      <c r="M819" s="2481"/>
      <c r="N819" s="2481"/>
      <c r="O819" s="2481"/>
      <c r="P819" s="2481"/>
      <c r="Q819" s="2481"/>
      <c r="R819" s="2481"/>
      <c r="S819" s="2482"/>
      <c r="T819" s="2483">
        <f>AK794</f>
        <v>10</v>
      </c>
      <c r="U819" s="2483"/>
      <c r="V819" s="2483"/>
      <c r="W819" s="2483"/>
      <c r="X819" s="2483"/>
      <c r="Y819" s="2483"/>
      <c r="Z819" s="2492">
        <v>10</v>
      </c>
      <c r="AA819" s="2493"/>
      <c r="AB819" s="2493"/>
      <c r="AC819" s="2493"/>
      <c r="AD819" s="2493"/>
      <c r="AE819" s="2494"/>
      <c r="AF819" s="2449">
        <f>IF(T819&gt;Z819,Z819,T819)</f>
        <v>10</v>
      </c>
      <c r="AG819" s="2449"/>
      <c r="AH819" s="2449"/>
      <c r="AI819" s="2449"/>
      <c r="AJ819" s="2449"/>
      <c r="AK819" s="2449"/>
      <c r="AL819" s="540"/>
      <c r="AM819" s="597"/>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5" customFormat="1">
      <c r="A820" s="2495" t="s">
        <v>1582</v>
      </c>
      <c r="B820" s="2481"/>
      <c r="C820" s="2481"/>
      <c r="D820" s="2481"/>
      <c r="E820" s="2481"/>
      <c r="F820" s="2481"/>
      <c r="G820" s="2481"/>
      <c r="H820" s="2481"/>
      <c r="I820" s="2481"/>
      <c r="J820" s="2481"/>
      <c r="K820" s="2481"/>
      <c r="L820" s="2481"/>
      <c r="M820" s="2481"/>
      <c r="N820" s="2481"/>
      <c r="O820" s="2481"/>
      <c r="P820" s="2481"/>
      <c r="Q820" s="2481"/>
      <c r="R820" s="2481"/>
      <c r="S820" s="2482"/>
      <c r="T820" s="2496"/>
      <c r="U820" s="2496"/>
      <c r="V820" s="2496"/>
      <c r="W820" s="2496"/>
      <c r="X820" s="2496"/>
      <c r="Y820" s="2496"/>
      <c r="Z820" s="2490" t="s">
        <v>1583</v>
      </c>
      <c r="AA820" s="2490"/>
      <c r="AB820" s="2490"/>
      <c r="AC820" s="2490"/>
      <c r="AD820" s="2490"/>
      <c r="AE820" s="2490"/>
      <c r="AF820" s="2492">
        <f>IF(T820&gt;0,T820,0)</f>
        <v>0</v>
      </c>
      <c r="AG820" s="2493"/>
      <c r="AH820" s="2493"/>
      <c r="AI820" s="2493"/>
      <c r="AJ820" s="2493"/>
      <c r="AK820" s="2494"/>
      <c r="AL820" s="592"/>
      <c r="AM820" s="597"/>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5" customFormat="1" ht="15.75">
      <c r="A821" s="2497" t="s">
        <v>1584</v>
      </c>
      <c r="B821" s="2498"/>
      <c r="C821" s="2498"/>
      <c r="D821" s="2498"/>
      <c r="E821" s="2498"/>
      <c r="F821" s="2498"/>
      <c r="G821" s="2498"/>
      <c r="H821" s="2498"/>
      <c r="I821" s="2498"/>
      <c r="J821" s="2498"/>
      <c r="K821" s="2498"/>
      <c r="L821" s="2498"/>
      <c r="M821" s="2498"/>
      <c r="N821" s="2498"/>
      <c r="O821" s="2498"/>
      <c r="P821" s="2498"/>
      <c r="Q821" s="2498"/>
      <c r="R821" s="2498"/>
      <c r="S821" s="2498"/>
      <c r="T821" s="2498"/>
      <c r="U821" s="2498"/>
      <c r="V821" s="2498"/>
      <c r="W821" s="2498"/>
      <c r="X821" s="2498"/>
      <c r="Y821" s="2498"/>
      <c r="Z821" s="2498"/>
      <c r="AA821" s="2498"/>
      <c r="AB821" s="2498"/>
      <c r="AC821" s="2498"/>
      <c r="AD821" s="2498"/>
      <c r="AE821" s="2499"/>
      <c r="AF821" s="2503">
        <f ca="1">SUM(AF804:AK819)-AF820</f>
        <v>110</v>
      </c>
      <c r="AG821" s="2504"/>
      <c r="AH821" s="2504"/>
      <c r="AI821" s="2504"/>
      <c r="AJ821" s="2504"/>
      <c r="AK821" s="2505"/>
      <c r="AL821" s="826"/>
      <c r="AM821" s="551"/>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5" customFormat="1" ht="15.75">
      <c r="A822" s="2500"/>
      <c r="B822" s="2501"/>
      <c r="C822" s="2501"/>
      <c r="D822" s="2501"/>
      <c r="E822" s="2501"/>
      <c r="F822" s="2501"/>
      <c r="G822" s="2501"/>
      <c r="H822" s="2501"/>
      <c r="I822" s="2501"/>
      <c r="J822" s="2501"/>
      <c r="K822" s="2501"/>
      <c r="L822" s="2501"/>
      <c r="M822" s="2501"/>
      <c r="N822" s="2501"/>
      <c r="O822" s="2501"/>
      <c r="P822" s="2501"/>
      <c r="Q822" s="2501"/>
      <c r="R822" s="2501"/>
      <c r="S822" s="2501"/>
      <c r="T822" s="2501"/>
      <c r="U822" s="2501"/>
      <c r="V822" s="2501"/>
      <c r="W822" s="2501"/>
      <c r="X822" s="2501"/>
      <c r="Y822" s="2501"/>
      <c r="Z822" s="2501"/>
      <c r="AA822" s="2501"/>
      <c r="AB822" s="2501"/>
      <c r="AC822" s="2501"/>
      <c r="AD822" s="2501"/>
      <c r="AE822" s="2502"/>
      <c r="AF822" s="2506"/>
      <c r="AG822" s="2507"/>
      <c r="AH822" s="2507"/>
      <c r="AI822" s="2507"/>
      <c r="AJ822" s="2507"/>
      <c r="AK822" s="2508"/>
      <c r="AL822" s="826"/>
      <c r="AM822" s="551"/>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5" customFormat="1">
      <c r="A823" s="664"/>
      <c r="B823" s="664"/>
      <c r="C823" s="664"/>
      <c r="D823" s="664"/>
      <c r="E823" s="664"/>
      <c r="F823" s="664"/>
      <c r="G823" s="664"/>
      <c r="H823" s="664"/>
      <c r="I823" s="664"/>
      <c r="J823" s="664"/>
      <c r="K823" s="664"/>
      <c r="L823" s="664"/>
      <c r="M823" s="664"/>
      <c r="N823" s="664"/>
      <c r="O823" s="664"/>
      <c r="P823" s="664"/>
      <c r="Q823" s="664"/>
      <c r="R823" s="664"/>
      <c r="S823" s="664"/>
      <c r="T823" s="664"/>
      <c r="U823" s="664"/>
      <c r="V823" s="664"/>
      <c r="W823" s="664"/>
      <c r="X823" s="664"/>
      <c r="Y823" s="664"/>
      <c r="Z823" s="664"/>
      <c r="AA823" s="664"/>
      <c r="AB823" s="664"/>
      <c r="AC823" s="664"/>
      <c r="AD823" s="664"/>
      <c r="AE823" s="664"/>
      <c r="AF823" s="664"/>
      <c r="AG823" s="664"/>
      <c r="AH823" s="664"/>
      <c r="AI823" s="664"/>
      <c r="AJ823" s="664"/>
      <c r="AK823" s="664"/>
      <c r="AL823" s="664"/>
      <c r="AM823" s="827"/>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zKAxiksa6tGeZ8hj/nIoA1p0x2+asRGK2/KyC9lTb23lBdkIVg4l7c6m5+BvtFYV8C6RPg1CM+wTX0mpKxJUlg==" saltValue="qDfxp5YBKrTXRpDX/1I4Gw=="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Navarrette, DC</cp:lastModifiedBy>
  <cp:lastPrinted>2024-12-09T20:28:29Z</cp:lastPrinted>
  <dcterms:created xsi:type="dcterms:W3CDTF">2007-12-27T18:26:28Z</dcterms:created>
  <dcterms:modified xsi:type="dcterms:W3CDTF">2025-02-03T22:18:47Z</dcterms:modified>
</cp:coreProperties>
</file>